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x-wmf" Extension="wmf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75" yWindow="225" windowWidth="9750" windowHeight="7665" tabRatio="839" firstSheet="31" activeTab="35"/>
  </bookViews>
  <sheets>
    <sheet name="BANJARMASIN " sheetId="24" r:id="rId1"/>
    <sheet name="lembur BM" sheetId="56" state="hidden" r:id="rId2"/>
    <sheet name="PONTIANAK" sheetId="37" r:id="rId3"/>
    <sheet name="lembur pontianak" sheetId="58" state="hidden" r:id="rId4"/>
    <sheet name="LEMBUR HALIM" sheetId="52" state="hidden" r:id="rId5"/>
    <sheet name="DRIVER LEADER" sheetId="125" r:id="rId6"/>
    <sheet name="HALIM " sheetId="5" r:id="rId7"/>
    <sheet name="HALIM JULI " sheetId="144" r:id="rId8"/>
    <sheet name="TIPAR" sheetId="108" r:id="rId9"/>
    <sheet name="RAWA BUAYA" sheetId="59" r:id="rId10"/>
    <sheet name="LEMBUR RAWA BUAYA" sheetId="65" state="hidden" r:id="rId11"/>
    <sheet name="RAWA BUAYA JULI" sheetId="145" r:id="rId12"/>
    <sheet name="TAMAN TECHNO" sheetId="83" r:id="rId13"/>
    <sheet name="ANTERAJA -BOGOR" sheetId="86" r:id="rId14"/>
    <sheet name="ANTERAJA - SUNTER" sheetId="88" r:id="rId15"/>
    <sheet name="MARUNDA" sheetId="45" r:id="rId16"/>
    <sheet name="MAKASSAR " sheetId="82" r:id="rId17"/>
    <sheet name="lembur manado" sheetId="64" state="hidden" r:id="rId18"/>
    <sheet name="PARE-PARE" sheetId="138" r:id="rId19"/>
    <sheet name="KOLAKA" sheetId="142" r:id="rId20"/>
    <sheet name="MANADO" sheetId="40" r:id="rId21"/>
    <sheet name="anteraja MANADO" sheetId="132" r:id="rId22"/>
    <sheet name="BENGKULU" sheetId="139" r:id="rId23"/>
    <sheet name="GORONTALO" sheetId="44" r:id="rId24"/>
    <sheet name="PALEMBANG" sheetId="98" r:id="rId25"/>
    <sheet name="ANTERAJA LAMPUNG" sheetId="106" r:id="rId26"/>
    <sheet name="ANTERAJA JAMBI" sheetId="105" r:id="rId27"/>
    <sheet name="ANTERAJA PONTIANAK" sheetId="107" r:id="rId28"/>
    <sheet name="PANGKAL PINANG" sheetId="123" r:id="rId29"/>
    <sheet name="BANGKABELITUNG" sheetId="146" r:id="rId30"/>
    <sheet name="BANJARMASIN ANTERAJA" sheetId="124" r:id="rId31"/>
    <sheet name="ANTERAJA PALANGKARAYA" sheetId="141" r:id="rId32"/>
    <sheet name="ANTERAJA BALIKPAPAN" sheetId="130" r:id="rId33"/>
    <sheet name="IN OUT " sheetId="80" state="hidden" r:id="rId34"/>
    <sheet name="ANTERAJA SAMARINDA" sheetId="143" r:id="rId35"/>
    <sheet name="INVOICE AGUSTUS" sheetId="109" r:id="rId36"/>
    <sheet name="INVOICE JULI" sheetId="70" r:id="rId37"/>
    <sheet name="lembur gorontalo" sheetId="61" state="hidden" r:id="rId38"/>
    <sheet name="sharing budget" sheetId="66" r:id="rId39"/>
    <sheet name="sharing budget invoice" sheetId="118" r:id="rId40"/>
  </sheets>
  <externalReferences>
    <externalReference r:id="rId41"/>
  </externalReferences>
  <definedNames>
    <definedName name="_xlnm._FilterDatabase" localSheetId="0" hidden="1">'BANJARMASIN '!$A$1:$O$97</definedName>
    <definedName name="_xlnm.Print_Area" localSheetId="0">'BANJARMASIN '!$A$1:$V$111</definedName>
    <definedName name="_xlnm.Print_Titles" localSheetId="0">'BANJARMASIN '!$6:$6</definedName>
    <definedName name="_xlnm.Print_Area" localSheetId="1">'lembur BM'!$AI$6:$AK$23</definedName>
    <definedName name="_xlnm._FilterDatabase" localSheetId="2" hidden="1">PONTIANAK!$AD$20:$AG$97</definedName>
    <definedName name="_xlnm.Print_Area" localSheetId="2">PONTIANAK!$A$1:$W$113</definedName>
    <definedName name="_xlnm.Print_Titles" localSheetId="2">PONTIANAK!$6:$6</definedName>
    <definedName name="_xlnm.Print_Area" localSheetId="5">'DRIVER LEADER'!$A$1:$U$24</definedName>
    <definedName name="_xlnm.Print_Titles" localSheetId="5">'DRIVER LEADER'!$6:$6</definedName>
    <definedName name="_xlnm.Print_Area" localSheetId="6">'HALIM '!$A$1:$U$32</definedName>
    <definedName name="_xlnm.Print_Titles" localSheetId="6">'HALIM '!$6:$6</definedName>
    <definedName name="_xlnm.Print_Area" localSheetId="7">'HALIM JULI '!$A$1:$U$22</definedName>
    <definedName name="_xlnm.Print_Titles" localSheetId="7">'HALIM JULI '!$6:$6</definedName>
    <definedName name="_xlnm.Print_Area" localSheetId="8">TIPAR!$A$1:$U$24</definedName>
    <definedName name="_xlnm.Print_Area" localSheetId="9">'RAWA BUAYA'!$A$1:$U$27</definedName>
    <definedName name="_xlnm.Print_Titles" localSheetId="9">'RAWA BUAYA'!$6:$6</definedName>
    <definedName name="_xlnm.Print_Area" localSheetId="11">'RAWA BUAYA JULI'!$A$1:$U$21</definedName>
    <definedName name="_xlnm.Print_Titles" localSheetId="11">'RAWA BUAYA JULI'!$6:$6</definedName>
    <definedName name="_xlnm.Print_Area" localSheetId="12">'TAMAN TECHNO'!$A$1:$U$25</definedName>
    <definedName name="_xlnm.Print_Titles" localSheetId="12">'TAMAN TECHNO'!$6:$6</definedName>
    <definedName name="_xlnm.Print_Area" localSheetId="13">'ANTERAJA -BOGOR'!$A$1:$U$24</definedName>
    <definedName name="_xlnm.Print_Titles" localSheetId="13">'ANTERAJA -BOGOR'!$6:$6</definedName>
    <definedName name="_xlnm.Print_Area" localSheetId="14">'ANTERAJA - SUNTER'!$A$1:$U$25</definedName>
    <definedName name="_xlnm.Print_Titles" localSheetId="14">'ANTERAJA - SUNTER'!$6:$6</definedName>
    <definedName name="_xlnm.Print_Area" localSheetId="15">MARUNDA!$A$1:$U$25</definedName>
    <definedName name="_xlnm.Print_Area" localSheetId="16">'MAKASSAR '!$A$1:$U$37</definedName>
    <definedName name="_xlnm.Print_Area" localSheetId="18">'PARE-PARE'!$A$1:$U$26</definedName>
    <definedName name="_xlnm.Print_Area" localSheetId="19">KOLAKA!$A$1:$U$22</definedName>
    <definedName name="_xlnm._FilterDatabase" localSheetId="20" hidden="1">MANADO!#REF!</definedName>
    <definedName name="_xlnm.Print_Area" localSheetId="20">MANADO!$A$1:$V$73</definedName>
    <definedName name="_xlnm.Print_Titles" localSheetId="20">MANADO!$6:$6</definedName>
    <definedName name="_xlnm._FilterDatabase" localSheetId="21" hidden="1">'anteraja MANADO'!#REF!</definedName>
    <definedName name="_xlnm.Print_Area" localSheetId="21">'anteraja MANADO'!$A$1:$U$25</definedName>
    <definedName name="_xlnm.Print_Titles" localSheetId="21">'anteraja MANADO'!$6:$6</definedName>
    <definedName name="_xlnm._FilterDatabase" localSheetId="22" hidden="1">BENGKULU!#REF!</definedName>
    <definedName name="_xlnm.Print_Area" localSheetId="22">BENGKULU!$A$1:$U$28</definedName>
    <definedName name="_xlnm.Print_Titles" localSheetId="22">BENGKULU!$6:$6</definedName>
    <definedName name="_xlnm.Print_Area" localSheetId="23">GORONTALO!$A$1:$U$41</definedName>
    <definedName name="_xlnm.Print_Area" localSheetId="24">PALEMBANG!$A$1:$U$46</definedName>
    <definedName name="_xlnm.Print_Area" localSheetId="25">'ANTERAJA LAMPUNG'!$A$1:$U$26</definedName>
    <definedName name="_xlnm.Print_Area" localSheetId="26">'ANTERAJA JAMBI'!$A$1:$U$26</definedName>
    <definedName name="_xlnm.Print_Area" localSheetId="27">'ANTERAJA PONTIANAK'!$A$1:$V$25</definedName>
    <definedName name="_xlnm.Print_Area" localSheetId="28">'PANGKAL PINANG'!$A$1:$U$21</definedName>
    <definedName name="_xlnm.Print_Area" localSheetId="29">BANGKABELITUNG!$A$1:$U$20</definedName>
    <definedName name="_xlnm.Print_Area" localSheetId="30">'BANJARMASIN ANTERAJA'!$A$1:$U$24</definedName>
    <definedName name="_xlnm.Print_Area" localSheetId="31">'ANTERAJA PALANGKARAYA'!$A$1:$U$22</definedName>
    <definedName name="_xlnm.Print_Area" localSheetId="32">'ANTERAJA BALIKPAPAN'!$A$1:$U$21</definedName>
    <definedName name="_xlnm.Print_Area" localSheetId="34">'ANTERAJA SAMARINDA'!$A$1:$U$20</definedName>
    <definedName name="_xlnm.Print_Area" localSheetId="35">'INVOICE AGUSTUS'!$A$1:$J$62</definedName>
    <definedName name="_xlnm._FilterDatabase" localSheetId="36" hidden="1">'INVOICE JULI'!$A$20:$S$40</definedName>
    <definedName name="_xlnm.Print_Area" localSheetId="36">'INVOICE JULI'!$A$1:$J$58</definedName>
    <definedName name="_xlnm.Print_Area" localSheetId="38">'sharing budget'!$A$1:$S$21</definedName>
    <definedName name="_xlnm.Print_Area" localSheetId="39">'sharing budget invoice'!$A$1:$G$41</definedName>
  </definedNames>
  <calcPr calcId="144525" concurrentCalc="0" fullCalcOnLoad="1"/>
</workbook>
</file>

<file path=xl/comments1.xml><?xml version="1.0" encoding="utf-8"?>
<comments xmlns="http://schemas.openxmlformats.org/spreadsheetml/2006/main">
  <authors>
    <author>ASUS</author>
  </authors>
  <commentList>
    <comment ref="D11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DR DRIVER PERTANGGAL 11 JANUARI 2020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C16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jd ceker per 1 februari 2021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O9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9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  <comment ref="O16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O1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1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  <comment ref="O1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1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O7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O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premi hadir 12.000/hari</t>
        </r>
      </text>
    </comment>
    <comment ref="P8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ada ot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C10" authorId="0">
      <text>
        <r>
          <rPr>
            <b/>
            <sz val="9"/>
            <rFont val="Tahoma"/>
            <family val="2"/>
          </rPr>
          <t>ASUS:</t>
        </r>
        <r>
          <rPr>
            <sz val="9"/>
            <rFont val="Tahoma"/>
            <family val="2"/>
          </rPr>
          <t xml:space="preserve">
mutasi dari berlina pertanggal 01 Februari 2021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AJ9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
</t>
        </r>
      </text>
    </comment>
    <comment ref="AJ11" authorId="0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PAKET 1 JUTA</t>
        </r>
      </text>
    </comment>
  </commentList>
</comments>
</file>

<file path=xl/sharedStrings.xml><?xml version="1.0" encoding="utf-8"?>
<sst xmlns="http://schemas.openxmlformats.org/spreadsheetml/2006/main" count="1343" uniqueCount="1343">
  <si>
    <t>PT .MULIA BINTANG KEJORA</t>
  </si>
  <si>
    <t>Format tidak valid</t>
  </si>
  <si>
    <t xml:space="preserve">Tagihan Driver  PT. Assa Logistics (Pontianak )</t>
  </si>
  <si>
    <t xml:space="preserve">Periode bulan  Oktober  2019</t>
  </si>
  <si>
    <t>NIK</t>
  </si>
  <si>
    <t>NAMA</t>
  </si>
  <si>
    <t>OKTOBER 2019</t>
  </si>
  <si>
    <t>JUMLAH</t>
  </si>
  <si>
    <t>NOMINAL</t>
  </si>
  <si>
    <t>HK</t>
  </si>
  <si>
    <t>NO</t>
  </si>
  <si>
    <t>BUDI WIRA</t>
  </si>
  <si>
    <t>IBRAHIM</t>
  </si>
  <si>
    <t>HERWANTO</t>
  </si>
  <si>
    <t>RUDIANSYAH</t>
  </si>
  <si>
    <t>ILHAM DESI ARIANTO</t>
  </si>
  <si>
    <t>HASRUL RIZAL</t>
  </si>
  <si>
    <t xml:space="preserve">Tagihan Driver  PT. Assa Logistics (Banjar Masin )</t>
  </si>
  <si>
    <t>SEPTEMBER 2019</t>
  </si>
  <si>
    <t>114</t>
  </si>
  <si>
    <t>RISWAN</t>
  </si>
  <si>
    <t>118</t>
  </si>
  <si>
    <t>DANI ZAKARIA</t>
  </si>
  <si>
    <t>268</t>
  </si>
  <si>
    <t>M. ZUNAIDI</t>
  </si>
  <si>
    <t>269</t>
  </si>
  <si>
    <t>MIRZA ARSYADI</t>
  </si>
  <si>
    <t>270</t>
  </si>
  <si>
    <t>HERI RIANGTO</t>
  </si>
  <si>
    <t>280</t>
  </si>
  <si>
    <t>MUHAMMAD SEFTIADI NURRAHMAN</t>
  </si>
  <si>
    <t>265</t>
  </si>
  <si>
    <t>ANDES DEDY KURNIAWAN</t>
  </si>
  <si>
    <t>A. SARIFUDIN</t>
  </si>
  <si>
    <t>PT. MULIA BINTANG KEJORA</t>
  </si>
  <si>
    <t xml:space="preserve">Tagihan Driver  PT. Assa Logistics ( Pontianak-SAT )</t>
  </si>
  <si>
    <t>No</t>
  </si>
  <si>
    <t>Nik</t>
  </si>
  <si>
    <t xml:space="preserve">Name  </t>
  </si>
  <si>
    <t>Jabatan</t>
  </si>
  <si>
    <t>Lokasi</t>
  </si>
  <si>
    <t>Customer</t>
  </si>
  <si>
    <t>Gaji Pokok</t>
  </si>
  <si>
    <t>POT ABSEN</t>
  </si>
  <si>
    <t>Jamsostek 4.89%</t>
  </si>
  <si>
    <t>BPJS Kesehatan 4%</t>
  </si>
  <si>
    <t>Jaminan Pensiun 2%</t>
  </si>
  <si>
    <t>Perlengkapan</t>
  </si>
  <si>
    <t>Harga Pokok</t>
  </si>
  <si>
    <t>Management Fee</t>
  </si>
  <si>
    <t xml:space="preserve">Insentif  </t>
  </si>
  <si>
    <t>TJ GP</t>
  </si>
  <si>
    <t>Premi Kehadiran</t>
  </si>
  <si>
    <t>Overtime</t>
  </si>
  <si>
    <t>Subtotal</t>
  </si>
  <si>
    <t>PPN</t>
  </si>
  <si>
    <t>Grand Total</t>
  </si>
  <si>
    <t>Masuk</t>
  </si>
  <si>
    <t>Keluar</t>
  </si>
  <si>
    <t>OK</t>
  </si>
  <si>
    <t>0765</t>
  </si>
  <si>
    <t>ADMIN DISPATCHER</t>
  </si>
  <si>
    <t>PONTIANAK</t>
  </si>
  <si>
    <t>SAT</t>
  </si>
  <si>
    <t>Pekerja tidak terdaftar</t>
  </si>
  <si>
    <t>1718</t>
  </si>
  <si>
    <t>EKO JANUARI YANTO</t>
  </si>
  <si>
    <t>PJS OPC</t>
  </si>
  <si>
    <t>0829</t>
  </si>
  <si>
    <t>DISPATCHER</t>
  </si>
  <si>
    <t>0777</t>
  </si>
  <si>
    <t>ELIASER NOFRI BANSAE</t>
  </si>
  <si>
    <t>UNIT MANAGEMENT</t>
  </si>
  <si>
    <t>1489</t>
  </si>
  <si>
    <t xml:space="preserve">MUHAMMAD IMAM </t>
  </si>
  <si>
    <t>FM</t>
  </si>
  <si>
    <t>1441</t>
  </si>
  <si>
    <t xml:space="preserve">ABDUL RAHMAN </t>
  </si>
  <si>
    <t>CHECKER</t>
  </si>
  <si>
    <t>1940</t>
  </si>
  <si>
    <t>GATOT WICAKSONO</t>
  </si>
  <si>
    <t>2409</t>
  </si>
  <si>
    <t>IMAM SAMUDRA</t>
  </si>
  <si>
    <t>766</t>
  </si>
  <si>
    <t>DRIVER</t>
  </si>
  <si>
    <t>1095</t>
  </si>
  <si>
    <t xml:space="preserve">SIRAJUDDIN </t>
  </si>
  <si>
    <t>NIK Kosong</t>
  </si>
  <si>
    <t>0477</t>
  </si>
  <si>
    <t>MEY RUSWANTO</t>
  </si>
  <si>
    <t>0485</t>
  </si>
  <si>
    <t>MARJIANTO</t>
  </si>
  <si>
    <t>0486</t>
  </si>
  <si>
    <t xml:space="preserve">AGUSTIANSYAH </t>
  </si>
  <si>
    <t>0592</t>
  </si>
  <si>
    <t>RONY</t>
  </si>
  <si>
    <t>0596</t>
  </si>
  <si>
    <t>0769</t>
  </si>
  <si>
    <t>ABDUL HAFIDZ</t>
  </si>
  <si>
    <t>0773</t>
  </si>
  <si>
    <t>FONSIANUS KASMAN</t>
  </si>
  <si>
    <t>0774</t>
  </si>
  <si>
    <t>ANDREAN</t>
  </si>
  <si>
    <t>0775</t>
  </si>
  <si>
    <t>ARIS KUSUMA</t>
  </si>
  <si>
    <t>0778</t>
  </si>
  <si>
    <t>IDRIS AFFANDI</t>
  </si>
  <si>
    <t>0780</t>
  </si>
  <si>
    <t>JUNGLES POBAS</t>
  </si>
  <si>
    <t>0787</t>
  </si>
  <si>
    <t>NURLANGGA</t>
  </si>
  <si>
    <t>0790</t>
  </si>
  <si>
    <t>ENTIS</t>
  </si>
  <si>
    <t>0792</t>
  </si>
  <si>
    <t xml:space="preserve">EVARISTUS MUSTAHIR </t>
  </si>
  <si>
    <t>0987</t>
  </si>
  <si>
    <t>JUNAIDI IMAM</t>
  </si>
  <si>
    <t>0990</t>
  </si>
  <si>
    <t>SY. FAUZI ALMAN</t>
  </si>
  <si>
    <t>0999</t>
  </si>
  <si>
    <t>RASENDI</t>
  </si>
  <si>
    <t>1006</t>
  </si>
  <si>
    <t xml:space="preserve">WAGIONO </t>
  </si>
  <si>
    <t>1156</t>
  </si>
  <si>
    <t>EKO PURWANDI</t>
  </si>
  <si>
    <t>1215</t>
  </si>
  <si>
    <t xml:space="preserve">EDY SANTOSO </t>
  </si>
  <si>
    <t>1323</t>
  </si>
  <si>
    <t xml:space="preserve">WAHYU ARI UTAMA </t>
  </si>
  <si>
    <t>1394</t>
  </si>
  <si>
    <t xml:space="preserve">GUGUN HERMAWAN </t>
  </si>
  <si>
    <t>1395</t>
  </si>
  <si>
    <t xml:space="preserve">EDY ISKANDAR </t>
  </si>
  <si>
    <t>1442</t>
  </si>
  <si>
    <t xml:space="preserve">KAMARUDIN </t>
  </si>
  <si>
    <t>1483</t>
  </si>
  <si>
    <t xml:space="preserve">KURNIAWAN </t>
  </si>
  <si>
    <t>1484</t>
  </si>
  <si>
    <t xml:space="preserve">IWAN KRISDIANTORO </t>
  </si>
  <si>
    <t>1488</t>
  </si>
  <si>
    <t xml:space="preserve">FAJAR AHMAD </t>
  </si>
  <si>
    <t>1491</t>
  </si>
  <si>
    <t xml:space="preserve">ANGGITHA SABARULLAH </t>
  </si>
  <si>
    <t>1492</t>
  </si>
  <si>
    <t>FERI GUNAWAN</t>
  </si>
  <si>
    <t>1772</t>
  </si>
  <si>
    <t>ELMAR SURYA KAMBA</t>
  </si>
  <si>
    <t>1873</t>
  </si>
  <si>
    <t>FABOY HERMANSYAH</t>
  </si>
  <si>
    <t>1901</t>
  </si>
  <si>
    <t>BAMBANG IRAWAN</t>
  </si>
  <si>
    <t>1903</t>
  </si>
  <si>
    <t>RIYAN</t>
  </si>
  <si>
    <t>1913</t>
  </si>
  <si>
    <t>SULAIMAN</t>
  </si>
  <si>
    <t>1925</t>
  </si>
  <si>
    <t>TEGUH ARISMAN</t>
  </si>
  <si>
    <t>1966</t>
  </si>
  <si>
    <t>AGUS RAHMAD SUJAKA</t>
  </si>
  <si>
    <t>HENDRAWAN ISKANDAR</t>
  </si>
  <si>
    <t>NURDIN</t>
  </si>
  <si>
    <t>2257</t>
  </si>
  <si>
    <t>ANTON HERMAN</t>
  </si>
  <si>
    <t>2264</t>
  </si>
  <si>
    <t>ALAMSYAH</t>
  </si>
  <si>
    <t>2265</t>
  </si>
  <si>
    <t>ERRY APRIANSYAH</t>
  </si>
  <si>
    <t>2267</t>
  </si>
  <si>
    <t>TAFAN ABDURRAFI</t>
  </si>
  <si>
    <t>2268</t>
  </si>
  <si>
    <t>M. ALI MUBAROK</t>
  </si>
  <si>
    <t>2285</t>
  </si>
  <si>
    <t>FEBRIANTO</t>
  </si>
  <si>
    <t>2360</t>
  </si>
  <si>
    <t>ARI MANDALA PUTRA</t>
  </si>
  <si>
    <t>2411</t>
  </si>
  <si>
    <t>ANGGA SAPUTRA</t>
  </si>
  <si>
    <t>2412</t>
  </si>
  <si>
    <t>RENGGA SAPUTRA</t>
  </si>
  <si>
    <t>2442</t>
  </si>
  <si>
    <t>ANGGA SAPUTRA KOTO</t>
  </si>
  <si>
    <t>2484</t>
  </si>
  <si>
    <t>YUDIANSYAH</t>
  </si>
  <si>
    <t>2577</t>
  </si>
  <si>
    <t>ALFIN ISLAMI IBNU MUSLIM</t>
  </si>
  <si>
    <t>2578</t>
  </si>
  <si>
    <t>GUSTIAN</t>
  </si>
  <si>
    <t>2579</t>
  </si>
  <si>
    <t>ANGGA DINATA</t>
  </si>
  <si>
    <t>2581</t>
  </si>
  <si>
    <t>ADRIANSYAH</t>
  </si>
  <si>
    <t>2598</t>
  </si>
  <si>
    <t>ANDRE SANJAYA</t>
  </si>
  <si>
    <t>2609</t>
  </si>
  <si>
    <t>WAHYU HARIYADI</t>
  </si>
  <si>
    <t>2718</t>
  </si>
  <si>
    <t>RIYAN WAHYUDI</t>
  </si>
  <si>
    <t xml:space="preserve">HENDRIK YANTO </t>
  </si>
  <si>
    <t xml:space="preserve">AWANG  HERMAWAN SAPUTRA </t>
  </si>
  <si>
    <t xml:space="preserve">SANDI RANTIKA </t>
  </si>
  <si>
    <t xml:space="preserve">RIVALDI </t>
  </si>
  <si>
    <t xml:space="preserve">ROHMAN </t>
  </si>
  <si>
    <t>HERI SUSANTO</t>
  </si>
  <si>
    <t>ZAKARIA PUTRA UTAMA</t>
  </si>
  <si>
    <t>ILHAM MAHARDIKA</t>
  </si>
  <si>
    <t>NEW</t>
  </si>
  <si>
    <t>RIO MEIDIANSYAH</t>
  </si>
  <si>
    <t>MUSTIFAL JAYA</t>
  </si>
  <si>
    <t>1393</t>
  </si>
  <si>
    <t xml:space="preserve">ISHAK </t>
  </si>
  <si>
    <t>Resign 13 Aug 21</t>
  </si>
  <si>
    <t>1397</t>
  </si>
  <si>
    <t xml:space="preserve">JUSRIZAL </t>
  </si>
  <si>
    <t>Resign 14 Aug 21</t>
  </si>
  <si>
    <t>1773</t>
  </si>
  <si>
    <t>MISBAHUDIN</t>
  </si>
  <si>
    <t>1871</t>
  </si>
  <si>
    <t>YAPET DIUSASTRO</t>
  </si>
  <si>
    <t>1872</t>
  </si>
  <si>
    <t>BUNUR</t>
  </si>
  <si>
    <t>2580</t>
  </si>
  <si>
    <t>RIDWANSYAH</t>
  </si>
  <si>
    <t>1077</t>
  </si>
  <si>
    <t xml:space="preserve">IBNU IFAN </t>
  </si>
  <si>
    <t>1155</t>
  </si>
  <si>
    <t xml:space="preserve">VATI LAXA NORULLAH </t>
  </si>
  <si>
    <t>1770</t>
  </si>
  <si>
    <t>RAMADHAN</t>
  </si>
  <si>
    <t>2443</t>
  </si>
  <si>
    <t>CHRIS HARRY KALA</t>
  </si>
  <si>
    <t>2775</t>
  </si>
  <si>
    <t>RUDI LEO PRAMANA PUTRA HARAHAP</t>
  </si>
  <si>
    <t>Dibuat</t>
  </si>
  <si>
    <t>Menyetujui,</t>
  </si>
  <si>
    <t xml:space="preserve"> (Payroll)</t>
  </si>
  <si>
    <t>( Driver Management ASSA )</t>
  </si>
  <si>
    <t>( AP ASSA)</t>
  </si>
  <si>
    <t>( ADH ASSA)</t>
  </si>
  <si>
    <t xml:space="preserve">            ( District Head ASSA)</t>
  </si>
  <si>
    <t xml:space="preserve">Tagihan Driver  PT. Assa Logistics ( Banjarmasin - SAT )</t>
  </si>
  <si>
    <t xml:space="preserve">Periode Bulan Agustus  2021</t>
  </si>
  <si>
    <t>Perleng kapan</t>
  </si>
  <si>
    <t>0114</t>
  </si>
  <si>
    <t>BANJAR MASIN</t>
  </si>
  <si>
    <t>0118</t>
  </si>
  <si>
    <t>UC</t>
  </si>
  <si>
    <t>0265</t>
  </si>
  <si>
    <t>0238</t>
  </si>
  <si>
    <t>ACHMAT SYAH ARIFUDIN</t>
  </si>
  <si>
    <t>0129</t>
  </si>
  <si>
    <t>M. YUSRI</t>
  </si>
  <si>
    <t>0984</t>
  </si>
  <si>
    <t>MUHAMMAD AHADI</t>
  </si>
  <si>
    <t>FUEL MANAGEMENT</t>
  </si>
  <si>
    <t>1313</t>
  </si>
  <si>
    <t xml:space="preserve">MUHAMMAD AULIA </t>
  </si>
  <si>
    <t>CHEKER</t>
  </si>
  <si>
    <t>2473</t>
  </si>
  <si>
    <t>MUHAIMIN</t>
  </si>
  <si>
    <t>MUHAMMAD SAPUTRA</t>
  </si>
  <si>
    <t>FREDY SAPUTRA</t>
  </si>
  <si>
    <t>0117</t>
  </si>
  <si>
    <t>BAHRUDIN</t>
  </si>
  <si>
    <t>0119</t>
  </si>
  <si>
    <t>GATOT SUKOCO</t>
  </si>
  <si>
    <t>0122</t>
  </si>
  <si>
    <t>JAZULI</t>
  </si>
  <si>
    <t>0130</t>
  </si>
  <si>
    <t>MULKAN</t>
  </si>
  <si>
    <t>0136</t>
  </si>
  <si>
    <t>RUSLI</t>
  </si>
  <si>
    <t>0137</t>
  </si>
  <si>
    <t>SIGIT AGUSTINUS PRASETIO</t>
  </si>
  <si>
    <t>0197</t>
  </si>
  <si>
    <t>MUHAMMAD JUMRI</t>
  </si>
  <si>
    <t>0239</t>
  </si>
  <si>
    <t>AHMAD SANGAJI</t>
  </si>
  <si>
    <t>0242</t>
  </si>
  <si>
    <t>FITRI JULIAN NOOR</t>
  </si>
  <si>
    <t>0245</t>
  </si>
  <si>
    <t>IMANSYAH</t>
  </si>
  <si>
    <t>0246</t>
  </si>
  <si>
    <t>JUNAIDI</t>
  </si>
  <si>
    <t>0247</t>
  </si>
  <si>
    <t>JUNIOR</t>
  </si>
  <si>
    <t>0248</t>
  </si>
  <si>
    <t>MUHAMMAD FITRIYADI NOOR</t>
  </si>
  <si>
    <t>0251</t>
  </si>
  <si>
    <t>MUTOHAR</t>
  </si>
  <si>
    <t>0254</t>
  </si>
  <si>
    <t>SARILILLAH</t>
  </si>
  <si>
    <t>0255</t>
  </si>
  <si>
    <t>SURIYADI</t>
  </si>
  <si>
    <t>0257</t>
  </si>
  <si>
    <t>SYAIFULLAH</t>
  </si>
  <si>
    <t>0261</t>
  </si>
  <si>
    <t>LUKMAN JAILANI</t>
  </si>
  <si>
    <t>0262</t>
  </si>
  <si>
    <t>MUHAMMAD RAMADHANI</t>
  </si>
  <si>
    <t>0266</t>
  </si>
  <si>
    <t>MUHAMMAD JULI HARIADI</t>
  </si>
  <si>
    <t>0267</t>
  </si>
  <si>
    <t>TRI WIYANTO</t>
  </si>
  <si>
    <t>0298</t>
  </si>
  <si>
    <t>M.MUJIBUR RAHMAN</t>
  </si>
  <si>
    <t>0299</t>
  </si>
  <si>
    <t>AMRULLAH</t>
  </si>
  <si>
    <t>0392</t>
  </si>
  <si>
    <t xml:space="preserve">MUHAMMAD HASNAN </t>
  </si>
  <si>
    <t>0956</t>
  </si>
  <si>
    <t>FAISAL RAHMAN</t>
  </si>
  <si>
    <t>0957</t>
  </si>
  <si>
    <t xml:space="preserve">TAUFIKKURRAHMAN </t>
  </si>
  <si>
    <t>0958</t>
  </si>
  <si>
    <t xml:space="preserve">MUHAMMAD NORZAIN </t>
  </si>
  <si>
    <t>0960</t>
  </si>
  <si>
    <t>NANDA DICKY FATKHUROZI</t>
  </si>
  <si>
    <t>0961</t>
  </si>
  <si>
    <t xml:space="preserve">LUKMANUL HAKIM </t>
  </si>
  <si>
    <t>0962</t>
  </si>
  <si>
    <t xml:space="preserve">AGUS PAHRIADI </t>
  </si>
  <si>
    <t>0963</t>
  </si>
  <si>
    <t>ARBANI</t>
  </si>
  <si>
    <t>0967</t>
  </si>
  <si>
    <t>SURONO</t>
  </si>
  <si>
    <t>0969</t>
  </si>
  <si>
    <t xml:space="preserve">IWAN SETIAWAN </t>
  </si>
  <si>
    <t>0971</t>
  </si>
  <si>
    <t>MUHAMMAD SARUJI</t>
  </si>
  <si>
    <t>0973</t>
  </si>
  <si>
    <t>EDI ILSIWONG</t>
  </si>
  <si>
    <t>0980</t>
  </si>
  <si>
    <t>AKHMAD RIADY</t>
  </si>
  <si>
    <t>1038</t>
  </si>
  <si>
    <t xml:space="preserve">M. ZAINI </t>
  </si>
  <si>
    <t>1039</t>
  </si>
  <si>
    <t>SUKRISMA</t>
  </si>
  <si>
    <t>1042</t>
  </si>
  <si>
    <t xml:space="preserve">IHSAN AZIS </t>
  </si>
  <si>
    <t>1065</t>
  </si>
  <si>
    <t xml:space="preserve">MUHAMMAD FAISAL ARSYAD </t>
  </si>
  <si>
    <t>1066</t>
  </si>
  <si>
    <t xml:space="preserve">BAKHTIAR </t>
  </si>
  <si>
    <t>1069</t>
  </si>
  <si>
    <t xml:space="preserve">MUHAMMAD EFFENDI </t>
  </si>
  <si>
    <t>1070</t>
  </si>
  <si>
    <t xml:space="preserve">HERIYADI </t>
  </si>
  <si>
    <t>1071</t>
  </si>
  <si>
    <t xml:space="preserve">AHMAD SAFARUDIN </t>
  </si>
  <si>
    <t>1073</t>
  </si>
  <si>
    <t xml:space="preserve">PARIT JAKKIY </t>
  </si>
  <si>
    <t>1090</t>
  </si>
  <si>
    <t xml:space="preserve">ANDIKA PANJI SAPUTRA </t>
  </si>
  <si>
    <t>1253</t>
  </si>
  <si>
    <t xml:space="preserve">AHMAD FAUZI </t>
  </si>
  <si>
    <t>1312</t>
  </si>
  <si>
    <t xml:space="preserve">KHAIRI </t>
  </si>
  <si>
    <t>1388</t>
  </si>
  <si>
    <t>RAJIONO</t>
  </si>
  <si>
    <t>1391</t>
  </si>
  <si>
    <t xml:space="preserve">FAHRIANSYAH </t>
  </si>
  <si>
    <t>1433</t>
  </si>
  <si>
    <t xml:space="preserve">RUDI YANTO </t>
  </si>
  <si>
    <t>1434</t>
  </si>
  <si>
    <t xml:space="preserve">NUPRIYADIANSYAH </t>
  </si>
  <si>
    <t>1435</t>
  </si>
  <si>
    <t xml:space="preserve">AGNES DIPTA ARDIKRISNA </t>
  </si>
  <si>
    <t>1436</t>
  </si>
  <si>
    <t xml:space="preserve">M FADEL ALIANTO AL QUBAISYAH </t>
  </si>
  <si>
    <t>1547</t>
  </si>
  <si>
    <t>RAMLANI</t>
  </si>
  <si>
    <t>1548</t>
  </si>
  <si>
    <t>SYAHRIADI</t>
  </si>
  <si>
    <t>1550</t>
  </si>
  <si>
    <t>ALBY JAKA ROMANA</t>
  </si>
  <si>
    <t>1659</t>
  </si>
  <si>
    <t>ACHMAD</t>
  </si>
  <si>
    <t>1844</t>
  </si>
  <si>
    <t>NUR SHOLHAN</t>
  </si>
  <si>
    <t>1869</t>
  </si>
  <si>
    <t>AKHMAD WAHYUDINNOR</t>
  </si>
  <si>
    <t>1911</t>
  </si>
  <si>
    <t>MUHAMMAD FAUZAN</t>
  </si>
  <si>
    <t>2224</t>
  </si>
  <si>
    <t>SLAMET GUNAWAN FAJAR</t>
  </si>
  <si>
    <t>2286</t>
  </si>
  <si>
    <t>RIZKI PRAYOGA</t>
  </si>
  <si>
    <t>2382</t>
  </si>
  <si>
    <t>MURSIDUL AMIN</t>
  </si>
  <si>
    <t>2383</t>
  </si>
  <si>
    <t>MUHAMMAD NASIR</t>
  </si>
  <si>
    <t>2445</t>
  </si>
  <si>
    <t>AGUS SUPIAN</t>
  </si>
  <si>
    <t>2449</t>
  </si>
  <si>
    <t>MULKANI</t>
  </si>
  <si>
    <t>RAJIBIANSYAH</t>
  </si>
  <si>
    <t>2547</t>
  </si>
  <si>
    <t>JUANTO</t>
  </si>
  <si>
    <t>2576</t>
  </si>
  <si>
    <t>MUHAMMAD PARYOGA</t>
  </si>
  <si>
    <t>2583</t>
  </si>
  <si>
    <t>EFENDI NURDIANSYAH</t>
  </si>
  <si>
    <t>2711</t>
  </si>
  <si>
    <t>M ARIF RAHMAN</t>
  </si>
  <si>
    <t xml:space="preserve">ADITYA KURNIAWAN </t>
  </si>
  <si>
    <t>FAZRIANSYAH</t>
  </si>
  <si>
    <t>out 05 agustus 2021</t>
  </si>
  <si>
    <t>0964</t>
  </si>
  <si>
    <t xml:space="preserve">HERU SETIAWAN </t>
  </si>
  <si>
    <t>0970</t>
  </si>
  <si>
    <t xml:space="preserve">TAUFIK ISMAIL </t>
  </si>
  <si>
    <t>2712</t>
  </si>
  <si>
    <t>YUDI</t>
  </si>
  <si>
    <t>0965</t>
  </si>
  <si>
    <t>MUHAMMAD HANAFI</t>
  </si>
  <si>
    <t xml:space="preserve">Karawang,  16 Agustus 2020</t>
  </si>
  <si>
    <t xml:space="preserve">  </t>
  </si>
  <si>
    <t xml:space="preserve">Tagihan Driver  PT. Assa Logistics ( ANTERAJA BALIKPAPAN )</t>
  </si>
  <si>
    <t>1818</t>
  </si>
  <si>
    <t>ARIFKI EKAPUTRA</t>
  </si>
  <si>
    <t>BALIKPAPAN</t>
  </si>
  <si>
    <t>ANTERAJA</t>
  </si>
  <si>
    <t>2761</t>
  </si>
  <si>
    <t>HASAN ASHARI</t>
  </si>
  <si>
    <t xml:space="preserve">Tagihan Driver  PT. Assa Logistics ( ANTERAJA PALANGKARAYA )</t>
  </si>
  <si>
    <t>2474</t>
  </si>
  <si>
    <t>ALBA JAKA ROMARA</t>
  </si>
  <si>
    <t>PALANGKARAYA</t>
  </si>
  <si>
    <t>2517</t>
  </si>
  <si>
    <t>LOKMAN</t>
  </si>
  <si>
    <t>2714</t>
  </si>
  <si>
    <t>ABBY NURYA JAVIKA</t>
  </si>
  <si>
    <t xml:space="preserve">Tagihan Driver  PT. Assa Logistics ( ANTERAJA BANJARMASIN )</t>
  </si>
  <si>
    <t>1733</t>
  </si>
  <si>
    <t>ARIF MASHURI</t>
  </si>
  <si>
    <t>BANJARMASIN</t>
  </si>
  <si>
    <t>1775</t>
  </si>
  <si>
    <t>PARWOKO</t>
  </si>
  <si>
    <t>2372</t>
  </si>
  <si>
    <t>ANASRULLAH</t>
  </si>
  <si>
    <t>2545</t>
  </si>
  <si>
    <t>TARMIJI</t>
  </si>
  <si>
    <t>2713</t>
  </si>
  <si>
    <t>SUKMA ALPIADI</t>
  </si>
  <si>
    <t xml:space="preserve">Tagihan Driver  PT. Assa Logistics ( ANTERAJA BANGKABELITUNG )</t>
  </si>
  <si>
    <t>2733</t>
  </si>
  <si>
    <t>ERY EKA YUDHISTIRA BAYU AJI</t>
  </si>
  <si>
    <t>BANGKABELITUNG</t>
  </si>
  <si>
    <t>covid, gajinya d potong untuk pengganti</t>
  </si>
  <si>
    <t xml:space="preserve">Tagihan Driver  PT. Assa Logistics ( ANTERAJA PANGKAL PINANG )</t>
  </si>
  <si>
    <t>1458</t>
  </si>
  <si>
    <t xml:space="preserve">LEO GATRA PERSADA </t>
  </si>
  <si>
    <t>PANGKAL PINANG</t>
  </si>
  <si>
    <t>MUHAMMAD APRIANSYAH</t>
  </si>
  <si>
    <t xml:space="preserve">Tagihan Driver  PT. Assa Logistics ( ANTERAJA PONTIANAK )</t>
  </si>
  <si>
    <t>1339</t>
  </si>
  <si>
    <t xml:space="preserve">DEDI ASTRIADI </t>
  </si>
  <si>
    <t>1340</t>
  </si>
  <si>
    <t xml:space="preserve">ANDI YAHYA GAUTAMA </t>
  </si>
  <si>
    <t>1457</t>
  </si>
  <si>
    <t xml:space="preserve">TONY HARYANTO </t>
  </si>
  <si>
    <t>EGI PRAMANA</t>
  </si>
  <si>
    <t>MUHAMMAD ARI SANDI</t>
  </si>
  <si>
    <t>2582</t>
  </si>
  <si>
    <t>ABDUL KARIM</t>
  </si>
  <si>
    <t xml:space="preserve">Tagihan Driver  PT. Assa Logistics ( ANTERAJA JAMBI )</t>
  </si>
  <si>
    <t>1355</t>
  </si>
  <si>
    <t xml:space="preserve">ACEP WIDODO </t>
  </si>
  <si>
    <t>JAMBI</t>
  </si>
  <si>
    <t>1456</t>
  </si>
  <si>
    <t xml:space="preserve">YANDRA PRATIKTO </t>
  </si>
  <si>
    <t>2099</t>
  </si>
  <si>
    <t>TRI RINALDY</t>
  </si>
  <si>
    <t>M FITRA ADITYAWARMAN</t>
  </si>
  <si>
    <t>M RIYAN GUSRIZA</t>
  </si>
  <si>
    <t>SUPRIADI</t>
  </si>
  <si>
    <t xml:space="preserve">IMRON MAULANA </t>
  </si>
  <si>
    <t xml:space="preserve">Tagihan Driver  PT. Assa Logistics ( ANTERAJA LAMPUNG )</t>
  </si>
  <si>
    <t>1337</t>
  </si>
  <si>
    <t>DAYAT</t>
  </si>
  <si>
    <t>LAMPUNG</t>
  </si>
  <si>
    <t>1338</t>
  </si>
  <si>
    <t xml:space="preserve">DODY FIRMANSYAH </t>
  </si>
  <si>
    <t>1455</t>
  </si>
  <si>
    <t xml:space="preserve">BONDAN MARTADINATA </t>
  </si>
  <si>
    <t>1885</t>
  </si>
  <si>
    <t>DORI SUTRISNO</t>
  </si>
  <si>
    <t>2354</t>
  </si>
  <si>
    <t>AFIT FREZA FAINAKA</t>
  </si>
  <si>
    <t>2356</t>
  </si>
  <si>
    <t>WAHYU GUNAWAN</t>
  </si>
  <si>
    <t xml:space="preserve">ASRIL </t>
  </si>
  <si>
    <t xml:space="preserve">Tagihan Driver  PT. Assa Logistics ( PALEMBANG )</t>
  </si>
  <si>
    <t>2315</t>
  </si>
  <si>
    <t>BAMBANG SULISTIO</t>
  </si>
  <si>
    <t>PALEMBANG</t>
  </si>
  <si>
    <t>1334</t>
  </si>
  <si>
    <t xml:space="preserve">ANDRI KURNIAWAN </t>
  </si>
  <si>
    <t>1335</t>
  </si>
  <si>
    <t>MARDIANSYAH KOMARA</t>
  </si>
  <si>
    <t>1336</t>
  </si>
  <si>
    <t xml:space="preserve">TRYERVANI </t>
  </si>
  <si>
    <t>1407</t>
  </si>
  <si>
    <t xml:space="preserve">INDRA MULYAWAN </t>
  </si>
  <si>
    <t>1452</t>
  </si>
  <si>
    <t xml:space="preserve">RIO ABRAHAM ISMAIL </t>
  </si>
  <si>
    <t>1453</t>
  </si>
  <si>
    <t xml:space="preserve">TRIWIBOWO ROMADHON </t>
  </si>
  <si>
    <t>1672</t>
  </si>
  <si>
    <t xml:space="preserve">HARIANSYAH </t>
  </si>
  <si>
    <t>1673</t>
  </si>
  <si>
    <t xml:space="preserve">ARI SAPUTRA </t>
  </si>
  <si>
    <t>1674</t>
  </si>
  <si>
    <t xml:space="preserve">RACHMATULLAH PUTRA </t>
  </si>
  <si>
    <t>1675</t>
  </si>
  <si>
    <t xml:space="preserve">HENDRA WIJAYA </t>
  </si>
  <si>
    <t>1796</t>
  </si>
  <si>
    <t>PIRMANSAH</t>
  </si>
  <si>
    <t>1927</t>
  </si>
  <si>
    <t>HENDRA KURNIAWAN</t>
  </si>
  <si>
    <t>MUCHAMAD RIFAI</t>
  </si>
  <si>
    <t>BAGUS PRAYODI</t>
  </si>
  <si>
    <t>EKA MARDIANSYAH</t>
  </si>
  <si>
    <t>2355</t>
  </si>
  <si>
    <t>RUDI MULYANTO</t>
  </si>
  <si>
    <t>2394</t>
  </si>
  <si>
    <t>M RIZAL</t>
  </si>
  <si>
    <t>2369</t>
  </si>
  <si>
    <t>KGS M BADARUDIN</t>
  </si>
  <si>
    <t>2395</t>
  </si>
  <si>
    <t>SANDI</t>
  </si>
  <si>
    <t>2414</t>
  </si>
  <si>
    <t>DIKO APRIANTO</t>
  </si>
  <si>
    <t>2515</t>
  </si>
  <si>
    <t>SETIO PRABOWO</t>
  </si>
  <si>
    <t>2588</t>
  </si>
  <si>
    <t>HERMANSYAH</t>
  </si>
  <si>
    <t>ASSA LOGISTICS</t>
  </si>
  <si>
    <t>LAPORAN IN &amp; OUT</t>
  </si>
  <si>
    <t>TAHUN 2020</t>
  </si>
  <si>
    <t>DISTRICT :</t>
  </si>
  <si>
    <t>Vendor : PT. MULIA BINTANG KEJORA</t>
  </si>
  <si>
    <t>Nama Karyawan</t>
  </si>
  <si>
    <t>Tgl In</t>
  </si>
  <si>
    <t>Tgl Out</t>
  </si>
  <si>
    <t>Penempatan Area Kerja</t>
  </si>
  <si>
    <t>Gapok</t>
  </si>
  <si>
    <t>Tunjangan UMP</t>
  </si>
  <si>
    <t>KETERANGAN</t>
  </si>
  <si>
    <t>Lokasi Kerja</t>
  </si>
  <si>
    <t>Operating Point</t>
  </si>
  <si>
    <t>(RP)</t>
  </si>
  <si>
    <t>RAHMADIYANSYAH</t>
  </si>
  <si>
    <t>JANUARI</t>
  </si>
  <si>
    <t>ERLAN SHAPOETRA</t>
  </si>
  <si>
    <t>MANSYURI SAPUTRA</t>
  </si>
  <si>
    <t>SYAHRUDIN</t>
  </si>
  <si>
    <t xml:space="preserve">PAHRURRAJI </t>
  </si>
  <si>
    <t>AHMAD ATTIJANI</t>
  </si>
  <si>
    <t>ABDUL RAHMAN</t>
  </si>
  <si>
    <t>MUHAMMAD TAUFIK</t>
  </si>
  <si>
    <t>M MUKHLISIN</t>
  </si>
  <si>
    <t xml:space="preserve">DENY YANUAR </t>
  </si>
  <si>
    <t>DWI INDRA PRASETYO</t>
  </si>
  <si>
    <t>HENDY</t>
  </si>
  <si>
    <t xml:space="preserve">PIRHAM BACTI KURNIAWAN </t>
  </si>
  <si>
    <t>EKKI SAPUTRA</t>
  </si>
  <si>
    <t xml:space="preserve">SEINAL ARIFIN </t>
  </si>
  <si>
    <t>JASMIN</t>
  </si>
  <si>
    <t xml:space="preserve">AHMAD IDRIS </t>
  </si>
  <si>
    <t>MAWARDI</t>
  </si>
  <si>
    <t>SYARIF MUHAMMAD IZWAN</t>
  </si>
  <si>
    <t>WANDI</t>
  </si>
  <si>
    <t>HALIM</t>
  </si>
  <si>
    <t>ZULKIFLI</t>
  </si>
  <si>
    <t xml:space="preserve">LUTFI AMARULLAH </t>
  </si>
  <si>
    <t xml:space="preserve">EKO SUMYAR </t>
  </si>
  <si>
    <t xml:space="preserve">SUTRISNO </t>
  </si>
  <si>
    <t xml:space="preserve">HANS AHMADA MEKA </t>
  </si>
  <si>
    <t>WISNU HARUNGGUAN NAULI</t>
  </si>
  <si>
    <t xml:space="preserve">RULI </t>
  </si>
  <si>
    <t xml:space="preserve">MOHAMMAD SOLEH </t>
  </si>
  <si>
    <t>FIRDAUSYAH</t>
  </si>
  <si>
    <t xml:space="preserve">YUDI ALFIANSYAH </t>
  </si>
  <si>
    <t>SEFTIA ANDRI YANSYAH</t>
  </si>
  <si>
    <t>SUKARSA</t>
  </si>
  <si>
    <t xml:space="preserve">MASHUDI </t>
  </si>
  <si>
    <t xml:space="preserve">IRWANSYAH SYAHPUTRA </t>
  </si>
  <si>
    <t xml:space="preserve">MISRIADI </t>
  </si>
  <si>
    <t>RAWABUAYA</t>
  </si>
  <si>
    <t xml:space="preserve">MUHIBIN </t>
  </si>
  <si>
    <t xml:space="preserve">HENDRI ANANDA PUTRA </t>
  </si>
  <si>
    <t xml:space="preserve">ZULFAHMI PASARIBU </t>
  </si>
  <si>
    <t xml:space="preserve">AMIR FATAH </t>
  </si>
  <si>
    <t xml:space="preserve">SATRIA BUANA </t>
  </si>
  <si>
    <t xml:space="preserve">SUHENDRI </t>
  </si>
  <si>
    <t xml:space="preserve">JERI HAMDANI </t>
  </si>
  <si>
    <t xml:space="preserve">ZARKASI </t>
  </si>
  <si>
    <t>PURWANTO</t>
  </si>
  <si>
    <t>TOGAP PRAYITNO</t>
  </si>
  <si>
    <t>WAHYUDI</t>
  </si>
  <si>
    <t>WARKAD AHMAD</t>
  </si>
  <si>
    <t>MANADO</t>
  </si>
  <si>
    <t>ROKNES KAKOMOLE</t>
  </si>
  <si>
    <t xml:space="preserve">ALI SANDRA </t>
  </si>
  <si>
    <t>FEBRUARI</t>
  </si>
  <si>
    <t xml:space="preserve">RAHMAD </t>
  </si>
  <si>
    <t xml:space="preserve">RACHMAD FIRDAUS </t>
  </si>
  <si>
    <t>AS ADI</t>
  </si>
  <si>
    <t>ULUN BAYU WIYANTO</t>
  </si>
  <si>
    <t>AHMAD SUMADI</t>
  </si>
  <si>
    <t xml:space="preserve">IKHSAN AZIS </t>
  </si>
  <si>
    <t>AHMAD SAIPUL .A</t>
  </si>
  <si>
    <t>ACEP KOMARUDIN</t>
  </si>
  <si>
    <t>ANTAR AJA</t>
  </si>
  <si>
    <t>AGUS PRIANTO</t>
  </si>
  <si>
    <t>AMIR MULTIDI</t>
  </si>
  <si>
    <t>ANDRIYANTO</t>
  </si>
  <si>
    <t>ANGGI ANDRIANSYAH</t>
  </si>
  <si>
    <t>ARDIAN RIZKY MAULANA</t>
  </si>
  <si>
    <t>BAGAS SAPUTRA</t>
  </si>
  <si>
    <t>BUDI SUBAGYA</t>
  </si>
  <si>
    <t>DICKY SAPUTRA</t>
  </si>
  <si>
    <t>HAMDI MAULANA</t>
  </si>
  <si>
    <t>HARIYANTO (A)</t>
  </si>
  <si>
    <t>HARTANTO</t>
  </si>
  <si>
    <t>JOHARSI</t>
  </si>
  <si>
    <t>M. HADIANSYAH</t>
  </si>
  <si>
    <t>MOH. FIRDIANSYAH YUSUF</t>
  </si>
  <si>
    <t>RAHMAN ALI NURDIN</t>
  </si>
  <si>
    <t>RIZKY FADILLAH</t>
  </si>
  <si>
    <t>SUGIONO</t>
  </si>
  <si>
    <t>SUPRAYANTO</t>
  </si>
  <si>
    <t>U. SIDIK KHOIRUL MA'RUF</t>
  </si>
  <si>
    <t>YAYAN HENDRIYANI YUSUP</t>
  </si>
  <si>
    <t xml:space="preserve">A.FATAHUDIN </t>
  </si>
  <si>
    <t>ABDULLAH H AHMAD ISMAIL</t>
  </si>
  <si>
    <t>HERI NURDIN</t>
  </si>
  <si>
    <t>INDRA SUTARMAN</t>
  </si>
  <si>
    <t>TEGUH SAMPURNO</t>
  </si>
  <si>
    <t xml:space="preserve">TUKIRNO </t>
  </si>
  <si>
    <t>HARIYANTO (B)</t>
  </si>
  <si>
    <t>ROY MARTHIN HUTAJULU</t>
  </si>
  <si>
    <t>SUDRAJAT</t>
  </si>
  <si>
    <t>AWAL SIANIPAR</t>
  </si>
  <si>
    <t>RYAN IRAWAN</t>
  </si>
  <si>
    <t>WAHYU</t>
  </si>
  <si>
    <t xml:space="preserve">DARSANI </t>
  </si>
  <si>
    <t xml:space="preserve">AHMAD BADRI </t>
  </si>
  <si>
    <t xml:space="preserve">JUNAEDI </t>
  </si>
  <si>
    <t>ARIF</t>
  </si>
  <si>
    <t xml:space="preserve">RUDI RIYANTO </t>
  </si>
  <si>
    <t xml:space="preserve">ABDUL LATIEF BUYUNG </t>
  </si>
  <si>
    <t>MUKTAR</t>
  </si>
  <si>
    <t>HARYANTO HIDAYAT</t>
  </si>
  <si>
    <t xml:space="preserve">AGUNG HARI PRASETYO </t>
  </si>
  <si>
    <t>ARIF MULYADI</t>
  </si>
  <si>
    <t xml:space="preserve">JONI VERSON SIMANJUNTAK </t>
  </si>
  <si>
    <t>DEDI SETIAWAN</t>
  </si>
  <si>
    <t xml:space="preserve">ARIF RAHARJO </t>
  </si>
  <si>
    <t xml:space="preserve">FAHRI SEPTIANTO </t>
  </si>
  <si>
    <t xml:space="preserve">RANTO SITOMPUL </t>
  </si>
  <si>
    <t xml:space="preserve">INDRAMANTO </t>
  </si>
  <si>
    <t xml:space="preserve">ABDUL KARIM </t>
  </si>
  <si>
    <t>RAWA BUAYA</t>
  </si>
  <si>
    <t xml:space="preserve">ACUM SUKIMAN </t>
  </si>
  <si>
    <t>AHMAD MUKORI</t>
  </si>
  <si>
    <t>AHMAD SUDRAJAT</t>
  </si>
  <si>
    <t>ANJAS SETIAWAN</t>
  </si>
  <si>
    <t>ARIS INDRIANA</t>
  </si>
  <si>
    <t>CHUSNANTO</t>
  </si>
  <si>
    <t xml:space="preserve">DEDI SETYA WIBOWO </t>
  </si>
  <si>
    <t>DEDI SYARIFUDIN</t>
  </si>
  <si>
    <t>ERWIN IRAWAN</t>
  </si>
  <si>
    <t>HERMAN</t>
  </si>
  <si>
    <t>HERU FEBRI PRAYOGI</t>
  </si>
  <si>
    <t>JUMEDI</t>
  </si>
  <si>
    <t>KRISNO</t>
  </si>
  <si>
    <t>M. FAHMI</t>
  </si>
  <si>
    <t>MAD URIP</t>
  </si>
  <si>
    <t>MOHAMAD SOLEH</t>
  </si>
  <si>
    <t>MU'AFI</t>
  </si>
  <si>
    <t>M. CHOLIS NURANDI</t>
  </si>
  <si>
    <t>MUHAMMAD IBNU</t>
  </si>
  <si>
    <t>MUHTADI</t>
  </si>
  <si>
    <t>NURJAMAN</t>
  </si>
  <si>
    <t>PUPUT ARISTIYANTO</t>
  </si>
  <si>
    <t>RAMA SAPUTRA</t>
  </si>
  <si>
    <t>RASNO</t>
  </si>
  <si>
    <t>RIKO</t>
  </si>
  <si>
    <t>ROKHIMIN</t>
  </si>
  <si>
    <t xml:space="preserve">SULUKI </t>
  </si>
  <si>
    <t>SUMADI</t>
  </si>
  <si>
    <t xml:space="preserve">SUNARDI </t>
  </si>
  <si>
    <t>SUPRIADI SUBUR</t>
  </si>
  <si>
    <t>TEGUH PRAYITNO</t>
  </si>
  <si>
    <t>YUDHA ADI SAMUDRA</t>
  </si>
  <si>
    <t xml:space="preserve">YULIANTO BUDI PRASETYO </t>
  </si>
  <si>
    <t>ANDRES RAENATA</t>
  </si>
  <si>
    <t xml:space="preserve">RIKY SUWASKAM </t>
  </si>
  <si>
    <t xml:space="preserve">GUNGUN SAFARI TRIGUNA </t>
  </si>
  <si>
    <t>SONY GANTARA</t>
  </si>
  <si>
    <t>MUHAMAD IMAN SUTIANA</t>
  </si>
  <si>
    <t xml:space="preserve">UUS SURYAMAN </t>
  </si>
  <si>
    <t xml:space="preserve">ACHMAD SYAIPULLOH </t>
  </si>
  <si>
    <t xml:space="preserve">ANDRIYANTO </t>
  </si>
  <si>
    <t>TOMI</t>
  </si>
  <si>
    <t>PONDOK PINANG</t>
  </si>
  <si>
    <t>KEDAI SAYUR</t>
  </si>
  <si>
    <t>JIMMY FRANSISCO WAGIU</t>
  </si>
  <si>
    <t xml:space="preserve">FRANLY R. MANGULU </t>
  </si>
  <si>
    <t xml:space="preserve">FARLY AFRIDAN JOSUA KOLOMPOY </t>
  </si>
  <si>
    <t>MARET</t>
  </si>
  <si>
    <t>ASWAR SYAHRIR</t>
  </si>
  <si>
    <t>NAZEMI ALKAF</t>
  </si>
  <si>
    <t>MASYUDA</t>
  </si>
  <si>
    <t>AHMAD MAHYUNI</t>
  </si>
  <si>
    <t>ADI IRFANSYAH</t>
  </si>
  <si>
    <t xml:space="preserve">FAHLINDRA CAHYA SAPUTRA </t>
  </si>
  <si>
    <t xml:space="preserve">AGUS SUTOPO </t>
  </si>
  <si>
    <t xml:space="preserve">SALPIAN NOOR </t>
  </si>
  <si>
    <t>checker</t>
  </si>
  <si>
    <t>UM</t>
  </si>
  <si>
    <t xml:space="preserve">ENDANG SAPUTRA </t>
  </si>
  <si>
    <t>FREDI SANTOSO</t>
  </si>
  <si>
    <t>AJI GUNAWAN</t>
  </si>
  <si>
    <t>TADEUS KAHA</t>
  </si>
  <si>
    <t>JUNAIDI AMBO</t>
  </si>
  <si>
    <t xml:space="preserve">ORIENTASI HIA </t>
  </si>
  <si>
    <t>KENDAR</t>
  </si>
  <si>
    <t>SUHERMAN</t>
  </si>
  <si>
    <t>SINDU WAHYU HANGGARA</t>
  </si>
  <si>
    <t>MARUNDA</t>
  </si>
  <si>
    <t>MDR</t>
  </si>
  <si>
    <t xml:space="preserve">RYZKI PRASASTIAWAN </t>
  </si>
  <si>
    <t>MAKKASAR</t>
  </si>
  <si>
    <t xml:space="preserve">JOHAN LAKORU </t>
  </si>
  <si>
    <t>GORONTALO</t>
  </si>
  <si>
    <t xml:space="preserve">RISZKY RINALDI SABA </t>
  </si>
  <si>
    <t xml:space="preserve">YASIN ACHMAD </t>
  </si>
  <si>
    <t xml:space="preserve">NIZAM RAMADHAN </t>
  </si>
  <si>
    <t xml:space="preserve">ADNAN HANAPI </t>
  </si>
  <si>
    <t>APRIL</t>
  </si>
  <si>
    <t>MADE OKPIYAN DADAK</t>
  </si>
  <si>
    <t xml:space="preserve">PANJI SETIAWAN </t>
  </si>
  <si>
    <t xml:space="preserve">FAJAR </t>
  </si>
  <si>
    <t xml:space="preserve">AGUS PRIYATNO </t>
  </si>
  <si>
    <t xml:space="preserve">SURIPNO </t>
  </si>
  <si>
    <t>IRWAN SAPUTRA</t>
  </si>
  <si>
    <t xml:space="preserve">JURAIDIN </t>
  </si>
  <si>
    <t xml:space="preserve">YUDI SURYANTO </t>
  </si>
  <si>
    <t xml:space="preserve">STEVEN DALA </t>
  </si>
  <si>
    <t>NOFRI SENDIE LALA</t>
  </si>
  <si>
    <t>AKHMAD ALFI R</t>
  </si>
  <si>
    <t>MEI</t>
  </si>
  <si>
    <t>MUHAMMAD RIO HAFIZI</t>
  </si>
  <si>
    <t xml:space="preserve">ALI MUSTOFA </t>
  </si>
  <si>
    <t xml:space="preserve">BOMBOM </t>
  </si>
  <si>
    <t xml:space="preserve">AHMAD SURANGGA </t>
  </si>
  <si>
    <t xml:space="preserve">SUBHILAL FIRDAUS </t>
  </si>
  <si>
    <t>DEDI MEILAKHI TLONAEN</t>
  </si>
  <si>
    <t>MUTASI DARI CK</t>
  </si>
  <si>
    <t>TRISNO NURMANSYAH</t>
  </si>
  <si>
    <t xml:space="preserve">MOCH ASEP KURNIAWAN </t>
  </si>
  <si>
    <t xml:space="preserve">SEPTIAN IMAM ARMADIAN </t>
  </si>
  <si>
    <t xml:space="preserve">TEGUH PRAYITNO </t>
  </si>
  <si>
    <t>TAMAN TECHN0</t>
  </si>
  <si>
    <t>AGUS SUTENO WARDHIANTO</t>
  </si>
  <si>
    <t>BOGOR</t>
  </si>
  <si>
    <t xml:space="preserve">MARDIYANTO </t>
  </si>
  <si>
    <t>NURKANDA</t>
  </si>
  <si>
    <t>SUNTER</t>
  </si>
  <si>
    <t>JUMAEDI</t>
  </si>
  <si>
    <t>KEDAY SAYUR</t>
  </si>
  <si>
    <t>MUTASI KE ANTERAJA</t>
  </si>
  <si>
    <t>USUP SUPRIANDI</t>
  </si>
  <si>
    <t>MICHAEL MEIDY PANGAILA</t>
  </si>
  <si>
    <t xml:space="preserve">MAULANA ISHAK </t>
  </si>
  <si>
    <t>JUNI</t>
  </si>
  <si>
    <t xml:space="preserve">PEGGI FAJAR SETIAWAN </t>
  </si>
  <si>
    <t>MUHAMMAD RIZKI</t>
  </si>
  <si>
    <t>SONI HARDIANSYAH</t>
  </si>
  <si>
    <t xml:space="preserve">ANANDA MOHAMMAD BAGUS SANJAYA </t>
  </si>
  <si>
    <t>GLIFO J IROT</t>
  </si>
  <si>
    <t>JULI</t>
  </si>
  <si>
    <t xml:space="preserve">MAHMUDIN </t>
  </si>
  <si>
    <t>ILHAMSYAH</t>
  </si>
  <si>
    <t>WARDI</t>
  </si>
  <si>
    <t>FEBRIANSYAH</t>
  </si>
  <si>
    <t xml:space="preserve">SUPARDI </t>
  </si>
  <si>
    <t>TUNGGAL NUR HIKMAH</t>
  </si>
  <si>
    <t>AGUSTUS</t>
  </si>
  <si>
    <t>MUHAMMAD GUSTIANSYAH</t>
  </si>
  <si>
    <t>MISRANUDDIN</t>
  </si>
  <si>
    <t>ARDIANSYAH</t>
  </si>
  <si>
    <t xml:space="preserve">WARDI </t>
  </si>
  <si>
    <t>WISNU SETIAWAN</t>
  </si>
  <si>
    <t xml:space="preserve">SUHANTO </t>
  </si>
  <si>
    <t>ARYANTO ERIKSON TAMPI</t>
  </si>
  <si>
    <t>SYAFRUDDIN J. KOLLY</t>
  </si>
  <si>
    <t>SEPTEMBER</t>
  </si>
  <si>
    <t>998</t>
  </si>
  <si>
    <t>302</t>
  </si>
  <si>
    <t>MANSYUR</t>
  </si>
  <si>
    <t xml:space="preserve">SAMUEL FALLO </t>
  </si>
  <si>
    <t>407</t>
  </si>
  <si>
    <t>ROMMY R LANGKUN</t>
  </si>
  <si>
    <t>408</t>
  </si>
  <si>
    <t>FARLY KADIR</t>
  </si>
  <si>
    <t>1296</t>
  </si>
  <si>
    <t xml:space="preserve">HOLMES </t>
  </si>
  <si>
    <t>BERLINA</t>
  </si>
  <si>
    <t>1297</t>
  </si>
  <si>
    <t xml:space="preserve">PURNOMO </t>
  </si>
  <si>
    <t>1298</t>
  </si>
  <si>
    <t xml:space="preserve">MOHAMAD IBNU WAHYUDI </t>
  </si>
  <si>
    <t>1299</t>
  </si>
  <si>
    <t xml:space="preserve">AGUS BUDIANTO </t>
  </si>
  <si>
    <t>1300</t>
  </si>
  <si>
    <t xml:space="preserve">LILIK AGUS SETIAWAN </t>
  </si>
  <si>
    <t>1301</t>
  </si>
  <si>
    <t xml:space="preserve">ADE ILHAMSYAH </t>
  </si>
  <si>
    <t>1302</t>
  </si>
  <si>
    <t xml:space="preserve">SYAEFULLOH </t>
  </si>
  <si>
    <t>1303</t>
  </si>
  <si>
    <t xml:space="preserve">BAGUS MAULANA SIGIT </t>
  </si>
  <si>
    <t>1304</t>
  </si>
  <si>
    <t xml:space="preserve">JUNAEDI ABDILLAH </t>
  </si>
  <si>
    <t>OKTOBER</t>
  </si>
  <si>
    <t>1130</t>
  </si>
  <si>
    <t>1315</t>
  </si>
  <si>
    <t xml:space="preserve">JUNIANTO </t>
  </si>
  <si>
    <t>1316</t>
  </si>
  <si>
    <t xml:space="preserve">AGUS RIFAI </t>
  </si>
  <si>
    <t>1317</t>
  </si>
  <si>
    <t xml:space="preserve">SUGIANTO </t>
  </si>
  <si>
    <t>988</t>
  </si>
  <si>
    <t>ANDRIAN SETYO WIDODO</t>
  </si>
  <si>
    <t>1214</t>
  </si>
  <si>
    <t>1213</t>
  </si>
  <si>
    <t>1361</t>
  </si>
  <si>
    <t xml:space="preserve">AGUNG PRAWIRA NEGARA </t>
  </si>
  <si>
    <t>791</t>
  </si>
  <si>
    <t>1362</t>
  </si>
  <si>
    <t xml:space="preserve">ADITYA NUGRAHA </t>
  </si>
  <si>
    <t>1363</t>
  </si>
  <si>
    <t xml:space="preserve">RAFLY RAIHAN ALAMSYAH </t>
  </si>
  <si>
    <t>1364</t>
  </si>
  <si>
    <t xml:space="preserve">RAYMUNDUS NARAN HULER </t>
  </si>
  <si>
    <t>1365</t>
  </si>
  <si>
    <t xml:space="preserve">FAISAL RIZAL </t>
  </si>
  <si>
    <t>1366</t>
  </si>
  <si>
    <t xml:space="preserve">ANGGA JULIO RACHMATAN </t>
  </si>
  <si>
    <t>1331</t>
  </si>
  <si>
    <t>MICHAEL MAEIDY PANGAILA</t>
  </si>
  <si>
    <t>1357</t>
  </si>
  <si>
    <t xml:space="preserve">DELLVY JONLY WETIK </t>
  </si>
  <si>
    <t>1358</t>
  </si>
  <si>
    <t xml:space="preserve">ZULKIFLI SAPUTRA </t>
  </si>
  <si>
    <t>1359</t>
  </si>
  <si>
    <t xml:space="preserve">JOHANES JEFRI LODEWIK ANDRIES </t>
  </si>
  <si>
    <t>1360</t>
  </si>
  <si>
    <t>545</t>
  </si>
  <si>
    <t xml:space="preserve">MICHAEL MARAMIS </t>
  </si>
  <si>
    <t>667</t>
  </si>
  <si>
    <t>RAFLI DEMOLINGO</t>
  </si>
  <si>
    <t>1367</t>
  </si>
  <si>
    <t>1368</t>
  </si>
  <si>
    <t>416</t>
  </si>
  <si>
    <t xml:space="preserve">HENDRIK PAKAYA </t>
  </si>
  <si>
    <t>1333</t>
  </si>
  <si>
    <t xml:space="preserve">M JAKA RIDWAN </t>
  </si>
  <si>
    <t>1332</t>
  </si>
  <si>
    <t xml:space="preserve">RUDI </t>
  </si>
  <si>
    <t>NOVEMBER</t>
  </si>
  <si>
    <t xml:space="preserve">AGUS PRAYITNO </t>
  </si>
  <si>
    <t>M REZKI</t>
  </si>
  <si>
    <t xml:space="preserve">LUKY ADE PRASETYO </t>
  </si>
  <si>
    <t xml:space="preserve">HENDRA CIPTA </t>
  </si>
  <si>
    <t>IWAN</t>
  </si>
  <si>
    <t>SUBARDIN</t>
  </si>
  <si>
    <t xml:space="preserve">ZULFIKAR FAUZI </t>
  </si>
  <si>
    <t>ILHAM</t>
  </si>
  <si>
    <t xml:space="preserve">ISWANDI AMSAH </t>
  </si>
  <si>
    <t xml:space="preserve">SUHANDRI </t>
  </si>
  <si>
    <t xml:space="preserve">USMAN KURNIA </t>
  </si>
  <si>
    <t xml:space="preserve">HERWANSYAH </t>
  </si>
  <si>
    <t xml:space="preserve">JEDDI JATMIKO </t>
  </si>
  <si>
    <t xml:space="preserve">ASEP SUNARIA </t>
  </si>
  <si>
    <t xml:space="preserve">FERI SAPUTRA </t>
  </si>
  <si>
    <t xml:space="preserve">DWI ABU HANIFAH </t>
  </si>
  <si>
    <t xml:space="preserve">GUNAWAN SUTRINSO </t>
  </si>
  <si>
    <t xml:space="preserve">MUHAMMAD ALI PRAWIRA </t>
  </si>
  <si>
    <t xml:space="preserve">ARMAWAN ARFAN </t>
  </si>
  <si>
    <t xml:space="preserve">ANIS PATRA </t>
  </si>
  <si>
    <t>MEYER FEBRIANTO</t>
  </si>
  <si>
    <t>M RIZKI KURNIAWAN</t>
  </si>
  <si>
    <t xml:space="preserve">CECE SUPARNO </t>
  </si>
  <si>
    <t>SUKABUMI</t>
  </si>
  <si>
    <t xml:space="preserve">FANNI </t>
  </si>
  <si>
    <t>DIMAS NUR CHANDRA</t>
  </si>
  <si>
    <t>SUKRI ABDULRAHMAN</t>
  </si>
  <si>
    <t xml:space="preserve">SHARON BENHUR ROY TENGOR </t>
  </si>
  <si>
    <t>MUHAMMAD HIDAYAT</t>
  </si>
  <si>
    <t>DESEMBER</t>
  </si>
  <si>
    <t xml:space="preserve">MUHAMMAD FADLULLAH </t>
  </si>
  <si>
    <t xml:space="preserve">YAHYA ALI </t>
  </si>
  <si>
    <t xml:space="preserve">AGUNG DWI JULIANTO BAHARI </t>
  </si>
  <si>
    <t xml:space="preserve">SUARDI </t>
  </si>
  <si>
    <t>AIGERI PAMBELA</t>
  </si>
  <si>
    <t>DEDY STYAWAN</t>
  </si>
  <si>
    <t xml:space="preserve">MUHAMMAD RIDWANSYAH </t>
  </si>
  <si>
    <t xml:space="preserve">TUSNADI </t>
  </si>
  <si>
    <t xml:space="preserve">MUHAMMAD MAULANA </t>
  </si>
  <si>
    <t>BUDIMAN</t>
  </si>
  <si>
    <t>YURIANSYAH</t>
  </si>
  <si>
    <t>YODY PRANATA</t>
  </si>
  <si>
    <t>M. ROHYANI</t>
  </si>
  <si>
    <t xml:space="preserve">ARMAN CAHYA UTAMA </t>
  </si>
  <si>
    <t xml:space="preserve">GUNTUR </t>
  </si>
  <si>
    <t>MAKASSAR</t>
  </si>
  <si>
    <t>MUHAMAD SUMARDI</t>
  </si>
  <si>
    <t>MITRA</t>
  </si>
  <si>
    <t>FIYANI YOEL MONTOLALU</t>
  </si>
  <si>
    <t>M. WAFI</t>
  </si>
  <si>
    <t>JANUARI 2021</t>
  </si>
  <si>
    <t>MUHAMMAD RAMADHAN</t>
  </si>
  <si>
    <t xml:space="preserve">YOGI DIRGANTARA </t>
  </si>
  <si>
    <t xml:space="preserve">ARWANSYAH </t>
  </si>
  <si>
    <t xml:space="preserve">NURUL HUDA </t>
  </si>
  <si>
    <t xml:space="preserve">RASID HARYADI </t>
  </si>
  <si>
    <t>YOHANDI</t>
  </si>
  <si>
    <t>SYARIF MUHAMMAD NUR AZHARI</t>
  </si>
  <si>
    <t>RB. BAMBANG ARI WIBOWO</t>
  </si>
  <si>
    <t xml:space="preserve">WIRANTO PAPUTUNGAN </t>
  </si>
  <si>
    <t>NAFTALI RATU</t>
  </si>
  <si>
    <t>DEVI FEKKY PUNDOKO</t>
  </si>
  <si>
    <t xml:space="preserve">DANNY AHMAD </t>
  </si>
  <si>
    <t>PEKAN BARU</t>
  </si>
  <si>
    <t>1389</t>
  </si>
  <si>
    <t>1774</t>
  </si>
  <si>
    <t>FIRDAUS</t>
  </si>
  <si>
    <t>1789</t>
  </si>
  <si>
    <t>MUHAMMAD RAFLI RAMADAN</t>
  </si>
  <si>
    <t>1790</t>
  </si>
  <si>
    <t>MAULANA TAMJIDILLAH</t>
  </si>
  <si>
    <t>1799</t>
  </si>
  <si>
    <t>RIZKI FIRDAUS</t>
  </si>
  <si>
    <t>473</t>
  </si>
  <si>
    <t>BUDI WIRA FITRI UTOMO</t>
  </si>
  <si>
    <t>1482</t>
  </si>
  <si>
    <t xml:space="preserve">HENDRA WINATA </t>
  </si>
  <si>
    <t>1439</t>
  </si>
  <si>
    <t>995</t>
  </si>
  <si>
    <t xml:space="preserve">ROBBY MOCHENDRA </t>
  </si>
  <si>
    <t>1000</t>
  </si>
  <si>
    <t>1769</t>
  </si>
  <si>
    <t>REFLI SIAHAAN</t>
  </si>
  <si>
    <t>1771</t>
  </si>
  <si>
    <t>DENNI AMRULLAH</t>
  </si>
  <si>
    <t>1776</t>
  </si>
  <si>
    <t>MUHAMMAD KHADAFI</t>
  </si>
  <si>
    <t>MUTASI DARI BERLINA</t>
  </si>
  <si>
    <t>1375</t>
  </si>
  <si>
    <t xml:space="preserve">ARI YONGKI </t>
  </si>
  <si>
    <t>1768</t>
  </si>
  <si>
    <t>RIVAL WANDEGA AGASI</t>
  </si>
  <si>
    <t>611</t>
  </si>
  <si>
    <t>FERDY S. KILALA</t>
  </si>
  <si>
    <t>1448</t>
  </si>
  <si>
    <t>412</t>
  </si>
  <si>
    <t>SABJAN ANDISI</t>
  </si>
  <si>
    <t>1766</t>
  </si>
  <si>
    <t>HISKIA MEWENGKANG</t>
  </si>
  <si>
    <t>1767</t>
  </si>
  <si>
    <t>EBEN APRILIANO EMANUEL PONGOH</t>
  </si>
  <si>
    <t>1795</t>
  </si>
  <si>
    <t>HAYKRI LUKAS BOYOH</t>
  </si>
  <si>
    <t>1811</t>
  </si>
  <si>
    <t>SASLI ANTON</t>
  </si>
  <si>
    <t>ZULKIFLI ISHAK</t>
  </si>
  <si>
    <t>1408</t>
  </si>
  <si>
    <t>RIFALSO E MONINGKA</t>
  </si>
  <si>
    <t>1437</t>
  </si>
  <si>
    <t>1857</t>
  </si>
  <si>
    <t>SANDY HERDIANSYAH</t>
  </si>
  <si>
    <t>1926</t>
  </si>
  <si>
    <t>1399</t>
  </si>
  <si>
    <t>1401</t>
  </si>
  <si>
    <t>1902</t>
  </si>
  <si>
    <t>JHONI PRANATA</t>
  </si>
  <si>
    <t>1908</t>
  </si>
  <si>
    <t>GILANG RHAMADAN RASYID</t>
  </si>
  <si>
    <t>1912</t>
  </si>
  <si>
    <t>ADHITYA</t>
  </si>
  <si>
    <t>1918</t>
  </si>
  <si>
    <t>SAHRUDDIN AMBO ENDE</t>
  </si>
  <si>
    <t>1919</t>
  </si>
  <si>
    <t>NUR YANTO AL TADOM</t>
  </si>
  <si>
    <t>1920</t>
  </si>
  <si>
    <t>MUHAMMAD FAHRI</t>
  </si>
  <si>
    <t>1904</t>
  </si>
  <si>
    <t>RICHARD ALKASSA</t>
  </si>
  <si>
    <t>614</t>
  </si>
  <si>
    <t>RONALD REAGGEN AGAATSZ</t>
  </si>
  <si>
    <t>1906</t>
  </si>
  <si>
    <t>ABD RAHMAN ADU</t>
  </si>
  <si>
    <t>1884</t>
  </si>
  <si>
    <t>HENDRI SETIAWAN</t>
  </si>
  <si>
    <t>Syarat Pertanggungjawaban driver out :</t>
  </si>
  <si>
    <t>&gt; Dokumen pendukung ( Surat resign/terminasi, Exit Interview )</t>
  </si>
  <si>
    <t>&gt; Seragam ( Dikembalikan )</t>
  </si>
  <si>
    <t>&gt; ID Card ( Dikembalikan )</t>
  </si>
  <si>
    <t>Note : Persyaratan Pertanggungjawaban mhn dijadikan perhatian</t>
  </si>
  <si>
    <t xml:space="preserve">Tagihan Driver  PT. Assa Logistics ( ANTERAJA SAMARINDA )</t>
  </si>
  <si>
    <t>2519</t>
  </si>
  <si>
    <t>ANDRIS</t>
  </si>
  <si>
    <t>SAMARINDA</t>
  </si>
  <si>
    <t>NO INVOICE</t>
  </si>
  <si>
    <t>:</t>
  </si>
  <si>
    <t>259/MBK/INV/VIII/2021</t>
  </si>
  <si>
    <t>PT.MULIA BINTANG KEJORA</t>
  </si>
  <si>
    <t>TANGGAL INVOICE</t>
  </si>
  <si>
    <t>General Trading,General Contractor,Outsourcing</t>
  </si>
  <si>
    <t xml:space="preserve">EMAIL:  muliabintangkejora@gmail.com</t>
  </si>
  <si>
    <t xml:space="preserve">DITAGIHKAN KEPADA </t>
  </si>
  <si>
    <t>PERUM BUANA ASRI BLOK A24 NO 11</t>
  </si>
  <si>
    <t>RT 008 RW 017 KEL PALUMBON SARI</t>
  </si>
  <si>
    <t>KEC.KARAWANG TIMUR KAB .KARAWANG</t>
  </si>
  <si>
    <t xml:space="preserve">PT. Adi Sarana  Armada, Tbk</t>
  </si>
  <si>
    <t xml:space="preserve">JAWA BARAT       (0267)    8408877</t>
  </si>
  <si>
    <t>Gd .Graha Kirana Lt 6,</t>
  </si>
  <si>
    <t>Jl.Yos Sudarso No.88 Sunter Jaya</t>
  </si>
  <si>
    <t>Tanjung Priok Jakarta Utara</t>
  </si>
  <si>
    <t>NPWP : 01.955.213.2-054.000</t>
  </si>
  <si>
    <t>TAGIHAN</t>
  </si>
  <si>
    <t xml:space="preserve">Periode Agustus  2021</t>
  </si>
  <si>
    <t>KET</t>
  </si>
  <si>
    <t>AREA</t>
  </si>
  <si>
    <t>HARGA POKOK</t>
  </si>
  <si>
    <t>FELIX TRIDAHURI</t>
  </si>
  <si>
    <t>SUPRIONO</t>
  </si>
  <si>
    <t>PONTIANAK 1</t>
  </si>
  <si>
    <t>EKO SUSANTO</t>
  </si>
  <si>
    <t>PONTIANAK 2</t>
  </si>
  <si>
    <t>HERI</t>
  </si>
  <si>
    <t>Total</t>
  </si>
  <si>
    <t>10% PPN</t>
  </si>
  <si>
    <t>Pembayaran agar ditransfer ke rekening :</t>
  </si>
  <si>
    <t>PT.MULIA BINTANGKEJORA</t>
  </si>
  <si>
    <t>Bank BCA</t>
  </si>
  <si>
    <t>Cabang Galuh Mas Karawang</t>
  </si>
  <si>
    <t>7425 2 11111</t>
  </si>
  <si>
    <t>Fatria Riza</t>
  </si>
  <si>
    <t xml:space="preserve"> PT. Mulia Bintang Kejora</t>
  </si>
  <si>
    <t>General Trading, General Contractor, Outsourcing</t>
  </si>
  <si>
    <t xml:space="preserve">            Perum Buana Asri  A24/11 Rt. 008 Rw. 017 Kel. Palumbonsari Kec. Karawang Timur Kab. Karawang</t>
  </si>
  <si>
    <r xmlns="http://schemas.openxmlformats.org/spreadsheetml/2006/main">
      <rPr>
        <sz val="10"/>
        <color rgb="FF000000"/>
        <rFont val="Arial"/>
        <family val="2"/>
      </rPr>
      <t xml:space="preserve">Email : </t>
    </r>
    <r xmlns="http://schemas.openxmlformats.org/spreadsheetml/2006/main">
      <rPr>
        <sz val="11"/>
        <color indexed="8"/>
        <rFont val="Calibri"/>
        <family val="2"/>
      </rPr>
      <t>hrd@muliabintangkejora.com</t>
    </r>
    <r xmlns="http://schemas.openxmlformats.org/spreadsheetml/2006/main">
      <rPr>
        <sz val="10"/>
        <color indexed="8"/>
        <rFont val="Arial"/>
        <family val="2"/>
      </rPr>
      <t xml:space="preserve"> / </t>
    </r>
    <r xmlns="http://schemas.openxmlformats.org/spreadsheetml/2006/main">
      <rPr>
        <sz val="11"/>
        <color indexed="8"/>
        <rFont val="Calibri"/>
        <family val="2"/>
      </rPr>
      <t>muliabintangkejora@gmail.com</t>
    </r>
    <r xmlns="http://schemas.openxmlformats.org/spreadsheetml/2006/main">
      <rPr>
        <sz val="10"/>
        <color indexed="8"/>
        <rFont val="Arial"/>
        <family val="2"/>
      </rPr>
      <t xml:space="preserve">  Telp: (0267) 8408877</t>
    </r>
  </si>
  <si>
    <t>Fico Salary for Sharing Budget</t>
  </si>
  <si>
    <t>No.</t>
  </si>
  <si>
    <t>Area</t>
  </si>
  <si>
    <t>Nama</t>
  </si>
  <si>
    <t>Salary Structure</t>
  </si>
  <si>
    <t>Total Salary Sharing Budget</t>
  </si>
  <si>
    <t>Total Salary ditagihakan ke ASSA</t>
  </si>
  <si>
    <t>Manpower Headcount</t>
  </si>
  <si>
    <t>Sharing budget</t>
  </si>
  <si>
    <t>Tagihan ASSA</t>
  </si>
  <si>
    <t>UMP</t>
  </si>
  <si>
    <t>Allowance</t>
  </si>
  <si>
    <t>Insentif Jabatan</t>
  </si>
  <si>
    <t>Tunjangan Gapok</t>
  </si>
  <si>
    <t>Insentif Pulsa</t>
  </si>
  <si>
    <t>Tunjangan kos</t>
  </si>
  <si>
    <t>TUNJANGAN KEHADIRAN</t>
  </si>
  <si>
    <t>Driver</t>
  </si>
  <si>
    <t>Non Driver</t>
  </si>
  <si>
    <t>MBK</t>
  </si>
  <si>
    <t>ASSA</t>
  </si>
  <si>
    <t>total</t>
  </si>
  <si>
    <t>17 Agustus- 2021</t>
  </si>
  <si>
    <t>Page 1 of 1</t>
  </si>
  <si>
    <t>AREA :</t>
  </si>
  <si>
    <t>MP</t>
  </si>
  <si>
    <t>ANTERAJA MANADO</t>
  </si>
  <si>
    <t xml:space="preserve">Tagihan Driver  PT. Assa Logistics (gorontalo )</t>
  </si>
  <si>
    <t xml:space="preserve">Periode bulan  November  2019</t>
  </si>
  <si>
    <t xml:space="preserve">OKTOBER  2019</t>
  </si>
  <si>
    <t>HENDRIK PAKAYA</t>
  </si>
  <si>
    <t>SANCHAI PRAYMARK</t>
  </si>
  <si>
    <t>BELUM DIBAYAR</t>
  </si>
  <si>
    <t>258/MBK/INV/VIII/2021</t>
  </si>
  <si>
    <t>Periode Juli 2021</t>
  </si>
  <si>
    <t>CUSTOMER</t>
  </si>
  <si>
    <t>INSENTIF</t>
  </si>
  <si>
    <t>MANAGEMENT FEE</t>
  </si>
  <si>
    <t>SUBTOTAL</t>
  </si>
  <si>
    <t>DRIVER LEADER</t>
  </si>
  <si>
    <t>TIPAR</t>
  </si>
  <si>
    <t>MONITORING GPS</t>
  </si>
  <si>
    <t>TAMAN TECHNO</t>
  </si>
  <si>
    <t>257/MBK/INV/VIII/2021</t>
  </si>
  <si>
    <t>PARE-PARE</t>
  </si>
  <si>
    <t>KOLAKA</t>
  </si>
  <si>
    <t>BENGKULU</t>
  </si>
  <si>
    <t>BANGKA BELITUNG</t>
  </si>
  <si>
    <t xml:space="preserve">Karawang, 21 Agustus  2021</t>
  </si>
  <si>
    <t xml:space="preserve">Tagihan Driver  PT. Assa Logistics ( GORONTALO - SAT )</t>
  </si>
  <si>
    <t>0828</t>
  </si>
  <si>
    <t>SANCHAI PRAYAMARK</t>
  </si>
  <si>
    <t>0637</t>
  </si>
  <si>
    <t>DEDI SAPUTRA MUSTAMIN</t>
  </si>
  <si>
    <t>2359</t>
  </si>
  <si>
    <t>OKTAFIANUS F SAGENA</t>
  </si>
  <si>
    <t>0636</t>
  </si>
  <si>
    <t>LUKMAN PODUNGGE</t>
  </si>
  <si>
    <t>0639</t>
  </si>
  <si>
    <t>LIONG WAWORUNTU</t>
  </si>
  <si>
    <t>0641</t>
  </si>
  <si>
    <t>ILHAM MAHADJANI</t>
  </si>
  <si>
    <t>0642</t>
  </si>
  <si>
    <t>HAMSA ISMAIL</t>
  </si>
  <si>
    <t>1007</t>
  </si>
  <si>
    <t>RIMAN PARIS</t>
  </si>
  <si>
    <t>1907</t>
  </si>
  <si>
    <t>ABDUL RAHMAN ANDRI TAHIR</t>
  </si>
  <si>
    <t>2447</t>
  </si>
  <si>
    <t>MARTHO PAKAYA</t>
  </si>
  <si>
    <t>2584</t>
  </si>
  <si>
    <t>ZULKIFLI BAKARI</t>
  </si>
  <si>
    <t>0643</t>
  </si>
  <si>
    <t>ANDIKA BILONDATU</t>
  </si>
  <si>
    <t xml:space="preserve">Tagihan Driver  PT. Assa Logistics (MANADO - SAT )</t>
  </si>
  <si>
    <t>Over Time</t>
  </si>
  <si>
    <t>1937</t>
  </si>
  <si>
    <t>ROYKE ANDRECHA BIDULE</t>
  </si>
  <si>
    <t>1938</t>
  </si>
  <si>
    <t>RINOL IDRIS</t>
  </si>
  <si>
    <t>1939</t>
  </si>
  <si>
    <t>STEVIE MAMESAH</t>
  </si>
  <si>
    <t>TOTAL</t>
  </si>
  <si>
    <t xml:space="preserve">Tagihan Driver  PT. Assa Logistics (BENGKULU - ANTERAJA )</t>
  </si>
  <si>
    <t>2320</t>
  </si>
  <si>
    <t>INDRA GUNA LAKSAMANA</t>
  </si>
  <si>
    <t>2321</t>
  </si>
  <si>
    <t>FERDIAN RAHMAT</t>
  </si>
  <si>
    <t>2379</t>
  </si>
  <si>
    <t>SUPRIWARMAN</t>
  </si>
  <si>
    <t>2380</t>
  </si>
  <si>
    <t>FEBRI KURNIAWAN</t>
  </si>
  <si>
    <t>2732</t>
  </si>
  <si>
    <t>ANDI PURNA WIJAYA</t>
  </si>
  <si>
    <t>2319</t>
  </si>
  <si>
    <t>YONI ARIANTO</t>
  </si>
  <si>
    <t xml:space="preserve">Tagihan Driver  PT. Assa Logistics ( Rawa Buaya - ANTERAJA )</t>
  </si>
  <si>
    <t>1136</t>
  </si>
  <si>
    <t xml:space="preserve">ADMIN DISPATCHER </t>
  </si>
  <si>
    <t>1137</t>
  </si>
  <si>
    <t>1256</t>
  </si>
  <si>
    <t xml:space="preserve">WAHYU ALDI HARTADI </t>
  </si>
  <si>
    <t xml:space="preserve">FUEL MANAGEMENT </t>
  </si>
  <si>
    <t xml:space="preserve">DISPATCHER </t>
  </si>
  <si>
    <t>1899</t>
  </si>
  <si>
    <t>AKHMAD NOVY NURWANSYAH</t>
  </si>
  <si>
    <t>2483</t>
  </si>
  <si>
    <t>BAYU WIDI ATMOKO HARTONO</t>
  </si>
  <si>
    <t>2730</t>
  </si>
  <si>
    <t>YULIANTO BUDI PRASETYO</t>
  </si>
  <si>
    <t xml:space="preserve">Tagihan Driver  PT. Assa Logistics ( TIPAR )</t>
  </si>
  <si>
    <t>1405</t>
  </si>
  <si>
    <t xml:space="preserve">Tagihan Driver  PT. Assa Logistics ( Halim - ANTERAJA )</t>
  </si>
  <si>
    <t>Periode Bulan Juli 2021</t>
  </si>
  <si>
    <t>2731</t>
  </si>
  <si>
    <t>REZA ZETNY RAHMANDANI</t>
  </si>
  <si>
    <t>IT</t>
  </si>
  <si>
    <t xml:space="preserve">TENGKU M PRIO  UTOMO </t>
  </si>
  <si>
    <t>1040</t>
  </si>
  <si>
    <t xml:space="preserve">DERRICO OCTAVIANDA </t>
  </si>
  <si>
    <t>1135</t>
  </si>
  <si>
    <t>1254</t>
  </si>
  <si>
    <t xml:space="preserve">YANDI HARDIAN </t>
  </si>
  <si>
    <t>1252</t>
  </si>
  <si>
    <t>1404</t>
  </si>
  <si>
    <t>1551</t>
  </si>
  <si>
    <t>1139</t>
  </si>
  <si>
    <t>1967</t>
  </si>
  <si>
    <t>MAS RIO FADILA</t>
  </si>
  <si>
    <t>0601</t>
  </si>
  <si>
    <t>AHMAD SYAIFULLAH</t>
  </si>
  <si>
    <t>2068</t>
  </si>
  <si>
    <t>JULIANDRIES YAGIANDARA</t>
  </si>
  <si>
    <t xml:space="preserve">NUROKHIM </t>
  </si>
  <si>
    <t>1202</t>
  </si>
  <si>
    <t xml:space="preserve">Periode bulan  agustus  2019</t>
  </si>
  <si>
    <t>;OKTOBER 2019</t>
  </si>
  <si>
    <t>143</t>
  </si>
  <si>
    <t>DANI SUTRISNA</t>
  </si>
  <si>
    <t>177</t>
  </si>
  <si>
    <t>( District Head ASSA)</t>
  </si>
  <si>
    <t>HERU</t>
  </si>
  <si>
    <t xml:space="preserve">Tagihan Driver  PT. Assa Logistics ( BOGOR-ANTERAJA )</t>
  </si>
  <si>
    <t>1140</t>
  </si>
  <si>
    <t>1843</t>
  </si>
  <si>
    <t>DANA</t>
  </si>
  <si>
    <t>TOSCA BINONKAN</t>
  </si>
  <si>
    <t>0382</t>
  </si>
  <si>
    <t xml:space="preserve">HERU </t>
  </si>
  <si>
    <t>0830</t>
  </si>
  <si>
    <t>RAHMAD MATINDAS</t>
  </si>
  <si>
    <t>0831</t>
  </si>
  <si>
    <t>MISRANDY BOLOTIO</t>
  </si>
  <si>
    <t>0832</t>
  </si>
  <si>
    <t>SWITLI MARKEL KASEGER</t>
  </si>
  <si>
    <t>0834</t>
  </si>
  <si>
    <t>MARCO ROTTY</t>
  </si>
  <si>
    <t>1451</t>
  </si>
  <si>
    <t>0615</t>
  </si>
  <si>
    <t>ZAINUDIN DEMOLINGO</t>
  </si>
  <si>
    <t>1033</t>
  </si>
  <si>
    <t xml:space="preserve">BILLY ANGELO WENAS </t>
  </si>
  <si>
    <t>0409</t>
  </si>
  <si>
    <t>RONALD RECKY SUMIGAR</t>
  </si>
  <si>
    <t>0544</t>
  </si>
  <si>
    <t xml:space="preserve">NOLDY HENTJE KARANDA </t>
  </si>
  <si>
    <t>0604</t>
  </si>
  <si>
    <t>HENDRA SUMLANG</t>
  </si>
  <si>
    <t>0607</t>
  </si>
  <si>
    <t>SEALTIEL PIYEKE</t>
  </si>
  <si>
    <t>0610</t>
  </si>
  <si>
    <t>JACKSON KANDOU</t>
  </si>
  <si>
    <t>0612</t>
  </si>
  <si>
    <t>YAHYA MAMONTO</t>
  </si>
  <si>
    <t>0613</t>
  </si>
  <si>
    <t>RICKY POSUMAH (AOP)</t>
  </si>
  <si>
    <t>0618</t>
  </si>
  <si>
    <t>JENLY REYNOLD LELEH</t>
  </si>
  <si>
    <t>0626</t>
  </si>
  <si>
    <t>EKO DANANG PRIATNA BAHARI</t>
  </si>
  <si>
    <t>0628</t>
  </si>
  <si>
    <t>ANCE GUNENA</t>
  </si>
  <si>
    <t>0629</t>
  </si>
  <si>
    <t>REFLY REKY MANTIRI</t>
  </si>
  <si>
    <t>0670</t>
  </si>
  <si>
    <t>RISCHY RENALDO IROT</t>
  </si>
  <si>
    <t>0827</t>
  </si>
  <si>
    <t>HENDRA HIDAYAT PAATH</t>
  </si>
  <si>
    <t>0833</t>
  </si>
  <si>
    <t>ANDI SOFYAN YUSUF</t>
  </si>
  <si>
    <t>1034</t>
  </si>
  <si>
    <t xml:space="preserve">DONY YOHANES WALANGITANG </t>
  </si>
  <si>
    <t>1035</t>
  </si>
  <si>
    <t xml:space="preserve">FEBRIANO YOHANES KAUNANG </t>
  </si>
  <si>
    <t>1203</t>
  </si>
  <si>
    <t>1406</t>
  </si>
  <si>
    <t>ROMMY R.LANGKUN</t>
  </si>
  <si>
    <t>1447</t>
  </si>
  <si>
    <t>1662</t>
  </si>
  <si>
    <t>FRANCO MARIO RONGKO</t>
  </si>
  <si>
    <t>1677</t>
  </si>
  <si>
    <t>1977</t>
  </si>
  <si>
    <t>DEVVIS JEN BAWOEL</t>
  </si>
  <si>
    <t>1999</t>
  </si>
  <si>
    <t>MUHAMAD RICKY BAYANU</t>
  </si>
  <si>
    <t>2230</t>
  </si>
  <si>
    <t>ARDI BUDI TUMBEL</t>
  </si>
  <si>
    <t>2353</t>
  </si>
  <si>
    <t>JOTAN RINCAS PANAMBA</t>
  </si>
  <si>
    <t>2432</t>
  </si>
  <si>
    <t>STENLY KASENGKANG</t>
  </si>
  <si>
    <t>2446</t>
  </si>
  <si>
    <t>BRILLY REKZY SAHRY</t>
  </si>
  <si>
    <t>2587</t>
  </si>
  <si>
    <t>THEO RANDI GOBEL</t>
  </si>
  <si>
    <t>2717</t>
  </si>
  <si>
    <t>CHRISTMAS GUNTUR</t>
  </si>
  <si>
    <t xml:space="preserve">SUPRIANTO BURHAN </t>
  </si>
  <si>
    <t>1661</t>
  </si>
  <si>
    <t>0623</t>
  </si>
  <si>
    <t>MUHAMMAD FACHRI KAMALUDIN</t>
  </si>
  <si>
    <t>1847</t>
  </si>
  <si>
    <t>RIFALDO E MONINGKA</t>
  </si>
  <si>
    <t>2441</t>
  </si>
  <si>
    <t>MAC RICO LEGI</t>
  </si>
  <si>
    <t xml:space="preserve">Tagihan Driver  PT. Assa Logistics ( KOLAKA -ANTER AJA )</t>
  </si>
  <si>
    <t>OVERTIME</t>
  </si>
  <si>
    <t>2549</t>
  </si>
  <si>
    <t>2550</t>
  </si>
  <si>
    <t>AHMAD HENDRA RAZAK</t>
  </si>
  <si>
    <t xml:space="preserve">Tagihan Driver  PT. Assa Logistics ( Pare-pare /ANTER AJA )</t>
  </si>
  <si>
    <t>2312</t>
  </si>
  <si>
    <t>NURHIDAYAT RAHMAN</t>
  </si>
  <si>
    <t>2313</t>
  </si>
  <si>
    <t>ANDI BOKI PAGGARU</t>
  </si>
  <si>
    <t>2314</t>
  </si>
  <si>
    <t>RUSMIN HUSNI</t>
  </si>
  <si>
    <t>2709</t>
  </si>
  <si>
    <t>ARNOLD ARYA WIRAYUDHA</t>
  </si>
  <si>
    <t>2710</t>
  </si>
  <si>
    <t>ROESMAN HERMAN</t>
  </si>
  <si>
    <t>2762</t>
  </si>
  <si>
    <t>ANDI ZULFIKAR</t>
  </si>
  <si>
    <t xml:space="preserve">Tagihan Driver  PT. Assa Logistics ( TAMAN TECHNO - ANTERAJA )</t>
  </si>
  <si>
    <t>1138</t>
  </si>
  <si>
    <t>1079</t>
  </si>
  <si>
    <t>1444</t>
  </si>
  <si>
    <t>2167</t>
  </si>
  <si>
    <t>WILDAN PERDANA</t>
  </si>
  <si>
    <t>ERI HERWANTO</t>
  </si>
  <si>
    <t>FERDY S KALILA</t>
  </si>
  <si>
    <t>SWITLY</t>
  </si>
  <si>
    <t>MISRANDI BOLOTIO</t>
  </si>
  <si>
    <t>RECKY DUMAIS</t>
  </si>
  <si>
    <t>ANDY YUSUF</t>
  </si>
  <si>
    <t xml:space="preserve">Tagihan Driver  PT. Assa Logistics ( SUNTER -ANTERAJA )</t>
  </si>
  <si>
    <t>1134</t>
  </si>
  <si>
    <t>1443</t>
  </si>
  <si>
    <t>2491</t>
  </si>
  <si>
    <t>WAHYU SURYO UTOMO</t>
  </si>
  <si>
    <t>2596</t>
  </si>
  <si>
    <t>HILDA NURUL KARTIKA PUTRI</t>
  </si>
  <si>
    <t xml:space="preserve">Tagihan Driver  PT. Assa Logistics ( Makassar -ANTER AJA )</t>
  </si>
  <si>
    <t>2634</t>
  </si>
  <si>
    <t>ARIEF AFRIANSYAH</t>
  </si>
  <si>
    <t>1445</t>
  </si>
  <si>
    <t>1446</t>
  </si>
  <si>
    <t>ACHYAR MACHMUD</t>
  </si>
  <si>
    <t>AGUS SALIM</t>
  </si>
  <si>
    <t>2280</t>
  </si>
  <si>
    <t>HASBI HK</t>
  </si>
  <si>
    <t>2281</t>
  </si>
  <si>
    <t>SUDARMIN</t>
  </si>
  <si>
    <t>2311</t>
  </si>
  <si>
    <t>TUNTUNG JARRE</t>
  </si>
  <si>
    <t xml:space="preserve">Tagihan Driver  PT. Assa Logistics (Marunda )</t>
  </si>
  <si>
    <t>178</t>
  </si>
  <si>
    <t xml:space="preserve">LILI SUDARMAJI </t>
  </si>
  <si>
    <t>ADMINDISPATCHER</t>
  </si>
  <si>
    <t>1132</t>
  </si>
  <si>
    <t>2066</t>
  </si>
  <si>
    <t>ARIP PAJAR RAMDANI</t>
  </si>
  <si>
    <t xml:space="preserve">RESIN PER  TGL 31 JULI 2021</t>
  </si>
  <si>
    <t>2595</t>
  </si>
  <si>
    <t>RIZKION MANURONG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</si>
</sst>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* #,##0\ _D_M_-;\-* #,##0\ _D_M_-;_-* &quot;-&quot;\ _D_M_-;_-@_-"/>
    <numFmt numFmtId="166" formatCode="_-&quot;￡&quot;* #,##0_-;\-&quot;￡&quot;* #,##0_-;_-&quot;￡&quot;* &quot;-&quot;_-;_-@_-"/>
    <numFmt numFmtId="167" formatCode="_ * #,##0_ ;_ * \-#,##0_ ;_ * &quot;-&quot;_ ;_ @_ "/>
    <numFmt numFmtId="168" formatCode="&quot;¥&quot;#,##0.00;&quot;¥&quot;\-&quot;¥&quot;#,##0.00"/>
    <numFmt numFmtId="169" formatCode="_-* #,##0\ _V_N_D_-;\-* #,##0\ _V_N_D_-;_-* &quot;-&quot;\ _V_N_D_-;_-@_-"/>
    <numFmt numFmtId="170" formatCode="_-* #,##0.00\ _P_t_s_-;\-* #,##0.00\ _P_t_s_-;_-* &quot;-&quot;??\ _P_t_s_-;_-@_-"/>
    <numFmt numFmtId="171" formatCode="_(\$* #,##0.00_);_(\$* \(#,##0.00\);_(\$* &quot;-&quot;??_);_(@_)"/>
    <numFmt numFmtId="172" formatCode="#,##0,;[Red]\(#,##0,\);&quot;- &quot;"/>
    <numFmt numFmtId="173" formatCode="#,##0.000"/>
    <numFmt numFmtId="174" formatCode="_-* #,##0_-;\-* #,##0_-;_-* &quot;-&quot;_-;_-@_-"/>
    <numFmt numFmtId="175" formatCode="_(&quot;Rp&quot;* #,##0_);_(&quot;Rp&quot;* \(#,##0\);_(&quot;Rp&quot;* &quot;-&quot;_);_(@_)"/>
    <numFmt numFmtId="176" formatCode="#,###,;[Red]\(#,###,\)"/>
    <numFmt numFmtId="177" formatCode="_ * #,##0_)&quot;$&quot;_ ;_ * \(#,##0\)&quot;$&quot;_ ;_ * &quot;-&quot;_)&quot;$&quot;_ ;_ @_ "/>
    <numFmt numFmtId="178" formatCode="_-&quot;F&quot;* #,##0_-;\-&quot;F&quot;* #,##0_-;_-&quot;F&quot;* &quot;-&quot;_-;_-@_-"/>
    <numFmt numFmtId="179" formatCode="_-* #,##0.00\ _ñ_-;\-* #,##0.00\ _ñ_-;_-* &quot;-&quot;??\ _ñ_-;_-@_-"/>
    <numFmt numFmtId="180" formatCode="&quot;¥&quot;#,##0;[Red]&quot;¥&quot;\-#,##0"/>
    <numFmt numFmtId="181" formatCode="_([$€]* #,##0.00_);_([$€]* \(#,##0.00\);_([$€]* &quot;-&quot;??_);_(@_)"/>
    <numFmt numFmtId="182" formatCode="0%;\(0%\)"/>
    <numFmt numFmtId="183" formatCode="0.0%;[Red]\(0.0%\);&quot;-  &quot;"/>
    <numFmt numFmtId="184" formatCode="_-* #,##0.00_-;\-* #,##0.00_-;_-* &quot;-&quot;??_-;_-@_-"/>
    <numFmt numFmtId="185" formatCode="_-* #,##0\ &quot;$&quot;_-;\-* #,##0\ &quot;$&quot;_-;_-* &quot;-&quot;\ &quot;$&quot;_-;_-@_-"/>
    <numFmt numFmtId="186" formatCode="_ * #,##0.00_ ;_ * \-#,##0.00_ ;_ * &quot;-&quot;??_ ;_ @_ "/>
    <numFmt numFmtId="187" formatCode="_-* #,##0.00\ _F_-;\-* #,##0.00\ _F_-;_-* &quot;-&quot;??\ _F_-;_-@_-"/>
    <numFmt numFmtId="188" formatCode="_-&quot;£&quot;* #,##0.00_-;\-&quot;£&quot;* #,##0.00_-;_-&quot;£&quot;* &quot;-&quot;??_-;_-@_-"/>
    <numFmt numFmtId="189" formatCode="_(\$* #,##0.00_);_(\$* \(#,##0.00\);_(\$* \-??_);_(@_)"/>
    <numFmt numFmtId="190" formatCode="_(&quot;$&quot;\ * #,##0_);_(&quot;$&quot;\ * \(#,##0\);_(&quot;$&quot;\ * &quot;-&quot;_);_(@_)"/>
    <numFmt numFmtId="191" formatCode="#,##0_);[Red]\(#,##0\);&quot;-  &quot;"/>
    <numFmt numFmtId="192" formatCode="_-* #,##0\ _F_-;\-* #,##0\ _F_-;_-* &quot;-&quot;\ _F_-;_-@_-"/>
    <numFmt numFmtId="193" formatCode="_-* #,##0.00\ _V_N_D_-;\-* #,##0.00\ _V_N_D_-;_-* &quot;-&quot;??\ _V_N_D_-;_-@_-"/>
    <numFmt numFmtId="194" formatCode="#,##0_);[Red]\(#,##0\);&quot;&quot;"/>
    <numFmt numFmtId="195" formatCode="_-* #,##0\ &quot;F&quot;_-;\-* #,##0\ &quot;F&quot;_-;_-* &quot;-&quot;\ &quot;F&quot;_-;_-@_-"/>
    <numFmt numFmtId="196" formatCode="_-&quot;?&quot;* #,##0_-;\-&quot;?&quot;* #,##0_-;_-&quot;?&quot;* &quot;-&quot;_-;_-@_-"/>
    <numFmt numFmtId="197" formatCode="_ &quot;¥&quot;* #,##0_ ;_ &quot;¥&quot;* \-#,##0_ ;_ &quot;¥&quot;* &quot;-&quot;_ ;_ @_ "/>
    <numFmt numFmtId="198" formatCode="_-* #,##0.00\ _D_M_-;\-* #,##0.00\ _D_M_-;_-* &quot;-&quot;??\ _D_M_-;_-@_-"/>
    <numFmt numFmtId="199" formatCode="_-* #,##0.00_ñ_-;\-* #,##0.00_ñ_-;_-* &quot;-&quot;??_ñ_-;_-@_-"/>
    <numFmt numFmtId="200" formatCode="_-&quot;$&quot;* #,##0_-;\-&quot;$&quot;* #,##0_-;_-&quot;$&quot;* &quot;-&quot;_-;_-@_-"/>
    <numFmt numFmtId="201" formatCode="#,##0\ &quot;FB&quot;;[Red]\-#,##0\ &quot;FB&quot;"/>
    <numFmt numFmtId="202" formatCode="&quot;\&quot;#,##0;[Red]&quot;\&quot;&quot;\&quot;\-#,##0"/>
    <numFmt numFmtId="203" formatCode="&quot;¥&quot;#,##0.00;[Red]\-&quot;¥&quot;#,##0.00"/>
    <numFmt numFmtId="204" formatCode="\'0000"/>
    <numFmt numFmtId="205" formatCode="_(* #,##0_);_(* \(#,##0\);_(* &quot;-&quot;??_);_(@_)"/>
    <numFmt numFmtId="206" formatCode="_-* #,##0.0\ _F_-;\-* #,##0.0\ _F_-;_-* &quot;-&quot;??\ _F_-;_-@_-"/>
    <numFmt numFmtId="207" formatCode="0.0%;[Red]\(0.0%\);&quot; &quot;"/>
    <numFmt numFmtId="208" formatCode="#,##0.00\ &quot;FB&quot;;\-#,##0.00\ &quot;FB&quot;"/>
    <numFmt numFmtId="209" formatCode="h:mm;@"/>
    <numFmt numFmtId="210" formatCode="_-&quot;ñ&quot;* #,##0_-;\-&quot;ñ&quot;* #,##0_-;_-&quot;ñ&quot;* &quot;-&quot;_-;_-@_-"/>
    <numFmt numFmtId="211" formatCode="#,##0\ &quot;DM&quot;;\-#,##0\ &quot;DM&quot;"/>
    <numFmt numFmtId="212" formatCode="_-* #,##0\ _ñ_-;\-* #,##0\ _ñ_-;_-* &quot;-&quot;\ _ñ_-;_-@_-"/>
    <numFmt numFmtId="213" formatCode="_-&quot;$&quot;* #,##0.00_-;\-&quot;$&quot;* #,##0.00_-;_-&quot;$&quot;* &quot;-&quot;??_-;_-@_-"/>
    <numFmt numFmtId="214" formatCode="_-* #,##0_ñ_-;\-* #,##0_ñ_-;_-* &quot;-&quot;_ñ_-;_-@_-"/>
    <numFmt numFmtId="215" formatCode="&quot;¥&quot;#,##0;&quot;¥&quot;\-&quot;¥&quot;#,##0"/>
    <numFmt numFmtId="216" formatCode="_ &quot;¥&quot;* #,##0.00_ ;_ &quot;¥&quot;* \-#,##0.00_ ;_ &quot;¥&quot;* &quot;-&quot;??_ ;_ @_ "/>
    <numFmt numFmtId="217" formatCode="&quot;¥&quot;#,##0;&quot;¥&quot;\-#,##0"/>
    <numFmt numFmtId="218" formatCode="[$-409]General"/>
    <numFmt numFmtId="219" formatCode="_-* #,##0.00\ &quot;€&quot;_-;\-* #,##0.00\ &quot;€&quot;_-;_-* &quot;-&quot;??\ &quot;€&quot;_-;_-@_-"/>
    <numFmt numFmtId="220" formatCode="_(* #,##0.00_);_(* \(#,##0.00\);_(* \-??_);_(@_)"/>
    <numFmt numFmtId="221" formatCode="General_)"/>
    <numFmt numFmtId="222" formatCode="&quot;¥&quot;#,##0.00;[Red]&quot;¥&quot;\-#,##0.00"/>
    <numFmt numFmtId="223" formatCode="_-* #,##0\ &quot;ñ&quot;_-;\-* #,##0\ &quot;ñ&quot;_-;_-* &quot;-&quot;\ &quot;ñ&quot;_-;_-@_-"/>
    <numFmt numFmtId="224" formatCode="_ * #,##0.00_)_d_ ;_ * \(#,##0.00\)_d_ ;_ * &quot;-&quot;??_)_d_ ;_ @_ "/>
    <numFmt numFmtId="225" formatCode="_-&quot;?&quot;* #,##0.00_-;\-&quot;?&quot;* #,##0.00_-;_-&quot;?&quot;* &quot;-&quot;??_-;_-@_-"/>
    <numFmt numFmtId="226" formatCode="&quot;£&quot;#,##0;[Red]\-&quot;£&quot;#,##0"/>
    <numFmt numFmtId="227" formatCode="_ * #,##0_ ;_ * \-#,##0_ ;_ * &quot;-&quot;??_ ;_ @_ "/>
    <numFmt numFmtId="228" formatCode="_-* #,##0.00\ &quot;F&quot;_-;\-* #,##0.00\ &quot;F&quot;_-;_-* &quot;-&quot;??\ &quot;F&quot;_-;_-@_-"/>
    <numFmt numFmtId="229" formatCode="#,##0\ &quot;FB&quot;;\-#,##0\ &quot;FB&quot;"/>
    <numFmt numFmtId="230" formatCode="#,##0.00\ &quot;F&quot;;[Red]\-#,##0.00\ &quot;F&quot;"/>
    <numFmt numFmtId="231" formatCode="_-* #,##0\ _$_-;\-* #,##0\ _$_-;_-* &quot;-&quot;\ _$_-;_-@_-"/>
    <numFmt numFmtId="232" formatCode="#,##0.00;[Red]#,##0.00"/>
    <numFmt numFmtId="233" formatCode="#,##0,"/>
    <numFmt numFmtId="234" formatCode="0.000000%"/>
    <numFmt numFmtId="235" formatCode="0.00_)"/>
    <numFmt numFmtId="236" formatCode=";;;"/>
    <numFmt numFmtId="237" formatCode="#,##0.00\ &quot;$&quot;_);\(#,##0.00\ &quot;$&quot;\)"/>
    <numFmt numFmtId="238" formatCode="_-&quot;￡&quot;* #,##0.00_-;\-&quot;￡&quot;* #,##0.00_-;_-&quot;￡&quot;* &quot;-&quot;??_-;_-@_-"/>
    <numFmt numFmtId="239" formatCode="#,##0.00\ \ "/>
    <numFmt numFmtId="240" formatCode="#,##0.00\ &quot;FB&quot;;[Red]\-#,##0.00\ &quot;FB&quot;"/>
    <numFmt numFmtId="241" formatCode="###0.000000_);[Red]\(###0.000000\)"/>
    <numFmt numFmtId="242" formatCode="\$#,##0.00;[Red]\-\$#,##0.00"/>
    <numFmt numFmtId="243" formatCode="&quot;$&quot;#,##0,_);[Red]\(&quot;$&quot;#,##0,\)"/>
    <numFmt numFmtId="244" formatCode="&quot;\&quot;#,##0;[Red]&quot;\&quot;\-#,##0"/>
    <numFmt numFmtId="245" formatCode="_-* #,##0.00\ _€_-;\-* #,##0.00\ _€_-;_-* &quot;-&quot;??\ _€_-;_-@_-"/>
    <numFmt numFmtId="246" formatCode="_(* #,##0.0000000_);_(* \(#,##0.0000000\);_(* &quot;-&quot;??_);_(@_)"/>
    <numFmt numFmtId="247" formatCode="#,##0.00\ &quot;$&quot;_);[Red]\(#,##0.00\ &quot;$&quot;\)"/>
    <numFmt numFmtId="248" formatCode="_(* #,##0.00000000_);_(* \(#,##0.00000000\);_(* &quot;-&quot;??_);_(@_)"/>
    <numFmt numFmtId="249" formatCode="_-* #,##0.00\ [$€]_-;\-* #,##0.00\ [$€]_-;_-* &quot;-&quot;??\ [$€]_-;_-@_-"/>
    <numFmt numFmtId="250" formatCode="_-* #,##0\ &quot;DM&quot;_-;\-* #,##0\ &quot;DM&quot;_-;_-* &quot;-&quot;\ &quot;DM&quot;_-;_-@_-"/>
    <numFmt numFmtId="251" formatCode="_-* #,##0\ _P_t_s_-;\-* #,##0\ _P_t_s_-;_-* &quot;-&quot;\ _P_t_s_-;_-@_-"/>
    <numFmt numFmtId="252" formatCode="_-* #,##0\ &quot;Pts&quot;_-;\-* #,##0\ &quot;Pts&quot;_-;_-* &quot;-&quot;\ &quot;Pts&quot;_-;_-@_-"/>
    <numFmt numFmtId="253" formatCode="_-* #,##0.00\ &quot;DM&quot;_-;\-* #,##0.00\ &quot;DM&quot;_-;_-* &quot;-&quot;??\ &quot;DM&quot;_-;_-@_-"/>
    <numFmt numFmtId="254" formatCode="_-* #,##0.00\ &quot;Pts&quot;_-;\-* #,##0.00\ &quot;Pts&quot;_-;_-* &quot;-&quot;??\ &quot;Pts&quot;_-;_-@_-"/>
    <numFmt numFmtId="255" formatCode="#,##0.00\ "/>
    <numFmt numFmtId="256" formatCode="#,##0.0_);\(#,##0.0\)"/>
    <numFmt numFmtId="257" formatCode="#,##0&quot;$&quot;_);[Red]\(#,##0&quot;$&quot;\)"/>
    <numFmt numFmtId="258" formatCode="0\ \ \ \ "/>
    <numFmt numFmtId="259" formatCode="#,##0.00\ \ \ "/>
    <numFmt numFmtId="260" formatCode="dd\-mmm\-yy"/>
    <numFmt numFmtId="261" formatCode="&quot;£&quot;#,##0.00;[Red]\-&quot;£&quot;#,##0.00"/>
    <numFmt numFmtId="262" formatCode="_-&quot;F&quot;* #,##0.00_-;\-&quot;F&quot;* #,##0.00_-;_-&quot;F&quot;* &quot;-&quot;??_-;_-@_-"/>
    <numFmt numFmtId="263" formatCode="_(* #,##0.0_);_(* \(#,##0.0\);_(* &quot;-&quot;??_);_(@_)"/>
    <numFmt numFmtId="264" formatCode="[$-409]d\-mmm\-yy;@"/>
    <numFmt numFmtId="265" formatCode="0.0"/>
    <numFmt numFmtId="266" formatCode="0_ "/>
    <numFmt numFmtId="267" formatCode="0000"/>
  </numFmts>
  <fonts count="25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10"/>
      <name val="Calibri"/>
      <family val="2"/>
    </font>
    <font>
      <b/>
      <sz val="8"/>
      <color indexed="10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indexed="10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0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22"/>
      <color rgb="FFFF0000"/>
      <name val="Tahoma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 tint="-0.14929654835657827"/>
      <name val="Calibri"/>
      <family val="2"/>
    </font>
    <font>
      <b/>
      <sz val="9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indexed="10"/>
      <name val="Calibri"/>
      <family val="2"/>
    </font>
    <font>
      <sz val="14"/>
      <color rgb="FF000000"/>
      <name val="Calibri"/>
      <family val="2"/>
    </font>
    <font>
      <b/>
      <sz val="12"/>
      <color theme="1"/>
      <name val="Calibri"/>
      <family val="2"/>
    </font>
    <font>
      <b/>
      <sz val="26"/>
      <color theme="1"/>
      <name val="Calibri"/>
      <family val="2"/>
    </font>
    <font>
      <b/>
      <sz val="48"/>
      <color theme="1"/>
      <name val="Calibri"/>
      <family val="2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</font>
    <font>
      <b/>
      <sz val="28"/>
      <color theme="1"/>
      <name val="Calibri"/>
      <family val="2"/>
    </font>
    <font>
      <b/>
      <sz val="18"/>
      <color theme="1"/>
      <name val="Calibri"/>
      <family val="2"/>
    </font>
    <font>
      <b/>
      <sz val="20"/>
      <color theme="1"/>
      <name val="Calibri"/>
      <family val="2"/>
    </font>
    <font>
      <b/>
      <i/>
      <sz val="14"/>
      <color indexed="60"/>
      <name val="Calibri"/>
      <family val="2"/>
    </font>
    <font>
      <b/>
      <sz val="6"/>
      <color indexed="9"/>
      <name val="Calibri"/>
      <family val="2"/>
      <scheme val="minor"/>
    </font>
    <font>
      <sz val="9"/>
      <color theme="0" tint="-0.14960173345133823"/>
      <name val="Calibri"/>
      <family val="2"/>
    </font>
    <font>
      <sz val="9"/>
      <color theme="0" tint="-0.14954069643238624"/>
      <name val="Calibri"/>
      <family val="2"/>
    </font>
    <font>
      <sz val="8"/>
      <color theme="1"/>
      <name val="Arial"/>
      <family val="2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Arial"/>
      <family val="2"/>
    </font>
    <font>
      <sz val="9"/>
      <color theme="0" tint="-0.1499374370555742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14944914090395825"/>
      <name val="Calibri"/>
      <family val="2"/>
      <scheme val="minor"/>
    </font>
    <font>
      <sz val="9"/>
      <color theme="0" tint="-0.14929654835657827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0" tint="-0.1496017334513382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9"/>
      <name val="Calibri"/>
      <family val="2"/>
    </font>
    <font>
      <sz val="14"/>
      <name val="Cordia New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u/>
      <sz val="10"/>
      <color indexed="36"/>
      <name val="Arial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0"/>
      <name val="VNI-Times"/>
      <charset val="134"/>
    </font>
    <font>
      <b/>
      <sz val="11"/>
      <color indexed="56"/>
      <name val="Calibri"/>
      <family val="2"/>
    </font>
    <font>
      <sz val="8"/>
      <name val="Tahoma"/>
      <family val="2"/>
    </font>
    <font>
      <sz val="10"/>
      <name val="Helv"/>
      <charset val="134"/>
    </font>
    <font>
      <b/>
      <sz val="10"/>
      <name val="Helv"/>
      <charset val="134"/>
    </font>
    <font>
      <sz val="12"/>
      <color theme="1"/>
      <name val="Times New Roman"/>
      <family val="1"/>
    </font>
    <font>
      <b/>
      <sz val="18"/>
      <color indexed="56"/>
      <name val="Cambria"/>
      <family val="1"/>
    </font>
    <font>
      <sz val="9"/>
      <name val="Arial"/>
      <family val="2"/>
    </font>
    <font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u/>
      <sz val="11"/>
      <color indexed="36"/>
      <name val="?? ?????"/>
      <charset val="134"/>
    </font>
    <font>
      <sz val="10"/>
      <color indexed="62"/>
      <name val="Arial"/>
      <family val="2"/>
    </font>
    <font>
      <b/>
      <sz val="10"/>
      <color indexed="9"/>
      <name val="Calibri"/>
      <family val="2"/>
    </font>
    <font>
      <sz val="11"/>
      <name val="ｵｸｿ "/>
      <charset val="128"/>
    </font>
    <font>
      <u/>
      <sz val="11"/>
      <color indexed="12"/>
      <name val="?? ?????"/>
      <charset val="134"/>
    </font>
    <font>
      <sz val="11"/>
      <name val="・・"/>
      <charset val="128"/>
    </font>
    <font>
      <sz val="12"/>
      <name val="¹UAAA¼"/>
      <charset val="134"/>
    </font>
    <font>
      <b/>
      <sz val="13"/>
      <color indexed="56"/>
      <name val="Calibri"/>
      <family val="2"/>
    </font>
    <font>
      <sz val="12"/>
      <name val="Vni-times"/>
      <charset val="134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10"/>
      <color indexed="9"/>
      <name val="Calibri"/>
      <family val="2"/>
    </font>
    <font>
      <sz val="9"/>
      <name val=".VnTime"/>
      <charset val="134"/>
    </font>
    <font>
      <sz val="12"/>
      <name val="바탕체"/>
      <charset val="134"/>
    </font>
    <font>
      <sz val="12"/>
      <name val="Tms Rmn"/>
      <charset val="134"/>
    </font>
    <font>
      <sz val="11"/>
      <name val="?l?r ?o?S?V?b?N"/>
      <charset val="134"/>
    </font>
    <font>
      <b/>
      <sz val="11"/>
      <color indexed="56"/>
      <name val="Arial"/>
      <family val="2"/>
    </font>
    <font>
      <u/>
      <sz val="11"/>
      <color indexed="12"/>
      <name val="?l?r ?o?S?V?b?N"/>
      <charset val="134"/>
    </font>
    <font>
      <sz val="10"/>
      <name val="?l?r ?o?S?V?b?N"/>
      <charset val="134"/>
    </font>
    <font>
      <sz val="11"/>
      <name val="??? "/>
      <charset val="128"/>
    </font>
    <font>
      <sz val="12"/>
      <name val="‚l‚r ‚oƒSƒVƒbƒN"/>
      <charset val="128"/>
    </font>
    <font>
      <sz val="11"/>
      <name val="MS P????"/>
      <charset val="134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8"/>
      <color indexed="36"/>
      <name val="Arial"/>
      <family val="2"/>
    </font>
    <font>
      <u/>
      <sz val="12"/>
      <color indexed="36"/>
      <name val="Osaka"/>
      <charset val="128"/>
    </font>
    <font>
      <sz val="11"/>
      <color indexed="20"/>
      <name val="Calibri"/>
      <family val="2"/>
    </font>
    <font>
      <sz val="10"/>
      <color indexed="52"/>
      <name val="Arial"/>
      <family val="2"/>
    </font>
    <font>
      <u/>
      <sz val="8.25"/>
      <color indexed="12"/>
      <name val="MS P????"/>
      <charset val="134"/>
    </font>
    <font>
      <sz val="11"/>
      <name val="??"/>
      <charset val="134"/>
    </font>
    <font>
      <sz val="12"/>
      <name val="VNtimes new roman"/>
      <charset val="134"/>
    </font>
    <font>
      <sz val="10"/>
      <color indexed="20"/>
      <name val="Arial"/>
      <family val="2"/>
    </font>
    <font>
      <sz val="10"/>
      <name val="VNtimes new roman"/>
      <charset val="134"/>
    </font>
    <font>
      <u/>
      <sz val="8.25"/>
      <color indexed="36"/>
      <name val="MS P????"/>
      <charset val="134"/>
    </font>
    <font>
      <sz val="11"/>
      <name val="ＭＳ Ｐゴシック"/>
      <charset val="128"/>
    </font>
    <font>
      <b/>
      <sz val="12"/>
      <color indexed="8"/>
      <name val=".VnBook-Antiqua"/>
      <charset val="134"/>
    </font>
    <font>
      <sz val="12"/>
      <name val=".VnTime"/>
      <charset val="134"/>
    </font>
    <font>
      <sz val="12"/>
      <name val="Times New Roman"/>
      <family val="1"/>
    </font>
    <font>
      <u/>
      <sz val="10"/>
      <color indexed="36"/>
      <name val="Geneva"/>
      <charset val="134"/>
    </font>
    <font>
      <u/>
      <sz val="8.25"/>
      <color indexed="12"/>
      <name val="?? ?????"/>
      <charset val="134"/>
    </font>
    <font>
      <sz val="10"/>
      <color indexed="17"/>
      <name val="Calibri"/>
      <family val="2"/>
    </font>
    <font>
      <u/>
      <sz val="11"/>
      <color indexed="36"/>
      <name val="?l?r ?o?S?V?b?N"/>
      <charset val="134"/>
    </font>
    <font>
      <u/>
      <sz val="8.25"/>
      <color indexed="36"/>
      <name val="?? ?????"/>
      <charset val="134"/>
    </font>
    <font>
      <u/>
      <sz val="11"/>
      <color indexed="36"/>
      <name val="MS P????"/>
      <charset val="134"/>
    </font>
    <font>
      <u/>
      <sz val="6.6"/>
      <color indexed="12"/>
      <name val="Arial"/>
      <family val="2"/>
    </font>
    <font>
      <u/>
      <sz val="8.25"/>
      <color indexed="36"/>
      <name val="lr oSVbN"/>
      <charset val="128"/>
    </font>
    <font>
      <sz val="14"/>
      <name val="lr ¾©"/>
      <charset val="128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sz val="12"/>
      <name val="??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sz val="10"/>
      <name val="???"/>
      <charset val="129"/>
    </font>
    <font>
      <u/>
      <sz val="10"/>
      <color indexed="12"/>
      <name val="Geneva"/>
      <charset val="134"/>
    </font>
    <font>
      <b/>
      <sz val="10"/>
      <color indexed="52"/>
      <name val="Arial"/>
      <family val="2"/>
    </font>
    <font>
      <sz val="10"/>
      <color indexed="8"/>
      <name val="Trebuchet MS"/>
      <family val="2"/>
    </font>
    <font>
      <sz val="12"/>
      <name val="????"/>
      <charset val="136"/>
    </font>
    <font>
      <sz val="11"/>
      <name val="??"/>
      <charset val="129"/>
    </font>
    <font>
      <sz val="10"/>
      <name val=".VnArial"/>
      <charset val="134"/>
    </font>
    <font>
      <sz val="11"/>
      <color rgb="FF000000"/>
      <name val="Calibri"/>
      <family val="2"/>
    </font>
    <font>
      <sz val="10"/>
      <color indexed="10"/>
      <name val="Arial"/>
      <family val="2"/>
    </font>
    <font>
      <b/>
      <sz val="10"/>
      <name val="Tms Rmn"/>
      <charset val="134"/>
    </font>
    <font>
      <sz val="10"/>
      <color indexed="9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"/>
      <name val="Times New Roman"/>
      <family val="1"/>
    </font>
    <font>
      <sz val="12"/>
      <name val="±¼¸²Ã¼"/>
      <charset val="129"/>
    </font>
    <font>
      <sz val="10"/>
      <color theme="1"/>
      <name val="Arial"/>
      <family val="2"/>
    </font>
    <font>
      <sz val="11"/>
      <name val="?l?r ??f?"/>
      <charset val="134"/>
    </font>
    <font>
      <sz val="16"/>
      <name val="AngsanaUPC"/>
      <family val="1"/>
    </font>
    <font>
      <sz val="11"/>
      <color indexed="53"/>
      <name val="Calibri"/>
      <family val="2"/>
    </font>
    <font>
      <sz val="10"/>
      <name val="ＭＳ ゴシック"/>
      <charset val="128"/>
    </font>
    <font>
      <b/>
      <sz val="14"/>
      <color indexed="14"/>
      <name val="VNottawa"/>
      <charset val="134"/>
    </font>
    <font>
      <sz val="12"/>
      <name val="新細明體"/>
      <charset val="136"/>
    </font>
    <font>
      <b/>
      <sz val="10"/>
      <color indexed="63"/>
      <name val="Arial"/>
      <family val="2"/>
    </font>
    <font>
      <b/>
      <sz val="12"/>
      <name val="Arial"/>
      <family val="2"/>
    </font>
    <font>
      <sz val="12"/>
      <name val="¹ÙÅÁÃ¼"/>
      <charset val="129"/>
    </font>
    <font>
      <sz val="10"/>
      <color indexed="18"/>
      <name val="Arial"/>
      <family val="2"/>
    </font>
    <font>
      <u/>
      <sz val="8.25"/>
      <color indexed="12"/>
      <name val="lr oSVbN"/>
      <charset val="128"/>
    </font>
    <font>
      <sz val="8"/>
      <color indexed="20"/>
      <name val="Tahoma"/>
      <family val="2"/>
    </font>
    <font>
      <b/>
      <sz val="13"/>
      <color indexed="54"/>
      <name val="Calibri"/>
      <family val="2"/>
    </font>
    <font>
      <b/>
      <sz val="10"/>
      <color indexed="10"/>
      <name val="Arial"/>
      <family val="2"/>
    </font>
    <font>
      <b/>
      <sz val="12"/>
      <name val="Helv"/>
      <charset val="134"/>
    </font>
    <font>
      <b/>
      <sz val="15"/>
      <color indexed="54"/>
      <name val="Calibri"/>
      <family val="2"/>
    </font>
    <font>
      <i/>
      <sz val="10"/>
      <color indexed="23"/>
      <name val="Arial"/>
      <family val="2"/>
    </font>
    <font>
      <sz val="12"/>
      <name val="Arial"/>
      <family val="2"/>
    </font>
    <font>
      <sz val="11"/>
      <name val="µ¸¿ò"/>
      <charset val="129"/>
    </font>
    <font>
      <i/>
      <sz val="10"/>
      <color indexed="11"/>
      <name val="Arial"/>
      <family val="2"/>
    </font>
    <font>
      <sz val="10"/>
      <name val="MS Sans Serif"/>
      <family val="2"/>
    </font>
    <font>
      <sz val="10"/>
      <name val="VNI-Aptima"/>
      <charset val="134"/>
    </font>
    <font>
      <sz val="13"/>
      <name val=".VnTime"/>
      <charset val="134"/>
    </font>
    <font>
      <b/>
      <sz val="18"/>
      <color indexed="10"/>
      <name val="VNnew Century Cond"/>
      <charset val="134"/>
    </font>
    <font>
      <i/>
      <sz val="10"/>
      <color indexed="12"/>
      <name val="Arial"/>
      <family val="2"/>
    </font>
    <font>
      <sz val="8"/>
      <name val="Times New Roman"/>
      <family val="1"/>
    </font>
    <font>
      <i/>
      <sz val="12"/>
      <color indexed="8"/>
      <name val=".VnBook-AntiquaH"/>
      <charset val="134"/>
    </font>
    <font>
      <sz val="10"/>
      <name val="Geneva"/>
      <charset val="134"/>
    </font>
    <font>
      <b/>
      <sz val="18"/>
      <color indexed="62"/>
      <name val="Calibri"/>
      <family val="2"/>
    </font>
    <font>
      <sz val="11"/>
      <name val="¾©"/>
      <charset val="134"/>
    </font>
    <font>
      <sz val="10"/>
      <name val="ＭＳ Ｐゴシック"/>
      <charset val="128"/>
    </font>
    <font>
      <u/>
      <sz val="8.25"/>
      <color indexed="36"/>
      <name val="ＭＳ Ｐゴシック"/>
      <charset val="128"/>
    </font>
    <font>
      <b/>
      <i/>
      <sz val="16"/>
      <name val="Helv"/>
      <charset val="134"/>
    </font>
    <font>
      <sz val="10"/>
      <name val=".VnTime"/>
      <charset val="134"/>
    </font>
    <font>
      <b/>
      <sz val="11"/>
      <color indexed="54"/>
      <name val="Calibri"/>
      <family val="2"/>
    </font>
    <font>
      <i/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60"/>
      <name val="Arial"/>
      <family val="2"/>
    </font>
    <font>
      <sz val="11"/>
      <color indexed="19"/>
      <name val="Calibri"/>
      <family val="2"/>
    </font>
    <font>
      <sz val="11"/>
      <name val="??? "/>
      <charset val="134"/>
    </font>
    <font>
      <sz val="11"/>
      <color rgb="FF000000"/>
      <name val="Calibri"/>
      <family val="2"/>
      <scheme val="minor"/>
    </font>
    <font>
      <sz val="8"/>
      <name val="Helv"/>
      <charset val="134"/>
    </font>
    <font>
      <b/>
      <sz val="15"/>
      <color indexed="62"/>
      <name val="Calibri"/>
      <family val="2"/>
    </font>
    <font>
      <sz val="10"/>
      <color indexed="17"/>
      <name val="Arial"/>
      <family val="2"/>
    </font>
    <font>
      <sz val="10"/>
      <color indexed="10"/>
      <name val="Calibri"/>
      <family val="2"/>
    </font>
    <font>
      <sz val="11"/>
      <name val="EE"/>
      <charset val="128"/>
    </font>
    <font>
      <sz val="11"/>
      <name val="lr ¾©"/>
      <charset val="134"/>
    </font>
    <font>
      <b/>
      <u/>
      <sz val="14"/>
      <color indexed="8"/>
      <name val=".VnBook-AntiquaH"/>
      <charset val="134"/>
    </font>
    <font>
      <i/>
      <sz val="8"/>
      <color indexed="10"/>
      <name val="Tahoma"/>
      <family val="2"/>
    </font>
    <font>
      <sz val="10"/>
      <name val="Times New Roman"/>
      <family val="1"/>
    </font>
    <font>
      <sz val="10"/>
      <color indexed="62"/>
      <name val="Calibri"/>
      <family val="2"/>
    </font>
    <font>
      <b/>
      <sz val="8"/>
      <name val="Helvetica-Narrow"/>
      <charset val="134"/>
    </font>
    <font>
      <i/>
      <sz val="12"/>
      <color indexed="8"/>
      <name val=".VnBook-Antiqua"/>
      <charset val="134"/>
    </font>
    <font>
      <b/>
      <sz val="10"/>
      <color indexed="52"/>
      <name val="Calibri"/>
      <family val="2"/>
    </font>
    <font>
      <b/>
      <sz val="13"/>
      <color indexed="62"/>
      <name val="Calibri"/>
      <family val="2"/>
    </font>
    <font>
      <u/>
      <sz val="8.25"/>
      <color indexed="36"/>
      <name val="ＭＳ 明朝"/>
      <charset val="128"/>
    </font>
    <font>
      <sz val="11"/>
      <color indexed="16"/>
      <name val="Calibri"/>
      <family val="2"/>
    </font>
    <font>
      <b/>
      <sz val="13"/>
      <color indexed="56"/>
      <name val="Arial"/>
      <family val="2"/>
    </font>
    <font>
      <b/>
      <sz val="16"/>
      <color indexed="14"/>
      <name val="VNottawa"/>
      <charset val="134"/>
    </font>
    <font>
      <b/>
      <sz val="10"/>
      <color indexed="9"/>
      <name val="Arial"/>
      <family val="2"/>
    </font>
    <font>
      <b/>
      <sz val="11"/>
      <color indexed="53"/>
      <name val="Calibri"/>
      <family val="2"/>
    </font>
    <font>
      <sz val="9"/>
      <name val="VNI-Helve-Condense"/>
      <charset val="134"/>
    </font>
    <font>
      <b/>
      <sz val="10"/>
      <name val=".VnTime"/>
      <charset val="134"/>
    </font>
    <font>
      <b/>
      <sz val="12"/>
      <name val=".VnTime"/>
      <charset val="134"/>
    </font>
    <font>
      <sz val="10"/>
      <color indexed="20"/>
      <name val="Calibri"/>
      <family val="2"/>
    </font>
    <font>
      <b/>
      <sz val="16"/>
      <color indexed="16"/>
      <name val="VNbritannic"/>
      <charset val="134"/>
    </font>
    <font>
      <sz val="8"/>
      <name val="Verdana"/>
      <family val="2"/>
    </font>
    <font>
      <sz val="10"/>
      <name val="Tahoma"/>
      <family val="2"/>
    </font>
    <font>
      <sz val="10"/>
      <color indexed="60"/>
      <name val="Calibri"/>
      <family val="2"/>
    </font>
    <font>
      <b/>
      <sz val="20"/>
      <color indexed="12"/>
      <name val="VNnew Century Cond"/>
      <charset val="134"/>
    </font>
    <font>
      <i/>
      <sz val="10"/>
      <color indexed="23"/>
      <name val="Calibri"/>
      <family val="2"/>
    </font>
    <font>
      <sz val="10"/>
      <name val="VNI-Univer"/>
      <charset val="134"/>
    </font>
    <font>
      <b/>
      <sz val="18"/>
      <color indexed="54"/>
      <name val="Calibri"/>
      <family val="2"/>
    </font>
    <font>
      <b/>
      <sz val="9.95"/>
      <color indexed="8"/>
      <name val="Arial"/>
      <family val="2"/>
    </font>
    <font>
      <sz val="12"/>
      <color indexed="9"/>
      <name val="Helv"/>
      <charset val="134"/>
    </font>
    <font>
      <sz val="12"/>
      <name val="Courier"/>
      <family val="3"/>
    </font>
    <font>
      <b/>
      <sz val="11"/>
      <name val="Helv"/>
      <charset val="134"/>
    </font>
    <font>
      <b/>
      <sz val="18"/>
      <color indexed="12"/>
      <name val="VNbritannic"/>
      <charset val="134"/>
    </font>
    <font>
      <b/>
      <sz val="10"/>
      <color indexed="63"/>
      <name val="Calibri"/>
      <family val="2"/>
    </font>
    <font>
      <sz val="10"/>
      <name val="VNI-Helve-Condense"/>
      <charset val="134"/>
    </font>
    <font>
      <sz val="10"/>
      <color indexed="52"/>
      <name val="Calibri"/>
      <family val="2"/>
    </font>
    <font>
      <i/>
      <sz val="10"/>
      <name val="Times New Roman"/>
      <family val="1"/>
    </font>
    <font>
      <b/>
      <sz val="18"/>
      <name val="VNnew Century Cond"/>
      <charset val="134"/>
    </font>
    <font>
      <b/>
      <sz val="16"/>
      <name val="VNlucida sans"/>
      <charset val="134"/>
    </font>
    <font>
      <b/>
      <sz val="15"/>
      <color indexed="56"/>
      <name val="Arial"/>
      <family val="2"/>
    </font>
    <font>
      <u/>
      <sz val="10"/>
      <color theme="10"/>
      <name val="Arial"/>
      <family val="2"/>
    </font>
    <font>
      <sz val="12"/>
      <name val="Helv"/>
      <charset val="134"/>
    </font>
    <font>
      <b/>
      <sz val="12"/>
      <name val="VN-NTime"/>
      <charset val="134"/>
    </font>
    <font>
      <sz val="12"/>
      <name val="ｹﾙﾅﾁﾃｼ"/>
      <charset val="128"/>
    </font>
    <font>
      <sz val="10"/>
      <name val=" "/>
      <charset val="136"/>
    </font>
    <font>
      <sz val="14"/>
      <name val="ＭＳ 明朝"/>
      <charset val="128"/>
    </font>
    <font>
      <sz val="11"/>
      <color indexed="32"/>
      <name val="VNI-Times"/>
      <charset val="134"/>
    </font>
    <font>
      <sz val="24"/>
      <name val="Times New Roman"/>
      <family val="1"/>
    </font>
    <font>
      <b/>
      <sz val="10"/>
      <color indexed="8"/>
      <name val="Arial"/>
      <family val="2"/>
    </font>
    <font>
      <u/>
      <sz val="8.25"/>
      <color indexed="12"/>
      <name val="ＭＳ Ｐゴシック"/>
      <charset val="128"/>
    </font>
    <font>
      <b/>
      <sz val="9"/>
      <color indexed="9"/>
      <name val="Calibri"/>
      <family val="2"/>
      <scheme val="minor"/>
    </font>
  </fonts>
  <fills count="8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89684743797112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41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darkGray">
        <fgColor indexed="9"/>
        <bgColor indexed="10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mediumGray">
        <fgColor indexed="9"/>
        <bgColor indexed="12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21"/>
      </patternFill>
    </fill>
    <fill>
      <patternFill patternType="gray125">
        <fgColor indexed="35"/>
      </patternFill>
    </fill>
    <fill>
      <patternFill patternType="solid">
        <fgColor indexed="54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gray125"/>
    </fill>
    <fill>
      <patternFill patternType="solid">
        <fgColor indexed="22"/>
        <bgColor indexed="25"/>
      </patternFill>
    </fill>
    <fill>
      <patternFill patternType="solid">
        <fgColor rgb="FFFF0000" tint="0.39994506668294322"/>
        <bgColor indexed="64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 tint="0"/>
      </patternFill>
    </fill>
    <fill>
      <patternFill patternType="solid">
        <fgColor rgb="FFFF0000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/>
      <diagonal/>
    </border>
    <border>
      <left style="thin">
        <color theme="0"/>
      </left>
      <right style="thin">
        <color theme="0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auto="1"/>
      </right>
      <top style="thin">
        <color rgb="FF00000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4679">
    <xf numFmtId="0" fontId="0" fillId="0" borderId="0"/>
    <xf numFmtId="210" fontId="104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205" fontId="126" fillId="0" borderId="85"/>
    <xf numFmtId="0" fontId="26" fillId="0" borderId="0"/>
    <xf numFmtId="203" fontId="125" fillId="0" borderId="0"/>
    <xf numFmtId="211" fontId="125" fillId="0" borderId="0"/>
    <xf numFmtId="43" fontId="26" fillId="0" borderId="0"/>
    <xf numFmtId="0" fontId="135" fillId="0" borderId="0">
      <alignment vertical="top"/>
      <protection locked="0"/>
    </xf>
    <xf numFmtId="0" fontId="138" fillId="0" borderId="0">
      <alignment vertical="top"/>
      <protection locked="0"/>
    </xf>
    <xf numFmtId="0" fontId="138" fillId="0" borderId="0">
      <alignment vertical="top"/>
      <protection locked="0"/>
    </xf>
    <xf numFmtId="0" fontId="96" fillId="0" borderId="0">
      <alignment vertical="top"/>
      <protection locked="0"/>
    </xf>
    <xf numFmtId="0" fontId="139" fillId="0" borderId="0">
      <alignment vertical="top"/>
      <protection locked="0"/>
    </xf>
    <xf numFmtId="0" fontId="140" fillId="0" borderId="0">
      <alignment vertical="top"/>
      <protection locked="0"/>
    </xf>
    <xf numFmtId="0" fontId="121" fillId="0" borderId="0">
      <alignment vertical="top"/>
      <protection locked="0"/>
    </xf>
    <xf numFmtId="0" fontId="80" fillId="0" borderId="0">
      <alignment vertical="top"/>
      <protection locked="0"/>
    </xf>
    <xf numFmtId="0" fontId="129" fillId="0" borderId="0">
      <alignment vertical="top"/>
      <protection locked="0"/>
    </xf>
    <xf numFmtId="0" fontId="120" fillId="0" borderId="0">
      <alignment vertical="top"/>
      <protection locked="0"/>
    </xf>
    <xf numFmtId="0" fontId="124" fillId="0" borderId="0">
      <alignment vertical="top"/>
      <protection locked="0"/>
    </xf>
    <xf numFmtId="0" fontId="129" fillId="0" borderId="0">
      <alignment vertical="top"/>
      <protection locked="0"/>
    </xf>
    <xf numFmtId="0" fontId="134" fillId="0" borderId="0">
      <alignment vertical="top"/>
      <protection locked="0"/>
    </xf>
    <xf numFmtId="0" fontId="134" fillId="0" borderId="0">
      <alignment vertical="top"/>
      <protection locked="0"/>
    </xf>
    <xf numFmtId="0" fontId="143" fillId="0" borderId="0">
      <alignment vertical="top"/>
      <protection locked="0"/>
    </xf>
    <xf numFmtId="0" fontId="124" fillId="0" borderId="0">
      <alignment vertical="top"/>
      <protection locked="0"/>
    </xf>
    <xf numFmtId="0" fontId="144" fillId="0" borderId="0">
      <alignment vertical="top"/>
      <protection locked="0"/>
    </xf>
    <xf numFmtId="0" fontId="124" fillId="0" borderId="0">
      <alignment vertical="top"/>
      <protection locked="0"/>
    </xf>
    <xf numFmtId="0" fontId="100" fillId="0" borderId="0">
      <alignment vertical="top"/>
      <protection locked="0"/>
    </xf>
    <xf numFmtId="0" fontId="146" fillId="0" borderId="0">
      <alignment vertical="top"/>
      <protection locked="0"/>
    </xf>
    <xf numFmtId="0" fontId="147" fillId="0" borderId="0">
      <alignment vertical="top"/>
      <protection locked="0"/>
    </xf>
    <xf numFmtId="0" fontId="119" fillId="0" borderId="0">
      <alignment vertical="top"/>
      <protection locked="0"/>
    </xf>
    <xf numFmtId="0" fontId="149" fillId="0" borderId="0">
      <alignment vertical="top"/>
      <protection locked="0"/>
    </xf>
    <xf numFmtId="9" fontId="145" fillId="0" borderId="0"/>
    <xf numFmtId="0" fontId="145" fillId="0" borderId="0"/>
    <xf numFmtId="174" fontId="152" fillId="0" borderId="0"/>
    <xf numFmtId="9" fontId="153" fillId="0" borderId="0"/>
    <xf numFmtId="40" fontId="117" fillId="0" borderId="0"/>
    <xf numFmtId="38" fontId="117" fillId="0" borderId="0"/>
    <xf numFmtId="0" fontId="148" fillId="0" borderId="0"/>
    <xf numFmtId="40" fontId="111" fillId="0" borderId="0"/>
    <xf numFmtId="38" fontId="11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7" fillId="0" borderId="0">
      <alignment vertical="top"/>
      <protection locked="0"/>
    </xf>
    <xf numFmtId="0" fontId="137" fillId="0" borderId="0">
      <alignment vertical="top"/>
      <protection locked="0"/>
    </xf>
    <xf numFmtId="0" fontId="80" fillId="0" borderId="0">
      <alignment vertical="top"/>
      <protection locked="0"/>
    </xf>
    <xf numFmtId="197" fontId="115" fillId="0" borderId="0"/>
    <xf numFmtId="216" fontId="11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184" fontId="76" fillId="0" borderId="0"/>
    <xf numFmtId="174" fontId="7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215" fontId="26" fillId="0" borderId="0"/>
    <xf numFmtId="0" fontId="113" fillId="0" borderId="0">
      <alignment vertical="top"/>
      <protection locked="0"/>
    </xf>
    <xf numFmtId="0" fontId="119" fillId="0" borderId="0">
      <alignment vertical="top"/>
      <protection locked="0"/>
    </xf>
    <xf numFmtId="0" fontId="113" fillId="0" borderId="0">
      <alignment vertical="top"/>
      <protection locked="0"/>
    </xf>
    <xf numFmtId="0" fontId="111" fillId="0" borderId="0"/>
    <xf numFmtId="0" fontId="114" fillId="0" borderId="0"/>
    <xf numFmtId="0" fontId="26" fillId="0" borderId="0"/>
    <xf numFmtId="0" fontId="26" fillId="0" borderId="0"/>
    <xf numFmtId="0" fontId="163" fillId="0" borderId="0"/>
    <xf numFmtId="0" fontId="85" fillId="0" borderId="0"/>
    <xf numFmtId="40" fontId="111" fillId="0" borderId="0"/>
    <xf numFmtId="38" fontId="111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200" fontId="83" fillId="0" borderId="0"/>
    <xf numFmtId="0" fontId="86" fillId="0" borderId="0"/>
    <xf numFmtId="0" fontId="8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85" fontId="83" fillId="0" borderId="0"/>
    <xf numFmtId="195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8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77" fontId="83" fillId="0" borderId="0"/>
    <xf numFmtId="177" fontId="83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42" fontId="83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200" fontId="83" fillId="0" borderId="0"/>
    <xf numFmtId="200" fontId="104" fillId="0" borderId="0"/>
    <xf numFmtId="200" fontId="104" fillId="0" borderId="0"/>
    <xf numFmtId="210" fontId="104" fillId="0" borderId="0"/>
    <xf numFmtId="184" fontId="104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104" fillId="0" borderId="0"/>
    <xf numFmtId="200" fontId="83" fillId="0" borderId="0"/>
    <xf numFmtId="229" fontId="26" fillId="0" borderId="0"/>
    <xf numFmtId="185" fontId="83" fillId="0" borderId="0"/>
    <xf numFmtId="195" fontId="104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184" fontId="104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229" fontId="26" fillId="0" borderId="0"/>
    <xf numFmtId="185" fontId="83" fillId="0" borderId="0"/>
    <xf numFmtId="195" fontId="104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74" fontId="104" fillId="0" borderId="0"/>
    <xf numFmtId="184" fontId="104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174" fontId="104" fillId="0" borderId="0"/>
    <xf numFmtId="200" fontId="104" fillId="0" borderId="0"/>
    <xf numFmtId="200" fontId="104" fillId="0" borderId="0"/>
    <xf numFmtId="210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42" fontId="83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90" fontId="83" fillId="0" borderId="0"/>
    <xf numFmtId="190" fontId="83" fillId="0" borderId="0"/>
    <xf numFmtId="195" fontId="8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223" fontId="8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77" fillId="0" borderId="0">
      <alignment vertical="top"/>
    </xf>
    <xf numFmtId="174" fontId="104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84" fontId="83" fillId="0" borderId="0"/>
    <xf numFmtId="186" fontId="83" fillId="0" borderId="0"/>
    <xf numFmtId="193" fontId="83" fillId="0" borderId="0"/>
    <xf numFmtId="187" fontId="83" fillId="0" borderId="0"/>
    <xf numFmtId="193" fontId="83" fillId="0" borderId="0"/>
    <xf numFmtId="208" fontId="26" fillId="0" borderId="0"/>
    <xf numFmtId="186" fontId="83" fillId="0" borderId="0"/>
    <xf numFmtId="0" fontId="83" fillId="0" borderId="0"/>
    <xf numFmtId="43" fontId="83" fillId="0" borderId="0"/>
    <xf numFmtId="184" fontId="83" fillId="0" borderId="0"/>
    <xf numFmtId="43" fontId="83" fillId="0" borderId="0"/>
    <xf numFmtId="187" fontId="83" fillId="0" borderId="0"/>
    <xf numFmtId="193" fontId="83" fillId="0" borderId="0"/>
    <xf numFmtId="187" fontId="83" fillId="0" borderId="0"/>
    <xf numFmtId="187" fontId="83" fillId="0" borderId="0"/>
    <xf numFmtId="187" fontId="83" fillId="0" borderId="0"/>
    <xf numFmtId="187" fontId="83" fillId="0" borderId="0"/>
    <xf numFmtId="199" fontId="83" fillId="0" borderId="0"/>
    <xf numFmtId="193" fontId="83" fillId="0" borderId="0"/>
    <xf numFmtId="187" fontId="83" fillId="0" borderId="0"/>
    <xf numFmtId="193" fontId="83" fillId="0" borderId="0"/>
    <xf numFmtId="193" fontId="83" fillId="0" borderId="0"/>
    <xf numFmtId="187" fontId="83" fillId="0" borderId="0"/>
    <xf numFmtId="193" fontId="83" fillId="0" borderId="0"/>
    <xf numFmtId="187" fontId="83" fillId="0" borderId="0"/>
    <xf numFmtId="179" fontId="83" fillId="0" borderId="0"/>
    <xf numFmtId="43" fontId="83" fillId="0" borderId="0"/>
    <xf numFmtId="184" fontId="83" fillId="0" borderId="0"/>
    <xf numFmtId="43" fontId="83" fillId="0" borderId="0"/>
    <xf numFmtId="184" fontId="83" fillId="0" borderId="0"/>
    <xf numFmtId="184" fontId="83" fillId="0" borderId="0"/>
    <xf numFmtId="200" fontId="104" fillId="0" borderId="0"/>
    <xf numFmtId="200" fontId="104" fillId="0" borderId="0"/>
    <xf numFmtId="210" fontId="104" fillId="0" borderId="0"/>
    <xf numFmtId="184" fontId="104" fillId="0" borderId="0"/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86" fillId="0" borderId="0"/>
    <xf numFmtId="210" fontId="104" fillId="0" borderId="0"/>
    <xf numFmtId="225" fontId="76" fillId="0" borderId="0"/>
    <xf numFmtId="196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25" fontId="76" fillId="0" borderId="0"/>
    <xf numFmtId="196" fontId="76" fillId="0" borderId="0"/>
    <xf numFmtId="44" fontId="26" fillId="0" borderId="0"/>
    <xf numFmtId="225" fontId="76" fillId="0" borderId="0"/>
    <xf numFmtId="44" fontId="26" fillId="0" borderId="0"/>
    <xf numFmtId="44" fontId="26" fillId="0" borderId="0"/>
    <xf numFmtId="44" fontId="26" fillId="0" borderId="0"/>
    <xf numFmtId="42" fontId="26" fillId="0" borderId="0"/>
    <xf numFmtId="196" fontId="76" fillId="0" borderId="0"/>
    <xf numFmtId="42" fontId="26" fillId="0" borderId="0"/>
    <xf numFmtId="0" fontId="111" fillId="0" borderId="0"/>
    <xf numFmtId="222" fontId="101" fillId="0" borderId="0"/>
    <xf numFmtId="180" fontId="101" fillId="0" borderId="0"/>
    <xf numFmtId="0" fontId="80" fillId="0" borderId="0">
      <alignment vertical="top"/>
      <protection locked="0"/>
    </xf>
    <xf numFmtId="0" fontId="116" fillId="0" borderId="0"/>
    <xf numFmtId="42" fontId="26" fillId="0" borderId="0"/>
    <xf numFmtId="0" fontId="141" fillId="0" borderId="0">
      <alignment vertical="top"/>
      <protection locked="0"/>
    </xf>
    <xf numFmtId="0" fontId="142" fillId="0" borderId="0"/>
    <xf numFmtId="43" fontId="26" fillId="0" borderId="0"/>
    <xf numFmtId="41" fontId="26" fillId="0" borderId="0"/>
    <xf numFmtId="222" fontId="208" fillId="0" borderId="0"/>
    <xf numFmtId="180" fontId="208" fillId="0" borderId="0"/>
    <xf numFmtId="222" fontId="192" fillId="0" borderId="0"/>
    <xf numFmtId="180" fontId="192" fillId="0" borderId="0"/>
    <xf numFmtId="217" fontId="26" fillId="0" borderId="0"/>
    <xf numFmtId="234" fontId="26" fillId="0" borderId="0"/>
    <xf numFmtId="233" fontId="193" fillId="0" borderId="0"/>
    <xf numFmtId="236" fontId="193" fillId="0" borderId="0"/>
    <xf numFmtId="0" fontId="173" fillId="0" borderId="0">
      <alignment vertical="top"/>
      <protection locked="0"/>
    </xf>
    <xf numFmtId="0" fontId="20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0" fillId="2" borderId="0"/>
    <xf numFmtId="9" fontId="171" fillId="0" borderId="0"/>
    <xf numFmtId="0" fontId="189" fillId="2" borderId="0"/>
    <xf numFmtId="0" fontId="2" fillId="40" borderId="0"/>
    <xf numFmtId="0" fontId="2" fillId="31" borderId="0"/>
    <xf numFmtId="0" fontId="2" fillId="34" borderId="0"/>
    <xf numFmtId="0" fontId="2" fillId="27" borderId="0"/>
    <xf numFmtId="0" fontId="2" fillId="39" borderId="0"/>
    <xf numFmtId="0" fontId="2" fillId="26" borderId="0"/>
    <xf numFmtId="0" fontId="2" fillId="53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12" fillId="40" borderId="0"/>
    <xf numFmtId="0" fontId="2" fillId="40" borderId="0"/>
    <xf numFmtId="0" fontId="2" fillId="40" borderId="0"/>
    <xf numFmtId="0" fontId="2" fillId="40" borderId="0"/>
    <xf numFmtId="0" fontId="2" fillId="52" borderId="0"/>
    <xf numFmtId="0" fontId="2" fillId="40" borderId="0"/>
    <xf numFmtId="0" fontId="2" fillId="40" borderId="0"/>
    <xf numFmtId="0" fontId="2" fillId="40" borderId="0"/>
    <xf numFmtId="0" fontId="77" fillId="40" borderId="0"/>
    <xf numFmtId="0" fontId="2" fillId="40" borderId="0"/>
    <xf numFmtId="0" fontId="2" fillId="40" borderId="0"/>
    <xf numFmtId="0" fontId="2" fillId="40" borderId="0"/>
    <xf numFmtId="0" fontId="2" fillId="39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40" borderId="0">
      <alignment vertical="center"/>
    </xf>
    <xf numFmtId="0" fontId="2" fillId="40" borderId="0"/>
    <xf numFmtId="0" fontId="2" fillId="40" borderId="0"/>
    <xf numFmtId="0" fontId="2" fillId="40" borderId="0"/>
    <xf numFmtId="0" fontId="2" fillId="53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40" borderId="0"/>
    <xf numFmtId="0" fontId="2" fillId="60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12" fillId="31" borderId="0"/>
    <xf numFmtId="0" fontId="2" fillId="31" borderId="0"/>
    <xf numFmtId="0" fontId="2" fillId="31" borderId="0"/>
    <xf numFmtId="0" fontId="2" fillId="31" borderId="0"/>
    <xf numFmtId="0" fontId="2" fillId="60" borderId="0"/>
    <xf numFmtId="0" fontId="2" fillId="31" borderId="0"/>
    <xf numFmtId="0" fontId="2" fillId="31" borderId="0"/>
    <xf numFmtId="0" fontId="2" fillId="31" borderId="0"/>
    <xf numFmtId="0" fontId="77" fillId="31" borderId="0"/>
    <xf numFmtId="0" fontId="2" fillId="31" borderId="0"/>
    <xf numFmtId="0" fontId="2" fillId="31" borderId="0"/>
    <xf numFmtId="0" fontId="2" fillId="31" borderId="0"/>
    <xf numFmtId="0" fontId="2" fillId="30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25" borderId="0">
      <alignment vertical="center"/>
    </xf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31" borderId="0"/>
    <xf numFmtId="0" fontId="2" fillId="59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12" fillId="34" borderId="0"/>
    <xf numFmtId="0" fontId="2" fillId="34" borderId="0"/>
    <xf numFmtId="0" fontId="2" fillId="34" borderId="0"/>
    <xf numFmtId="0" fontId="2" fillId="34" borderId="0"/>
    <xf numFmtId="0" fontId="2" fillId="59" borderId="0"/>
    <xf numFmtId="0" fontId="2" fillId="34" borderId="0"/>
    <xf numFmtId="0" fontId="2" fillId="34" borderId="0"/>
    <xf numFmtId="0" fontId="2" fillId="34" borderId="0"/>
    <xf numFmtId="0" fontId="77" fillId="34" borderId="0"/>
    <xf numFmtId="0" fontId="2" fillId="34" borderId="0"/>
    <xf numFmtId="0" fontId="2" fillId="34" borderId="0"/>
    <xf numFmtId="0" fontId="2" fillId="34" borderId="0"/>
    <xf numFmtId="0" fontId="2" fillId="4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55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12" fillId="27" borderId="0"/>
    <xf numFmtId="0" fontId="2" fillId="27" borderId="0"/>
    <xf numFmtId="0" fontId="2" fillId="27" borderId="0"/>
    <xf numFmtId="0" fontId="2" fillId="27" borderId="0"/>
    <xf numFmtId="0" fontId="2" fillId="55" borderId="0"/>
    <xf numFmtId="0" fontId="2" fillId="27" borderId="0"/>
    <xf numFmtId="0" fontId="2" fillId="27" borderId="0"/>
    <xf numFmtId="0" fontId="2" fillId="27" borderId="0"/>
    <xf numFmtId="0" fontId="77" fillId="27" borderId="0"/>
    <xf numFmtId="0" fontId="2" fillId="27" borderId="0"/>
    <xf numFmtId="0" fontId="2" fillId="27" borderId="0"/>
    <xf numFmtId="0" fontId="2" fillId="27" borderId="0"/>
    <xf numFmtId="0" fontId="2" fillId="30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62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12" fillId="39" borderId="0"/>
    <xf numFmtId="0" fontId="2" fillId="39" borderId="0"/>
    <xf numFmtId="0" fontId="2" fillId="39" borderId="0"/>
    <xf numFmtId="0" fontId="2" fillId="39" borderId="0"/>
    <xf numFmtId="0" fontId="2" fillId="44" borderId="0"/>
    <xf numFmtId="0" fontId="2" fillId="39" borderId="0"/>
    <xf numFmtId="0" fontId="2" fillId="39" borderId="0"/>
    <xf numFmtId="0" fontId="2" fillId="39" borderId="0"/>
    <xf numFmtId="0" fontId="77" fillId="39" borderId="0"/>
    <xf numFmtId="0" fontId="2" fillId="39" borderId="0"/>
    <xf numFmtId="0" fontId="2" fillId="39" borderId="0"/>
    <xf numFmtId="0" fontId="2" fillId="39" borderId="0"/>
    <xf numFmtId="0" fontId="2" fillId="40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>
      <alignment vertical="center"/>
    </xf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9" borderId="0"/>
    <xf numFmtId="0" fontId="2" fillId="35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12" fillId="26" borderId="0"/>
    <xf numFmtId="0" fontId="2" fillId="26" borderId="0"/>
    <xf numFmtId="0" fontId="2" fillId="26" borderId="0"/>
    <xf numFmtId="0" fontId="2" fillId="26" borderId="0"/>
    <xf numFmtId="0" fontId="2" fillId="47" borderId="0"/>
    <xf numFmtId="0" fontId="2" fillId="26" borderId="0"/>
    <xf numFmtId="0" fontId="2" fillId="26" borderId="0"/>
    <xf numFmtId="0" fontId="2" fillId="26" borderId="0"/>
    <xf numFmtId="0" fontId="77" fillId="26" borderId="0"/>
    <xf numFmtId="0" fontId="2" fillId="26" borderId="0"/>
    <xf numFmtId="0" fontId="2" fillId="26" borderId="0"/>
    <xf numFmtId="0" fontId="2" fillId="26" borderId="0"/>
    <xf numFmtId="0" fontId="2" fillId="34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131" fillId="2" borderId="0"/>
    <xf numFmtId="0" fontId="215" fillId="0" borderId="0">
      <alignment wrapText="1"/>
    </xf>
    <xf numFmtId="0" fontId="2" fillId="19" borderId="0"/>
    <xf numFmtId="0" fontId="2" fillId="25" borderId="0"/>
    <xf numFmtId="0" fontId="2" fillId="22" borderId="0"/>
    <xf numFmtId="0" fontId="2" fillId="27" borderId="0"/>
    <xf numFmtId="0" fontId="2" fillId="19" borderId="0"/>
    <xf numFmtId="0" fontId="2" fillId="28" borderId="0"/>
    <xf numFmtId="0" fontId="2" fillId="45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12" fillId="19" borderId="0"/>
    <xf numFmtId="0" fontId="2" fillId="19" borderId="0"/>
    <xf numFmtId="0" fontId="2" fillId="19" borderId="0"/>
    <xf numFmtId="0" fontId="2" fillId="19" borderId="0"/>
    <xf numFmtId="0" fontId="77" fillId="19" borderId="0"/>
    <xf numFmtId="0" fontId="2" fillId="19" borderId="0"/>
    <xf numFmtId="0" fontId="2" fillId="19" borderId="0"/>
    <xf numFmtId="0" fontId="2" fillId="19" borderId="0"/>
    <xf numFmtId="0" fontId="2" fillId="40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46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12" fillId="25" borderId="0"/>
    <xf numFmtId="0" fontId="2" fillId="25" borderId="0"/>
    <xf numFmtId="0" fontId="2" fillId="25" borderId="0"/>
    <xf numFmtId="0" fontId="2" fillId="25" borderId="0"/>
    <xf numFmtId="0" fontId="2" fillId="46" borderId="0"/>
    <xf numFmtId="0" fontId="2" fillId="25" borderId="0"/>
    <xf numFmtId="0" fontId="2" fillId="25" borderId="0"/>
    <xf numFmtId="0" fontId="2" fillId="25" borderId="0"/>
    <xf numFmtId="0" fontId="77" fillId="25" borderId="0"/>
    <xf numFmtId="0" fontId="2" fillId="25" borderId="0"/>
    <xf numFmtId="0" fontId="2" fillId="25" borderId="0"/>
    <xf numFmtId="0" fontId="2" fillId="25" borderId="0"/>
    <xf numFmtId="0" fontId="2" fillId="26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>
      <alignment vertical="center"/>
    </xf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5" borderId="0"/>
    <xf numFmtId="0" fontId="2" fillId="24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12" fillId="22" borderId="0"/>
    <xf numFmtId="0" fontId="2" fillId="22" borderId="0"/>
    <xf numFmtId="0" fontId="2" fillId="22" borderId="0"/>
    <xf numFmtId="0" fontId="2" fillId="22" borderId="0"/>
    <xf numFmtId="0" fontId="2" fillId="24" borderId="0"/>
    <xf numFmtId="0" fontId="2" fillId="22" borderId="0"/>
    <xf numFmtId="0" fontId="2" fillId="22" borderId="0"/>
    <xf numFmtId="0" fontId="2" fillId="22" borderId="0"/>
    <xf numFmtId="0" fontId="77" fillId="22" borderId="0"/>
    <xf numFmtId="0" fontId="2" fillId="22" borderId="0"/>
    <xf numFmtId="0" fontId="2" fillId="22" borderId="0"/>
    <xf numFmtId="0" fontId="2" fillId="22" borderId="0"/>
    <xf numFmtId="0" fontId="2" fillId="2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34" borderId="0">
      <alignment vertical="center"/>
    </xf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55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12" fillId="27" borderId="0"/>
    <xf numFmtId="0" fontId="2" fillId="27" borderId="0"/>
    <xf numFmtId="0" fontId="2" fillId="27" borderId="0"/>
    <xf numFmtId="0" fontId="2" fillId="27" borderId="0"/>
    <xf numFmtId="0" fontId="2" fillId="55" borderId="0"/>
    <xf numFmtId="0" fontId="2" fillId="27" borderId="0"/>
    <xf numFmtId="0" fontId="2" fillId="27" borderId="0"/>
    <xf numFmtId="0" fontId="2" fillId="27" borderId="0"/>
    <xf numFmtId="0" fontId="77" fillId="27" borderId="0"/>
    <xf numFmtId="0" fontId="2" fillId="27" borderId="0"/>
    <xf numFmtId="0" fontId="2" fillId="27" borderId="0"/>
    <xf numFmtId="0" fontId="2" fillId="27" borderId="0"/>
    <xf numFmtId="0" fontId="2" fillId="23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>
      <alignment vertical="center"/>
    </xf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45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12" fillId="19" borderId="0"/>
    <xf numFmtId="0" fontId="2" fillId="19" borderId="0"/>
    <xf numFmtId="0" fontId="2" fillId="19" borderId="0"/>
    <xf numFmtId="0" fontId="2" fillId="19" borderId="0"/>
    <xf numFmtId="0" fontId="2" fillId="45" borderId="0"/>
    <xf numFmtId="0" fontId="2" fillId="19" borderId="0"/>
    <xf numFmtId="0" fontId="2" fillId="19" borderId="0"/>
    <xf numFmtId="0" fontId="2" fillId="19" borderId="0"/>
    <xf numFmtId="0" fontId="77" fillId="19" borderId="0"/>
    <xf numFmtId="0" fontId="2" fillId="19" borderId="0"/>
    <xf numFmtId="0" fontId="2" fillId="19" borderId="0"/>
    <xf numFmtId="0" fontId="2" fillId="19" borderId="0"/>
    <xf numFmtId="0" fontId="2" fillId="40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>
      <alignment vertical="center"/>
    </xf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42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12" fillId="28" borderId="0"/>
    <xf numFmtId="0" fontId="2" fillId="28" borderId="0"/>
    <xf numFmtId="0" fontId="2" fillId="28" borderId="0"/>
    <xf numFmtId="0" fontId="2" fillId="28" borderId="0"/>
    <xf numFmtId="0" fontId="2" fillId="42" borderId="0"/>
    <xf numFmtId="0" fontId="2" fillId="28" borderId="0"/>
    <xf numFmtId="0" fontId="2" fillId="28" borderId="0"/>
    <xf numFmtId="0" fontId="2" fillId="28" borderId="0"/>
    <xf numFmtId="0" fontId="77" fillId="28" borderId="0"/>
    <xf numFmtId="0" fontId="2" fillId="28" borderId="0"/>
    <xf numFmtId="0" fontId="2" fillId="28" borderId="0"/>
    <xf numFmtId="0" fontId="2" fillId="28" borderId="0"/>
    <xf numFmtId="0" fontId="2" fillId="2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6" borderId="0">
      <alignment vertical="center"/>
    </xf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2" fillId="28" borderId="0"/>
    <xf numFmtId="0" fontId="75" fillId="41" borderId="0"/>
    <xf numFmtId="0" fontId="75" fillId="25" borderId="0"/>
    <xf numFmtId="0" fontId="75" fillId="22" borderId="0"/>
    <xf numFmtId="0" fontId="75" fillId="21" borderId="0"/>
    <xf numFmtId="0" fontId="75" fillId="33" borderId="0"/>
    <xf numFmtId="0" fontId="75" fillId="29" borderId="0"/>
    <xf numFmtId="0" fontId="75" fillId="57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107" fillId="41" borderId="0"/>
    <xf numFmtId="0" fontId="75" fillId="41" borderId="0"/>
    <xf numFmtId="0" fontId="75" fillId="41" borderId="0"/>
    <xf numFmtId="0" fontId="75" fillId="41" borderId="0"/>
    <xf numFmtId="0" fontId="158" fillId="41" borderId="0"/>
    <xf numFmtId="0" fontId="75" fillId="41" borderId="0"/>
    <xf numFmtId="0" fontId="75" fillId="41" borderId="0"/>
    <xf numFmtId="0" fontId="75" fillId="41" borderId="0"/>
    <xf numFmtId="0" fontId="75" fillId="19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19" borderId="0">
      <alignment vertical="center"/>
    </xf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1" borderId="0"/>
    <xf numFmtId="0" fontId="75" fillId="46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107" fillId="25" borderId="0"/>
    <xf numFmtId="0" fontId="75" fillId="25" borderId="0"/>
    <xf numFmtId="0" fontId="75" fillId="25" borderId="0"/>
    <xf numFmtId="0" fontId="75" fillId="25" borderId="0"/>
    <xf numFmtId="0" fontId="75" fillId="46" borderId="0"/>
    <xf numFmtId="0" fontId="75" fillId="25" borderId="0"/>
    <xf numFmtId="0" fontId="75" fillId="25" borderId="0"/>
    <xf numFmtId="0" fontId="75" fillId="25" borderId="0"/>
    <xf numFmtId="0" fontId="158" fillId="25" borderId="0"/>
    <xf numFmtId="0" fontId="75" fillId="25" borderId="0"/>
    <xf numFmtId="0" fontId="75" fillId="25" borderId="0"/>
    <xf numFmtId="0" fontId="75" fillId="25" borderId="0"/>
    <xf numFmtId="0" fontId="75" fillId="26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>
      <alignment vertical="center"/>
    </xf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5" borderId="0"/>
    <xf numFmtId="0" fontId="75" fillId="24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107" fillId="22" borderId="0"/>
    <xf numFmtId="0" fontId="75" fillId="22" borderId="0"/>
    <xf numFmtId="0" fontId="75" fillId="22" borderId="0"/>
    <xf numFmtId="0" fontId="75" fillId="22" borderId="0"/>
    <xf numFmtId="0" fontId="75" fillId="24" borderId="0"/>
    <xf numFmtId="0" fontId="75" fillId="22" borderId="0"/>
    <xf numFmtId="0" fontId="75" fillId="22" borderId="0"/>
    <xf numFmtId="0" fontId="75" fillId="22" borderId="0"/>
    <xf numFmtId="0" fontId="158" fillId="22" borderId="0"/>
    <xf numFmtId="0" fontId="75" fillId="22" borderId="0"/>
    <xf numFmtId="0" fontId="75" fillId="22" borderId="0"/>
    <xf numFmtId="0" fontId="75" fillId="22" borderId="0"/>
    <xf numFmtId="0" fontId="75" fillId="2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34" borderId="0">
      <alignment vertical="center"/>
    </xf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22" borderId="0"/>
    <xf numFmtId="0" fontId="75" fillId="3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107" fillId="21" borderId="0"/>
    <xf numFmtId="0" fontId="75" fillId="21" borderId="0"/>
    <xf numFmtId="0" fontId="75" fillId="21" borderId="0"/>
    <xf numFmtId="0" fontId="75" fillId="21" borderId="0"/>
    <xf numFmtId="0" fontId="75" fillId="38" borderId="0"/>
    <xf numFmtId="0" fontId="75" fillId="21" borderId="0"/>
    <xf numFmtId="0" fontId="75" fillId="21" borderId="0"/>
    <xf numFmtId="0" fontId="75" fillId="21" borderId="0"/>
    <xf numFmtId="0" fontId="158" fillId="21" borderId="0"/>
    <xf numFmtId="0" fontId="75" fillId="21" borderId="0"/>
    <xf numFmtId="0" fontId="75" fillId="21" borderId="0"/>
    <xf numFmtId="0" fontId="75" fillId="21" borderId="0"/>
    <xf numFmtId="0" fontId="75" fillId="26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7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48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107" fillId="33" borderId="0"/>
    <xf numFmtId="0" fontId="75" fillId="33" borderId="0"/>
    <xf numFmtId="0" fontId="75" fillId="33" borderId="0"/>
    <xf numFmtId="0" fontId="75" fillId="33" borderId="0"/>
    <xf numFmtId="0" fontId="75" fillId="48" borderId="0"/>
    <xf numFmtId="0" fontId="75" fillId="33" borderId="0"/>
    <xf numFmtId="0" fontId="75" fillId="33" borderId="0"/>
    <xf numFmtId="0" fontId="75" fillId="33" borderId="0"/>
    <xf numFmtId="0" fontId="158" fillId="33" borderId="0"/>
    <xf numFmtId="0" fontId="75" fillId="33" borderId="0"/>
    <xf numFmtId="0" fontId="75" fillId="33" borderId="0"/>
    <xf numFmtId="0" fontId="75" fillId="33" borderId="0"/>
    <xf numFmtId="0" fontId="75" fillId="66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19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58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107" fillId="29" borderId="0"/>
    <xf numFmtId="0" fontId="75" fillId="29" borderId="0"/>
    <xf numFmtId="0" fontId="75" fillId="29" borderId="0"/>
    <xf numFmtId="0" fontId="75" fillId="29" borderId="0"/>
    <xf numFmtId="0" fontId="75" fillId="58" borderId="0"/>
    <xf numFmtId="0" fontId="75" fillId="29" borderId="0"/>
    <xf numFmtId="0" fontId="75" fillId="29" borderId="0"/>
    <xf numFmtId="0" fontId="75" fillId="29" borderId="0"/>
    <xf numFmtId="0" fontId="158" fillId="29" borderId="0"/>
    <xf numFmtId="0" fontId="75" fillId="29" borderId="0"/>
    <xf numFmtId="0" fontId="75" fillId="29" borderId="0"/>
    <xf numFmtId="0" fontId="75" fillId="29" borderId="0"/>
    <xf numFmtId="0" fontId="75" fillId="2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6" borderId="0">
      <alignment vertical="center"/>
    </xf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0" fontId="75" fillId="29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190" fillId="0" borderId="0"/>
    <xf numFmtId="197" fontId="202" fillId="0" borderId="0"/>
    <xf numFmtId="216" fontId="202" fillId="0" borderId="0"/>
    <xf numFmtId="0" fontId="75" fillId="49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107" fillId="20" borderId="0"/>
    <xf numFmtId="0" fontId="75" fillId="20" borderId="0"/>
    <xf numFmtId="0" fontId="75" fillId="20" borderId="0"/>
    <xf numFmtId="0" fontId="75" fillId="20" borderId="0"/>
    <xf numFmtId="0" fontId="75" fillId="49" borderId="0"/>
    <xf numFmtId="0" fontId="75" fillId="20" borderId="0"/>
    <xf numFmtId="0" fontId="75" fillId="20" borderId="0"/>
    <xf numFmtId="0" fontId="75" fillId="20" borderId="0"/>
    <xf numFmtId="0" fontId="158" fillId="20" borderId="0"/>
    <xf numFmtId="0" fontId="75" fillId="20" borderId="0"/>
    <xf numFmtId="0" fontId="75" fillId="20" borderId="0"/>
    <xf numFmtId="0" fontId="75" fillId="20" borderId="0"/>
    <xf numFmtId="0" fontId="75" fillId="67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33" borderId="0">
      <alignment vertical="center"/>
    </xf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20" borderId="0"/>
    <xf numFmtId="0" fontId="75" fillId="61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107" fillId="36" borderId="0"/>
    <xf numFmtId="0" fontId="75" fillId="36" borderId="0"/>
    <xf numFmtId="0" fontId="75" fillId="36" borderId="0"/>
    <xf numFmtId="0" fontId="75" fillId="36" borderId="0"/>
    <xf numFmtId="0" fontId="75" fillId="61" borderId="0"/>
    <xf numFmtId="0" fontId="75" fillId="36" borderId="0"/>
    <xf numFmtId="0" fontId="75" fillId="36" borderId="0"/>
    <xf numFmtId="0" fontId="75" fillId="36" borderId="0"/>
    <xf numFmtId="0" fontId="158" fillId="36" borderId="0"/>
    <xf numFmtId="0" fontId="75" fillId="36" borderId="0"/>
    <xf numFmtId="0" fontId="75" fillId="36" borderId="0"/>
    <xf numFmtId="0" fontId="75" fillId="36" borderId="0"/>
    <xf numFmtId="0" fontId="75" fillId="18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>
      <alignment vertical="center"/>
    </xf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36" borderId="0"/>
    <xf numFmtId="0" fontId="75" fillId="68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107" fillId="32" borderId="0"/>
    <xf numFmtId="0" fontId="75" fillId="32" borderId="0"/>
    <xf numFmtId="0" fontId="75" fillId="32" borderId="0"/>
    <xf numFmtId="0" fontId="75" fillId="32" borderId="0"/>
    <xf numFmtId="0" fontId="75" fillId="68" borderId="0"/>
    <xf numFmtId="0" fontId="75" fillId="32" borderId="0"/>
    <xf numFmtId="0" fontId="75" fillId="32" borderId="0"/>
    <xf numFmtId="0" fontId="75" fillId="32" borderId="0"/>
    <xf numFmtId="0" fontId="158" fillId="32" borderId="0"/>
    <xf numFmtId="0" fontId="75" fillId="32" borderId="0"/>
    <xf numFmtId="0" fontId="75" fillId="32" borderId="0"/>
    <xf numFmtId="0" fontId="75" fillId="32" borderId="0"/>
    <xf numFmtId="0" fontId="75" fillId="37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>
      <alignment vertical="center"/>
    </xf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2" borderId="0"/>
    <xf numFmtId="0" fontId="75" fillId="3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107" fillId="21" borderId="0"/>
    <xf numFmtId="0" fontId="75" fillId="21" borderId="0"/>
    <xf numFmtId="0" fontId="75" fillId="21" borderId="0"/>
    <xf numFmtId="0" fontId="75" fillId="21" borderId="0"/>
    <xf numFmtId="0" fontId="75" fillId="38" borderId="0"/>
    <xf numFmtId="0" fontId="75" fillId="21" borderId="0"/>
    <xf numFmtId="0" fontId="75" fillId="21" borderId="0"/>
    <xf numFmtId="0" fontId="75" fillId="21" borderId="0"/>
    <xf numFmtId="0" fontId="158" fillId="21" borderId="0"/>
    <xf numFmtId="0" fontId="75" fillId="21" borderId="0"/>
    <xf numFmtId="0" fontId="75" fillId="21" borderId="0"/>
    <xf numFmtId="0" fontId="75" fillId="21" borderId="0"/>
    <xf numFmtId="0" fontId="75" fillId="28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63" borderId="0">
      <alignment vertical="center"/>
    </xf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21" borderId="0"/>
    <xf numFmtId="0" fontId="75" fillId="48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107" fillId="33" borderId="0"/>
    <xf numFmtId="0" fontId="75" fillId="33" borderId="0"/>
    <xf numFmtId="0" fontId="75" fillId="33" borderId="0"/>
    <xf numFmtId="0" fontId="75" fillId="33" borderId="0"/>
    <xf numFmtId="0" fontId="75" fillId="48" borderId="0"/>
    <xf numFmtId="0" fontId="75" fillId="33" borderId="0"/>
    <xf numFmtId="0" fontId="75" fillId="33" borderId="0"/>
    <xf numFmtId="0" fontId="75" fillId="33" borderId="0"/>
    <xf numFmtId="0" fontId="158" fillId="33" borderId="0"/>
    <xf numFmtId="0" fontId="75" fillId="33" borderId="0"/>
    <xf numFmtId="0" fontId="75" fillId="33" borderId="0"/>
    <xf numFmtId="0" fontId="75" fillId="33" borderId="0"/>
    <xf numFmtId="0" fontId="75" fillId="70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>
      <alignment vertical="center"/>
    </xf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33" borderId="0"/>
    <xf numFmtId="0" fontId="75" fillId="51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107" fillId="18" borderId="0"/>
    <xf numFmtId="0" fontId="75" fillId="18" borderId="0"/>
    <xf numFmtId="0" fontId="75" fillId="18" borderId="0"/>
    <xf numFmtId="0" fontId="75" fillId="18" borderId="0"/>
    <xf numFmtId="0" fontId="75" fillId="51" borderId="0"/>
    <xf numFmtId="0" fontId="75" fillId="18" borderId="0"/>
    <xf numFmtId="0" fontId="75" fillId="18" borderId="0"/>
    <xf numFmtId="0" fontId="75" fillId="18" borderId="0"/>
    <xf numFmtId="0" fontId="158" fillId="18" borderId="0"/>
    <xf numFmtId="0" fontId="75" fillId="18" borderId="0"/>
    <xf numFmtId="0" fontId="75" fillId="18" borderId="0"/>
    <xf numFmtId="0" fontId="75" fillId="18" borderId="0"/>
    <xf numFmtId="0" fontId="75" fillId="32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>
      <alignment vertical="center"/>
    </xf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0" fontId="75" fillId="18" borderId="0"/>
    <xf numFmtId="237" fontId="132" fillId="0" borderId="0"/>
    <xf numFmtId="0" fontId="102" fillId="0" borderId="0"/>
    <xf numFmtId="246" fontId="104" fillId="0" borderId="0"/>
    <xf numFmtId="247" fontId="132" fillId="0" borderId="0"/>
    <xf numFmtId="0" fontId="102" fillId="0" borderId="0"/>
    <xf numFmtId="248" fontId="104" fillId="0" borderId="0"/>
    <xf numFmtId="0" fontId="188" fillId="0" borderId="0">
      <alignment horizontal="center" wrapText="1"/>
      <protection locked="0"/>
    </xf>
    <xf numFmtId="167" fontId="161" fillId="0" borderId="0"/>
    <xf numFmtId="0" fontId="102" fillId="0" borderId="0"/>
    <xf numFmtId="167" fontId="171" fillId="0" borderId="0"/>
    <xf numFmtId="171" fontId="132" fillId="0" borderId="0"/>
    <xf numFmtId="0" fontId="102" fillId="0" borderId="0"/>
    <xf numFmtId="186" fontId="17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5" fillId="0" borderId="0"/>
    <xf numFmtId="0" fontId="122" fillId="60" borderId="0">
      <alignment vertical="center"/>
    </xf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227" fillId="31" borderId="0"/>
    <xf numFmtId="0" fontId="122" fillId="31" borderId="0"/>
    <xf numFmtId="0" fontId="122" fillId="31" borderId="0"/>
    <xf numFmtId="0" fontId="122" fillId="31" borderId="0"/>
    <xf numFmtId="0" fontId="122" fillId="60" borderId="0"/>
    <xf numFmtId="0" fontId="122" fillId="31" borderId="0"/>
    <xf numFmtId="0" fontId="122" fillId="31" borderId="0"/>
    <xf numFmtId="0" fontId="122" fillId="31" borderId="0"/>
    <xf numFmtId="0" fontId="127" fillId="31" borderId="0"/>
    <xf numFmtId="0" fontId="122" fillId="31" borderId="0"/>
    <xf numFmtId="0" fontId="122" fillId="31" borderId="0"/>
    <xf numFmtId="0" fontId="122" fillId="31" borderId="0"/>
    <xf numFmtId="0" fontId="219" fillId="31" borderId="0">
      <alignment vertical="center"/>
    </xf>
    <xf numFmtId="0" fontId="122" fillId="31" borderId="0"/>
    <xf numFmtId="0" fontId="122" fillId="31" borderId="0"/>
    <xf numFmtId="0" fontId="122" fillId="31" borderId="0"/>
    <xf numFmtId="0" fontId="81" fillId="25" borderId="0">
      <alignment vertical="center"/>
    </xf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122" fillId="31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21" fontId="180" fillId="0" borderId="0"/>
    <xf numFmtId="0" fontId="86" fillId="0" borderId="13"/>
    <xf numFmtId="0" fontId="87" fillId="50" borderId="13"/>
    <xf numFmtId="0" fontId="87" fillId="54" borderId="13"/>
    <xf numFmtId="0" fontId="174" fillId="0" borderId="0">
      <alignment horizontal="left"/>
    </xf>
    <xf numFmtId="0" fontId="102" fillId="0" borderId="0"/>
    <xf numFmtId="0" fontId="181" fillId="0" borderId="0"/>
    <xf numFmtId="0" fontId="102" fillId="0" borderId="0"/>
    <xf numFmtId="0" fontId="18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0" fontId="78" fillId="2" borderId="74"/>
    <xf numFmtId="0" fontId="78" fillId="56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16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16" fillId="2" borderId="74"/>
    <xf numFmtId="0" fontId="216" fillId="2" borderId="74"/>
    <xf numFmtId="0" fontId="78" fillId="56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56" borderId="74"/>
    <xf numFmtId="0" fontId="78" fillId="56" borderId="74"/>
    <xf numFmtId="0" fontId="150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150" fillId="2" borderId="74"/>
    <xf numFmtId="0" fontId="150" fillId="2" borderId="74"/>
    <xf numFmtId="0" fontId="223" fillId="4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4" borderId="74">
      <alignment vertical="center"/>
    </xf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78" fillId="2" borderId="74"/>
    <xf numFmtId="0" fontId="26" fillId="0" borderId="0">
      <alignment vertical="top"/>
    </xf>
    <xf numFmtId="0" fontId="87" fillId="0" borderId="0"/>
    <xf numFmtId="0" fontId="91" fillId="0" borderId="79"/>
    <xf numFmtId="228" fontId="83" fillId="0" borderId="0"/>
    <xf numFmtId="0" fontId="92" fillId="0" borderId="0">
      <alignment vertical="center"/>
    </xf>
    <xf numFmtId="0" fontId="93" fillId="65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26" fillId="0" borderId="0"/>
    <xf numFmtId="0" fontId="98" fillId="37" borderId="80"/>
    <xf numFmtId="0" fontId="93" fillId="37" borderId="80"/>
    <xf numFmtId="0" fontId="93" fillId="37" borderId="80"/>
    <xf numFmtId="0" fontId="93" fillId="37" borderId="80"/>
    <xf numFmtId="0" fontId="93" fillId="65" borderId="80"/>
    <xf numFmtId="0" fontId="93" fillId="37" borderId="80"/>
    <xf numFmtId="0" fontId="93" fillId="37" borderId="80"/>
    <xf numFmtId="0" fontId="93" fillId="37" borderId="80"/>
    <xf numFmtId="0" fontId="222" fillId="37" borderId="80"/>
    <xf numFmtId="0" fontId="93" fillId="37" borderId="80"/>
    <xf numFmtId="0" fontId="93" fillId="37" borderId="80"/>
    <xf numFmtId="0" fontId="93" fillId="37" borderId="80"/>
    <xf numFmtId="0" fontId="93" fillId="37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>
      <alignment vertical="center"/>
    </xf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0" fontId="93" fillId="37" borderId="80"/>
    <xf numFmtId="1" fontId="184" fillId="0" borderId="8"/>
    <xf numFmtId="0" fontId="211" fillId="0" borderId="0">
      <alignment horizontal="right"/>
    </xf>
    <xf numFmtId="43" fontId="2" fillId="0" borderId="0"/>
    <xf numFmtId="0" fontId="157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37" fontId="1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167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167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10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67" fontId="2" fillId="0" borderId="0">
      <alignment vertical="center"/>
    </xf>
    <xf numFmtId="41" fontId="2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38" fontId="130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38" fontId="130" fillId="0" borderId="0"/>
    <xf numFmtId="38" fontId="130" fillId="0" borderId="0"/>
    <xf numFmtId="38" fontId="130" fillId="0" borderId="0"/>
    <xf numFmtId="167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38" fontId="130" fillId="0" borderId="0"/>
    <xf numFmtId="41" fontId="10" fillId="0" borderId="0"/>
    <xf numFmtId="41" fontId="10" fillId="0" borderId="0"/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167" fontId="133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26" fillId="0" borderId="0"/>
    <xf numFmtId="41" fontId="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/>
    <xf numFmtId="41" fontId="12" fillId="0" borderId="0"/>
    <xf numFmtId="41" fontId="12" fillId="0" borderId="0"/>
    <xf numFmtId="41" fontId="12" fillId="0" borderId="0"/>
    <xf numFmtId="41" fontId="12" fillId="0" borderId="0"/>
    <xf numFmtId="41" fontId="2" fillId="0" borderId="0">
      <alignment vertical="center"/>
    </xf>
    <xf numFmtId="41" fontId="12" fillId="0" borderId="0"/>
    <xf numFmtId="41" fontId="12" fillId="0" borderId="0"/>
    <xf numFmtId="41" fontId="12" fillId="0" borderId="0"/>
    <xf numFmtId="41" fontId="12" fillId="0" borderId="0"/>
    <xf numFmtId="167" fontId="133" fillId="0" borderId="0">
      <alignment vertical="center"/>
    </xf>
    <xf numFmtId="174" fontId="2" fillId="0" borderId="0"/>
    <xf numFmtId="41" fontId="160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160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67" fontId="2" fillId="0" borderId="0">
      <alignment vertical="center"/>
    </xf>
    <xf numFmtId="167" fontId="2" fillId="0" borderId="0">
      <alignment vertical="center"/>
    </xf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41" fontId="2" fillId="0" borderId="0">
      <alignment vertical="center"/>
    </xf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67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174" fontId="26" fillId="0" borderId="0"/>
    <xf numFmtId="174" fontId="26" fillId="0" borderId="0"/>
    <xf numFmtId="41" fontId="2" fillId="0" borderId="0"/>
    <xf numFmtId="41" fontId="2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15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>
      <alignment vertical="center"/>
    </xf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174" fontId="26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>
      <alignment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" fillId="0" borderId="0">
      <alignment vertical="center"/>
    </xf>
    <xf numFmtId="41" fontId="2" fillId="0" borderId="0"/>
    <xf numFmtId="41" fontId="2" fillId="0" borderId="0"/>
    <xf numFmtId="41" fontId="2" fillId="0" borderId="0"/>
    <xf numFmtId="41" fontId="2" fillId="0" borderId="0"/>
    <xf numFmtId="41" fontId="10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41" fontId="2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20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3" fontId="15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6" fillId="0" borderId="0"/>
    <xf numFmtId="43" fontId="26" fillId="0" borderId="0"/>
    <xf numFmtId="43" fontId="10" fillId="0" borderId="0"/>
    <xf numFmtId="43" fontId="10" fillId="0" borderId="0"/>
    <xf numFmtId="43" fontId="26" fillId="0" borderId="0"/>
    <xf numFmtId="43" fontId="26" fillId="0" borderId="0"/>
    <xf numFmtId="43" fontId="10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184" fontId="26" fillId="0" borderId="0"/>
    <xf numFmtId="184" fontId="26" fillId="0" borderId="0"/>
    <xf numFmtId="184" fontId="26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220" fontId="26" fillId="0" borderId="0"/>
    <xf numFmtId="220" fontId="26" fillId="0" borderId="0"/>
    <xf numFmtId="220" fontId="26" fillId="0" borderId="0"/>
    <xf numFmtId="220" fontId="26" fillId="0" borderId="0"/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4" fontId="2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43" fontId="15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186" fontId="133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15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" fillId="0" borderId="0">
      <alignment vertical="center"/>
    </xf>
    <xf numFmtId="43" fontId="2" fillId="0" borderId="0"/>
    <xf numFmtId="43" fontId="10" fillId="0" borderId="0"/>
    <xf numFmtId="43" fontId="1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62" fillId="0" borderId="0"/>
    <xf numFmtId="43" fontId="77" fillId="0" borderId="0"/>
    <xf numFmtId="43" fontId="10" fillId="0" borderId="0"/>
    <xf numFmtId="43" fontId="10" fillId="0" borderId="0"/>
    <xf numFmtId="43" fontId="77" fillId="0" borderId="0"/>
    <xf numFmtId="43" fontId="10" fillId="0" borderId="0"/>
    <xf numFmtId="43" fontId="10" fillId="0" borderId="0"/>
    <xf numFmtId="43" fontId="2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12" fillId="0" borderId="0"/>
    <xf numFmtId="43" fontId="12" fillId="0" borderId="0"/>
    <xf numFmtId="43" fontId="12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77" fillId="0" borderId="0"/>
    <xf numFmtId="43" fontId="10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10" fillId="0" borderId="0"/>
    <xf numFmtId="205" fontId="133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10" fillId="0" borderId="0"/>
    <xf numFmtId="43" fontId="77" fillId="0" borderId="0"/>
    <xf numFmtId="43" fontId="26" fillId="0" borderId="0"/>
    <xf numFmtId="43" fontId="2" fillId="0" borderId="0"/>
    <xf numFmtId="43" fontId="2" fillId="0" borderId="0"/>
    <xf numFmtId="43" fontId="2" fillId="0" borderId="0"/>
    <xf numFmtId="43" fontId="77" fillId="0" borderId="0"/>
    <xf numFmtId="43" fontId="26" fillId="0" borderId="0"/>
    <xf numFmtId="43" fontId="2" fillId="0" borderId="0"/>
    <xf numFmtId="43" fontId="26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20" fontId="151" fillId="0" borderId="0"/>
    <xf numFmtId="43" fontId="77" fillId="0" borderId="0"/>
    <xf numFmtId="43" fontId="2" fillId="0" borderId="0"/>
    <xf numFmtId="43" fontId="2" fillId="0" borderId="0"/>
    <xf numFmtId="43" fontId="236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84" fontId="26" fillId="0" borderId="0"/>
    <xf numFmtId="184" fontId="26" fillId="0" borderId="0"/>
    <xf numFmtId="43" fontId="2" fillId="0" borderId="0"/>
    <xf numFmtId="43" fontId="2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0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12" fillId="0" borderId="0"/>
    <xf numFmtId="43" fontId="12" fillId="0" borderId="0"/>
    <xf numFmtId="43" fontId="12" fillId="0" borderId="0"/>
    <xf numFmtId="43" fontId="12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43" fontId="2" fillId="0" borderId="0"/>
    <xf numFmtId="43" fontId="2" fillId="0" borderId="0">
      <alignment vertical="center"/>
    </xf>
    <xf numFmtId="43" fontId="2" fillId="0" borderId="0">
      <alignment vertical="center"/>
    </xf>
    <xf numFmtId="184" fontId="26" fillId="0" borderId="0"/>
    <xf numFmtId="184" fontId="26" fillId="0" borderId="0"/>
    <xf numFmtId="184" fontId="26" fillId="0" borderId="0"/>
    <xf numFmtId="184" fontId="26" fillId="0" borderId="0"/>
    <xf numFmtId="43" fontId="2" fillId="0" borderId="0"/>
    <xf numFmtId="43" fontId="133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" fillId="0" borderId="0">
      <alignment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43" fontId="15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>
      <alignment vertical="center"/>
    </xf>
    <xf numFmtId="43" fontId="2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77" fillId="0" borderId="0"/>
    <xf numFmtId="43" fontId="77" fillId="0" borderId="0"/>
    <xf numFmtId="43" fontId="77" fillId="0" borderId="0"/>
    <xf numFmtId="43" fontId="77" fillId="0" borderId="0"/>
    <xf numFmtId="43" fontId="77" fillId="0" borderId="0"/>
    <xf numFmtId="43" fontId="2" fillId="0" borderId="0"/>
    <xf numFmtId="43" fontId="2" fillId="0" borderId="0"/>
    <xf numFmtId="43" fontId="2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18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3" fontId="26" fillId="0" borderId="0"/>
    <xf numFmtId="0" fontId="8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3" fontId="26" fillId="0" borderId="0"/>
    <xf numFmtId="0" fontId="86" fillId="0" borderId="0"/>
    <xf numFmtId="0" fontId="229" fillId="30" borderId="78"/>
    <xf numFmtId="232" fontId="26" fillId="0" borderId="0"/>
    <xf numFmtId="0" fontId="157" fillId="0" borderId="0"/>
    <xf numFmtId="0" fontId="157" fillId="0" borderId="0"/>
    <xf numFmtId="242" fontId="212" fillId="0" borderId="0">
      <alignment horizontal="center"/>
    </xf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8" fontId="26" fillId="0" borderId="13"/>
    <xf numFmtId="42" fontId="2" fillId="0" borderId="0"/>
    <xf numFmtId="42" fontId="2" fillId="0" borderId="0"/>
    <xf numFmtId="42" fontId="2" fillId="0" borderId="0"/>
    <xf numFmtId="42" fontId="2" fillId="0" borderId="0"/>
    <xf numFmtId="42" fontId="2" fillId="0" borderId="0"/>
    <xf numFmtId="175" fontId="10" fillId="0" borderId="0"/>
    <xf numFmtId="175" fontId="10" fillId="0" borderId="0"/>
    <xf numFmtId="205" fontId="10" fillId="0" borderId="0"/>
    <xf numFmtId="205" fontId="10" fillId="0" borderId="0"/>
    <xf numFmtId="175" fontId="10" fillId="0" borderId="0"/>
    <xf numFmtId="173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9" fontId="151" fillId="0" borderId="0"/>
    <xf numFmtId="213" fontId="10" fillId="0" borderId="0"/>
    <xf numFmtId="213" fontId="10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44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88" fontId="26" fillId="0" borderId="0"/>
    <xf numFmtId="16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horizontal="left" wrapText="1"/>
    </xf>
    <xf numFmtId="0" fontId="26" fillId="0" borderId="0">
      <alignment wrapText="1"/>
    </xf>
    <xf numFmtId="0" fontId="26" fillId="0" borderId="0">
      <alignment wrapText="1"/>
    </xf>
    <xf numFmtId="0" fontId="26" fillId="0" borderId="0">
      <alignment wrapText="1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14" fontId="77" fillId="0" borderId="0"/>
    <xf numFmtId="37" fontId="26" fillId="0" borderId="0">
      <alignment vertical="center"/>
      <protection locked="0"/>
    </xf>
    <xf numFmtId="165" fontId="26" fillId="0" borderId="0"/>
    <xf numFmtId="19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9" fillId="0" borderId="0">
      <alignment horizontal="left"/>
    </xf>
    <xf numFmtId="0" fontId="244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82" fillId="26" borderId="74"/>
    <xf numFmtId="0" fontId="182" fillId="0" borderId="0">
      <alignment horizontal="right"/>
    </xf>
    <xf numFmtId="181" fontId="26" fillId="0" borderId="0"/>
    <xf numFmtId="249" fontId="229" fillId="0" borderId="0"/>
    <xf numFmtId="218" fontId="2" fillId="0" borderId="0"/>
    <xf numFmtId="218" fontId="2" fillId="0" borderId="0">
      <alignment vertical="center"/>
    </xf>
    <xf numFmtId="218" fontId="155" fillId="0" borderId="0"/>
    <xf numFmtId="218" fontId="155" fillId="0" borderId="0"/>
    <xf numFmtId="218" fontId="155" fillId="0" borderId="0"/>
    <xf numFmtId="218" fontId="155" fillId="0" borderId="0"/>
    <xf numFmtId="218" fontId="2" fillId="0" borderId="0">
      <alignment vertical="center"/>
    </xf>
    <xf numFmtId="0" fontId="2" fillId="0" borderId="0"/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155" fillId="0" borderId="0">
      <protection locked="0"/>
    </xf>
    <xf numFmtId="0" fontId="2" fillId="0" borderId="0"/>
    <xf numFmtId="0" fontId="2" fillId="0" borderId="0"/>
    <xf numFmtId="0" fontId="2" fillId="0" borderId="0"/>
    <xf numFmtId="221" fontId="26" fillId="0" borderId="0"/>
    <xf numFmtId="221" fontId="26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33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7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0" fontId="119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228" fillId="0" borderId="0"/>
    <xf numFmtId="0" fontId="240" fillId="0" borderId="0">
      <alignment vertical="center"/>
    </xf>
    <xf numFmtId="0" fontId="245" fillId="0" borderId="0"/>
    <xf numFmtId="0" fontId="232" fillId="0" borderId="0">
      <alignment vertical="center"/>
    </xf>
    <xf numFmtId="0" fontId="246" fillId="0" borderId="0"/>
    <xf numFmtId="0" fontId="186" fillId="0" borderId="0"/>
    <xf numFmtId="224" fontId="167" fillId="0" borderId="86"/>
    <xf numFmtId="0" fontId="221" fillId="0" borderId="0"/>
    <xf numFmtId="0" fontId="187" fillId="0" borderId="0">
      <alignment horizontal="right"/>
    </xf>
    <xf numFmtId="0" fontId="94" fillId="59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136" fillId="34" borderId="0"/>
    <xf numFmtId="0" fontId="94" fillId="34" borderId="0"/>
    <xf numFmtId="0" fontId="94" fillId="34" borderId="0"/>
    <xf numFmtId="0" fontId="94" fillId="34" borderId="0"/>
    <xf numFmtId="0" fontId="94" fillId="59" borderId="0"/>
    <xf numFmtId="0" fontId="94" fillId="34" borderId="0"/>
    <xf numFmtId="0" fontId="94" fillId="34" borderId="0"/>
    <xf numFmtId="0" fontId="94" fillId="34" borderId="0"/>
    <xf numFmtId="0" fontId="206" fillId="34" borderId="0"/>
    <xf numFmtId="0" fontId="94" fillId="34" borderId="0"/>
    <xf numFmtId="0" fontId="94" fillId="34" borderId="0"/>
    <xf numFmtId="0" fontId="94" fillId="34" borderId="0"/>
    <xf numFmtId="0" fontId="94" fillId="34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>
      <alignment vertical="center"/>
    </xf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0" fontId="94" fillId="34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38" fontId="62" fillId="2" borderId="0"/>
    <xf numFmtId="0" fontId="177" fillId="0" borderId="0">
      <alignment horizontal="left"/>
    </xf>
    <xf numFmtId="0" fontId="230" fillId="71" borderId="94"/>
    <xf numFmtId="0" fontId="170" fillId="0" borderId="2">
      <alignment horizontal="left" vertical="center"/>
    </xf>
    <xf numFmtId="0" fontId="170" fillId="0" borderId="11">
      <alignment horizontal="left" vertical="center"/>
    </xf>
    <xf numFmtId="0" fontId="170" fillId="0" borderId="11">
      <alignment horizontal="left" vertical="center"/>
    </xf>
    <xf numFmtId="0" fontId="170" fillId="0" borderId="11">
      <alignment horizontal="left" vertical="center"/>
    </xf>
    <xf numFmtId="0" fontId="27" fillId="23" borderId="59">
      <alignment vertical="center" wrapText="1"/>
    </xf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27" fillId="72" borderId="97">
      <alignment vertical="center" wrapText="1"/>
    </xf>
    <xf numFmtId="0" fontId="95" fillId="0" borderId="81"/>
    <xf numFmtId="0" fontId="95" fillId="0" borderId="81"/>
    <xf numFmtId="0" fontId="95" fillId="0" borderId="81"/>
    <xf numFmtId="0" fontId="247" fillId="0" borderId="81"/>
    <xf numFmtId="0" fontId="95" fillId="0" borderId="81"/>
    <xf numFmtId="0" fontId="95" fillId="0" borderId="81"/>
    <xf numFmtId="0" fontId="95" fillId="0" borderId="81"/>
    <xf numFmtId="0" fontId="178" fillId="0" borderId="87">
      <alignment vertical="center"/>
    </xf>
    <xf numFmtId="0" fontId="95" fillId="0" borderId="81"/>
    <xf numFmtId="0" fontId="95" fillId="0" borderId="81"/>
    <xf numFmtId="0" fontId="95" fillId="0" borderId="81"/>
    <xf numFmtId="0" fontId="205" fillId="0" borderId="91">
      <alignment vertical="center"/>
    </xf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95" fillId="0" borderId="81"/>
    <xf numFmtId="0" fontId="103" fillId="0" borderId="82">
      <alignment vertical="center"/>
    </xf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220" fillId="0" borderId="82"/>
    <xf numFmtId="0" fontId="103" fillId="0" borderId="82"/>
    <xf numFmtId="0" fontId="103" fillId="0" borderId="82"/>
    <xf numFmtId="0" fontId="103" fillId="0" borderId="82"/>
    <xf numFmtId="0" fontId="175" fillId="0" borderId="87">
      <alignment vertical="center"/>
    </xf>
    <xf numFmtId="0" fontId="103" fillId="0" borderId="82"/>
    <xf numFmtId="0" fontId="103" fillId="0" borderId="82"/>
    <xf numFmtId="0" fontId="103" fillId="0" borderId="82"/>
    <xf numFmtId="0" fontId="217" fillId="0" borderId="91">
      <alignment vertical="center"/>
    </xf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103" fillId="0" borderId="82"/>
    <xf numFmtId="0" fontId="84" fillId="0" borderId="77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88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8" fillId="0" borderId="88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112" fillId="0" borderId="77"/>
    <xf numFmtId="0" fontId="84" fillId="0" borderId="77"/>
    <xf numFmtId="0" fontId="84" fillId="0" borderId="77"/>
    <xf numFmtId="0" fontId="84" fillId="0" borderId="77"/>
    <xf numFmtId="0" fontId="197" fillId="0" borderId="90">
      <alignment vertical="center"/>
    </xf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77"/>
    <xf numFmtId="0" fontId="84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112" fillId="0" borderId="0"/>
    <xf numFmtId="0" fontId="84" fillId="0" borderId="0"/>
    <xf numFmtId="0" fontId="84" fillId="0" borderId="0"/>
    <xf numFmtId="0" fontId="84" fillId="0" borderId="0"/>
    <xf numFmtId="0" fontId="197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118" fillId="0" borderId="0">
      <alignment vertical="center"/>
    </xf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alignment vertical="center"/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37" fontId="26" fillId="0" borderId="0">
      <protection locked="0"/>
    </xf>
    <xf numFmtId="0" fontId="177" fillId="0" borderId="0"/>
    <xf numFmtId="0" fontId="248" fillId="0" borderId="0">
      <alignment vertical="top"/>
      <protection locked="0"/>
    </xf>
    <xf numFmtId="0" fontId="248" fillId="0" borderId="0">
      <alignment vertical="top"/>
      <protection locked="0"/>
    </xf>
    <xf numFmtId="0" fontId="159" fillId="0" borderId="0"/>
    <xf numFmtId="174" fontId="83" fillId="0" borderId="0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10" fontId="62" fillId="30" borderId="13"/>
    <xf numFmtId="0" fontId="82" fillId="35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>
      <alignment vertical="center"/>
    </xf>
    <xf numFmtId="0" fontId="82" fillId="26" borderId="74">
      <alignment vertical="center"/>
    </xf>
    <xf numFmtId="0" fontId="213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213" fillId="26" borderId="74"/>
    <xf numFmtId="0" fontId="213" fillId="26" borderId="74"/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26" borderId="74">
      <alignment vertical="center"/>
    </xf>
    <xf numFmtId="0" fontId="82" fillId="47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47" borderId="74"/>
    <xf numFmtId="0" fontId="82" fillId="47" borderId="74"/>
    <xf numFmtId="0" fontId="97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97" fillId="26" borderId="74"/>
    <xf numFmtId="0" fontId="97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0" fontId="82" fillId="26" borderId="74"/>
    <xf numFmtId="256" fontId="249" fillId="74" borderId="0"/>
    <xf numFmtId="0" fontId="122" fillId="31" borderId="0"/>
    <xf numFmtId="0" fontId="77" fillId="0" borderId="0">
      <alignment horizontal="left"/>
    </xf>
    <xf numFmtId="0" fontId="119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80" fillId="0" borderId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91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243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123" fillId="0" borderId="79"/>
    <xf numFmtId="0" fontId="91" fillId="0" borderId="79"/>
    <xf numFmtId="0" fontId="91" fillId="0" borderId="79"/>
    <xf numFmtId="0" fontId="91" fillId="0" borderId="79"/>
    <xf numFmtId="0" fontId="165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>
      <alignment vertical="center"/>
    </xf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0" fontId="91" fillId="0" borderId="79"/>
    <xf numFmtId="256" fontId="237" fillId="73" borderId="0"/>
    <xf numFmtId="44" fontId="133" fillId="0" borderId="0">
      <alignment horizontal="justify"/>
    </xf>
    <xf numFmtId="251" fontId="26" fillId="0" borderId="0"/>
    <xf numFmtId="170" fontId="26" fillId="0" borderId="0"/>
    <xf numFmtId="38" fontId="183" fillId="0" borderId="0"/>
    <xf numFmtId="245" fontId="26" fillId="0" borderId="0"/>
    <xf numFmtId="0" fontId="239" fillId="0" borderId="96"/>
    <xf numFmtId="252" fontId="26" fillId="0" borderId="0"/>
    <xf numFmtId="254" fontId="26" fillId="0" borderId="0"/>
    <xf numFmtId="241" fontId="26" fillId="0" borderId="0"/>
    <xf numFmtId="219" fontId="26" fillId="0" borderId="0"/>
    <xf numFmtId="0" fontId="166" fillId="0" borderId="0"/>
    <xf numFmtId="0" fontId="180" fillId="0" borderId="0"/>
    <xf numFmtId="0" fontId="180" fillId="0" borderId="0"/>
    <xf numFmtId="4" fontId="224" fillId="0" borderId="93"/>
    <xf numFmtId="0" fontId="81" fillId="72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231" fillId="23" borderId="0"/>
    <xf numFmtId="0" fontId="81" fillId="23" borderId="0"/>
    <xf numFmtId="0" fontId="81" fillId="23" borderId="0"/>
    <xf numFmtId="0" fontId="81" fillId="23" borderId="0"/>
    <xf numFmtId="0" fontId="81" fillId="72" borderId="0"/>
    <xf numFmtId="0" fontId="81" fillId="23" borderId="0"/>
    <xf numFmtId="0" fontId="81" fillId="23" borderId="0"/>
    <xf numFmtId="0" fontId="81" fillId="23" borderId="0"/>
    <xf numFmtId="0" fontId="200" fillId="23" borderId="0"/>
    <xf numFmtId="0" fontId="81" fillId="23" borderId="0"/>
    <xf numFmtId="0" fontId="81" fillId="23" borderId="0"/>
    <xf numFmtId="0" fontId="81" fillId="23" borderId="0"/>
    <xf numFmtId="0" fontId="201" fillId="23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>
      <alignment vertical="center"/>
    </xf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81" fillId="23" borderId="0"/>
    <xf numFmtId="0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37" fontId="26" fillId="0" borderId="0"/>
    <xf numFmtId="0" fontId="250" fillId="0" borderId="13">
      <alignment horizontal="center"/>
    </xf>
    <xf numFmtId="235" fontId="195" fillId="0" borderId="0"/>
    <xf numFmtId="0" fontId="157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04" fillId="0" borderId="13">
      <alignment horizontal="left" vertical="center"/>
      <protection locked="0"/>
    </xf>
    <xf numFmtId="0" fontId="133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62" fillId="0" borderId="0"/>
    <xf numFmtId="0" fontId="162" fillId="0" borderId="0"/>
    <xf numFmtId="0" fontId="162" fillId="0" borderId="0"/>
    <xf numFmtId="0" fontId="16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55" fillId="0" borderId="0">
      <protection locked="0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62" fillId="0" borderId="0"/>
    <xf numFmtId="0" fontId="77" fillId="0" borderId="0"/>
    <xf numFmtId="0" fontId="162" fillId="0" borderId="0"/>
    <xf numFmtId="0" fontId="162" fillId="0" borderId="0"/>
    <xf numFmtId="0" fontId="16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/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top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30" fillId="0" borderId="0"/>
    <xf numFmtId="0" fontId="130" fillId="0" borderId="0"/>
    <xf numFmtId="0" fontId="130" fillId="0" borderId="0"/>
    <xf numFmtId="0" fontId="130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133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10" fillId="0" borderId="0"/>
    <xf numFmtId="0" fontId="12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3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>
      <alignment vertical="top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132" fillId="0" borderId="0"/>
    <xf numFmtId="0" fontId="2" fillId="64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12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64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77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" fillId="30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" fillId="30" borderId="78">
      <alignment vertical="center"/>
    </xf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0" fontId="26" fillId="30" borderId="78"/>
    <xf numFmtId="43" fontId="26" fillId="0" borderId="0"/>
    <xf numFmtId="41" fontId="26" fillId="0" borderId="0"/>
    <xf numFmtId="0" fontId="26" fillId="0" borderId="0"/>
    <xf numFmtId="0" fontId="199" fillId="0" borderId="0">
      <alignment horizontal="left"/>
    </xf>
    <xf numFmtId="0" fontId="212" fillId="0" borderId="0"/>
    <xf numFmtId="0" fontId="79" fillId="56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241" fillId="2" borderId="75"/>
    <xf numFmtId="0" fontId="79" fillId="2" borderId="75"/>
    <xf numFmtId="0" fontId="79" fillId="2" borderId="75"/>
    <xf numFmtId="0" fontId="79" fillId="2" borderId="75"/>
    <xf numFmtId="0" fontId="79" fillId="56" borderId="75"/>
    <xf numFmtId="0" fontId="79" fillId="2" borderId="75"/>
    <xf numFmtId="0" fontId="79" fillId="2" borderId="75"/>
    <xf numFmtId="0" fontId="79" fillId="2" borderId="75"/>
    <xf numFmtId="0" fontId="169" fillId="2" borderId="75"/>
    <xf numFmtId="0" fontId="79" fillId="2" borderId="75"/>
    <xf numFmtId="0" fontId="79" fillId="2" borderId="75"/>
    <xf numFmtId="0" fontId="79" fillId="2" borderId="75"/>
    <xf numFmtId="0" fontId="79" fillId="4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4" borderId="75">
      <alignment vertical="center"/>
    </xf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0" fontId="79" fillId="2" borderId="75"/>
    <xf numFmtId="14" fontId="188" fillId="0" borderId="0">
      <alignment horizontal="center" wrapText="1"/>
      <protection locked="0"/>
    </xf>
    <xf numFmtId="0" fontId="8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3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82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10" fontId="26" fillId="0" borderId="0"/>
    <xf numFmtId="9" fontId="2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77" fillId="0" borderId="0"/>
    <xf numFmtId="9" fontId="10" fillId="0" borderId="0"/>
    <xf numFmtId="9" fontId="10" fillId="0" borderId="0"/>
    <xf numFmtId="9" fontId="7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51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10" fillId="0" borderId="0"/>
    <xf numFmtId="9" fontId="10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" fillId="0" borderId="0"/>
    <xf numFmtId="9" fontId="26" fillId="0" borderId="0"/>
    <xf numFmtId="9" fontId="162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77" fillId="0" borderId="0"/>
    <xf numFmtId="9" fontId="2" fillId="0" borderId="0"/>
    <xf numFmtId="9" fontId="183" fillId="0" borderId="98"/>
    <xf numFmtId="0" fontId="179" fillId="0" borderId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91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4" fontId="26" fillId="0" borderId="0">
      <alignment horizontal="right"/>
    </xf>
    <xf numFmtId="0" fontId="183" fillId="0" borderId="0">
      <alignment horizontal="left"/>
    </xf>
    <xf numFmtId="260" fontId="183" fillId="0" borderId="0"/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" fontId="26" fillId="0" borderId="21">
      <alignment horizontal="center" vertical="center"/>
    </xf>
    <xf numFmtId="174" fontId="83" fillId="0" borderId="0"/>
    <xf numFmtId="174" fontId="83" fillId="0" borderId="0"/>
    <xf numFmtId="0" fontId="94" fillId="34" borderId="0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26" fillId="0" borderId="83"/>
    <xf numFmtId="0" fontId="79" fillId="2" borderId="75"/>
    <xf numFmtId="0" fontId="26" fillId="0" borderId="0"/>
    <xf numFmtId="0" fontId="255" fillId="0" borderId="13">
      <alignment horizontal="center" vertical="center"/>
      <protection locked="0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77" fillId="0" borderId="0">
      <alignment vertical="top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7" fillId="0" borderId="0">
      <alignment vertical="top"/>
    </xf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174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212" fontId="83" fillId="0" borderId="0"/>
    <xf numFmtId="41" fontId="83" fillId="0" borderId="0"/>
    <xf numFmtId="167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174" fontId="83" fillId="0" borderId="0"/>
    <xf numFmtId="167" fontId="83" fillId="0" borderId="0"/>
    <xf numFmtId="169" fontId="83" fillId="0" borderId="0"/>
    <xf numFmtId="192" fontId="83" fillId="0" borderId="0"/>
    <xf numFmtId="169" fontId="83" fillId="0" borderId="0"/>
    <xf numFmtId="201" fontId="26" fillId="0" borderId="0"/>
    <xf numFmtId="169" fontId="83" fillId="0" borderId="0"/>
    <xf numFmtId="167" fontId="83" fillId="0" borderId="0"/>
    <xf numFmtId="192" fontId="104" fillId="0" borderId="0"/>
    <xf numFmtId="41" fontId="83" fillId="0" borderId="0"/>
    <xf numFmtId="174" fontId="83" fillId="0" borderId="0"/>
    <xf numFmtId="41" fontId="83" fillId="0" borderId="0"/>
    <xf numFmtId="231" fontId="83" fillId="0" borderId="0"/>
    <xf numFmtId="192" fontId="83" fillId="0" borderId="0"/>
    <xf numFmtId="169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192" fontId="83" fillId="0" borderId="0"/>
    <xf numFmtId="214" fontId="83" fillId="0" borderId="0"/>
    <xf numFmtId="169" fontId="83" fillId="0" borderId="0"/>
    <xf numFmtId="192" fontId="83" fillId="0" borderId="0"/>
    <xf numFmtId="169" fontId="83" fillId="0" borderId="0"/>
    <xf numFmtId="169" fontId="83" fillId="0" borderId="0"/>
    <xf numFmtId="192" fontId="83" fillId="0" borderId="0"/>
    <xf numFmtId="169" fontId="83" fillId="0" borderId="0"/>
    <xf numFmtId="192" fontId="83" fillId="0" borderId="0"/>
    <xf numFmtId="169" fontId="83" fillId="0" borderId="0"/>
    <xf numFmtId="212" fontId="83" fillId="0" borderId="0"/>
    <xf numFmtId="41" fontId="83" fillId="0" borderId="0"/>
    <xf numFmtId="174" fontId="83" fillId="0" borderId="0"/>
    <xf numFmtId="41" fontId="83" fillId="0" borderId="0"/>
    <xf numFmtId="174" fontId="83" fillId="0" borderId="0"/>
    <xf numFmtId="174" fontId="83" fillId="0" borderId="0"/>
    <xf numFmtId="200" fontId="83" fillId="0" borderId="0"/>
    <xf numFmtId="229" fontId="26" fillId="0" borderId="0"/>
    <xf numFmtId="185" fontId="83" fillId="0" borderId="0"/>
    <xf numFmtId="195" fontId="104" fillId="0" borderId="0"/>
    <xf numFmtId="201" fontId="26" fillId="0" borderId="0"/>
    <xf numFmtId="177" fontId="83" fillId="0" borderId="0"/>
    <xf numFmtId="177" fontId="83" fillId="0" borderId="0"/>
    <xf numFmtId="42" fontId="83" fillId="0" borderId="0"/>
    <xf numFmtId="42" fontId="83" fillId="0" borderId="0"/>
    <xf numFmtId="195" fontId="83" fillId="0" borderId="0"/>
    <xf numFmtId="195" fontId="104" fillId="0" borderId="0"/>
    <xf numFmtId="190" fontId="83" fillId="0" borderId="0"/>
    <xf numFmtId="195" fontId="104" fillId="0" borderId="0"/>
    <xf numFmtId="190" fontId="83" fillId="0" borderId="0"/>
    <xf numFmtId="190" fontId="83" fillId="0" borderId="0"/>
    <xf numFmtId="167" fontId="83" fillId="0" borderId="0"/>
    <xf numFmtId="190" fontId="83" fillId="0" borderId="0"/>
    <xf numFmtId="190" fontId="83" fillId="0" borderId="0"/>
    <xf numFmtId="195" fontId="83" fillId="0" borderId="0"/>
    <xf numFmtId="223" fontId="83" fillId="0" borderId="0"/>
    <xf numFmtId="192" fontId="104" fillId="0" borderId="0"/>
    <xf numFmtId="0" fontId="254" fillId="0" borderId="0"/>
    <xf numFmtId="0" fontId="188" fillId="75" borderId="99">
      <alignment vertical="center"/>
    </xf>
    <xf numFmtId="0" fontId="239" fillId="0" borderId="0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0" fontId="26" fillId="0" borderId="84"/>
    <xf numFmtId="239" fontId="83" fillId="0" borderId="20">
      <alignment horizontal="right" vertical="center"/>
    </xf>
    <xf numFmtId="227" fontId="26" fillId="0" borderId="20">
      <alignment horizontal="right" vertical="center"/>
    </xf>
    <xf numFmtId="206" fontId="132" fillId="0" borderId="20">
      <alignment horizontal="right" vertical="center"/>
    </xf>
    <xf numFmtId="206" fontId="132" fillId="0" borderId="20">
      <alignment horizontal="right" vertical="center"/>
    </xf>
    <xf numFmtId="240" fontId="26" fillId="0" borderId="20">
      <alignment horizontal="right" vertical="center"/>
    </xf>
    <xf numFmtId="230" fontId="185" fillId="0" borderId="20">
      <alignment horizontal="right"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3" fontId="26" fillId="0" borderId="13">
      <alignment vertical="center"/>
    </xf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49" fontId="77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2" fillId="0" borderId="0"/>
    <xf numFmtId="255" fontId="234" fillId="0" borderId="20">
      <alignment horizontal="center"/>
    </xf>
    <xf numFmtId="243" fontId="214" fillId="0" borderId="46">
      <alignment horizontal="right"/>
    </xf>
    <xf numFmtId="0" fontId="176" fillId="0" borderId="0">
      <alignment horizontal="left" vertical="top"/>
    </xf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40" fontId="26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235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191" fillId="0" borderId="0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5" fillId="0" borderId="81"/>
    <xf numFmtId="0" fontId="103" fillId="0" borderId="82"/>
    <xf numFmtId="0" fontId="84" fillId="0" borderId="77"/>
    <xf numFmtId="0" fontId="84" fillId="0" borderId="0"/>
    <xf numFmtId="0" fontId="1" fillId="0" borderId="76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9" fillId="0" borderId="76"/>
    <xf numFmtId="0" fontId="1" fillId="0" borderId="76"/>
    <xf numFmtId="0" fontId="1" fillId="0" borderId="76"/>
    <xf numFmtId="0" fontId="1" fillId="0" borderId="76"/>
    <xf numFmtId="4" fontId="26" fillId="0" borderId="95">
      <alignment vertical="center"/>
    </xf>
    <xf numFmtId="0" fontId="1" fillId="0" borderId="76"/>
    <xf numFmtId="0" fontId="1" fillId="0" borderId="76"/>
    <xf numFmtId="0" fontId="1" fillId="0" borderId="76"/>
    <xf numFmtId="0" fontId="256" fillId="0" borderId="76"/>
    <xf numFmtId="0" fontId="1" fillId="0" borderId="76"/>
    <xf numFmtId="0" fontId="1" fillId="0" borderId="76"/>
    <xf numFmtId="0" fontId="1" fillId="0" borderId="76"/>
    <xf numFmtId="0" fontId="1" fillId="0" borderId="89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92">
      <alignment vertical="center"/>
    </xf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0" fontId="1" fillId="0" borderId="76"/>
    <xf numFmtId="38" fontId="183" fillId="0" borderId="0"/>
    <xf numFmtId="40" fontId="183" fillId="0" borderId="0"/>
    <xf numFmtId="226" fontId="183" fillId="0" borderId="0"/>
    <xf numFmtId="261" fontId="183" fillId="0" borderId="0"/>
    <xf numFmtId="0" fontId="172" fillId="0" borderId="0"/>
    <xf numFmtId="0" fontId="93" fillId="37" borderId="80"/>
    <xf numFmtId="0" fontId="127" fillId="76" borderId="100"/>
    <xf numFmtId="258" fontId="242" fillId="0" borderId="0"/>
    <xf numFmtId="259" fontId="242" fillId="0" borderId="13"/>
    <xf numFmtId="0" fontId="128" fillId="0" borderId="0"/>
    <xf numFmtId="0" fontId="128" fillId="0" borderId="0"/>
    <xf numFmtId="0" fontId="226" fillId="69" borderId="13">
      <alignment horizontal="left" vertical="center"/>
    </xf>
    <xf numFmtId="5" fontId="225" fillId="0" borderId="18">
      <alignment horizontal="left" vertical="top"/>
    </xf>
    <xf numFmtId="5" fontId="196" fillId="0" borderId="21">
      <alignment horizontal="left" vertical="top"/>
    </xf>
    <xf numFmtId="0" fontId="108" fillId="0" borderId="21">
      <alignment horizontal="left" vertical="center"/>
    </xf>
    <xf numFmtId="0" fontId="198" fillId="0" borderId="0">
      <alignment horizontal="right"/>
    </xf>
    <xf numFmtId="250" fontId="26" fillId="0" borderId="0"/>
    <xf numFmtId="253" fontId="26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07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56" fillId="0" borderId="0"/>
    <xf numFmtId="0" fontId="105" fillId="0" borderId="0"/>
    <xf numFmtId="0" fontId="105" fillId="0" borderId="0"/>
    <xf numFmtId="0" fontId="105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230" fillId="0" borderId="101"/>
    <xf numFmtId="215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168" fontId="26" fillId="0" borderId="0"/>
    <xf numFmtId="9" fontId="251" fillId="0" borderId="0"/>
    <xf numFmtId="167" fontId="99" fillId="0" borderId="0"/>
    <xf numFmtId="186" fontId="99" fillId="0" borderId="0"/>
    <xf numFmtId="197" fontId="99" fillId="0" borderId="0"/>
    <xf numFmtId="216" fontId="99" fillId="0" borderId="0"/>
    <xf numFmtId="0" fontId="99" fillId="0" borderId="0"/>
    <xf numFmtId="0" fontId="100" fillId="0" borderId="0">
      <alignment vertical="top"/>
      <protection locked="0"/>
    </xf>
    <xf numFmtId="0" fontId="257" fillId="0" borderId="0">
      <alignment vertical="top"/>
      <protection locked="0"/>
    </xf>
    <xf numFmtId="0" fontId="119" fillId="0" borderId="0">
      <alignment vertical="top"/>
      <protection locked="0"/>
    </xf>
    <xf numFmtId="174" fontId="168" fillId="0" borderId="0"/>
    <xf numFmtId="184" fontId="168" fillId="0" borderId="0"/>
    <xf numFmtId="42" fontId="164" fillId="0" borderId="0"/>
    <xf numFmtId="44" fontId="164" fillId="0" borderId="0"/>
    <xf numFmtId="9" fontId="26" fillId="0" borderId="0"/>
    <xf numFmtId="0" fontId="26" fillId="0" borderId="0"/>
    <xf numFmtId="6" fontId="26" fillId="0" borderId="0"/>
    <xf numFmtId="8" fontId="26" fillId="0" borderId="0"/>
    <xf numFmtId="5" fontId="26" fillId="0" borderId="0"/>
    <xf numFmtId="7" fontId="26" fillId="0" borderId="0"/>
    <xf numFmtId="0" fontId="26" fillId="0" borderId="0"/>
    <xf numFmtId="0" fontId="252" fillId="0" borderId="0"/>
    <xf numFmtId="0" fontId="252" fillId="0" borderId="0"/>
    <xf numFmtId="0" fontId="133" fillId="0" borderId="0">
      <alignment vertical="center"/>
    </xf>
    <xf numFmtId="40" fontId="26" fillId="0" borderId="0"/>
    <xf numFmtId="38" fontId="26" fillId="0" borderId="0"/>
    <xf numFmtId="0" fontId="26" fillId="0" borderId="0"/>
    <xf numFmtId="0" fontId="26" fillId="0" borderId="0"/>
    <xf numFmtId="9" fontId="109" fillId="0" borderId="0"/>
    <xf numFmtId="0" fontId="26" fillId="0" borderId="0"/>
    <xf numFmtId="0" fontId="109" fillId="0" borderId="0"/>
    <xf numFmtId="0" fontId="109" fillId="0" borderId="0"/>
    <xf numFmtId="0" fontId="26" fillId="0" borderId="0"/>
    <xf numFmtId="244" fontId="109" fillId="0" borderId="0"/>
    <xf numFmtId="0" fontId="26" fillId="0" borderId="0"/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26" fillId="0" borderId="0">
      <alignment vertical="top"/>
      <protection locked="0"/>
    </xf>
    <xf numFmtId="0" fontId="180" fillId="0" borderId="0"/>
    <xf numFmtId="174" fontId="90" fillId="0" borderId="0"/>
    <xf numFmtId="184" fontId="90" fillId="0" borderId="0"/>
    <xf numFmtId="0" fontId="253" fillId="0" borderId="0"/>
    <xf numFmtId="186" fontId="154" fillId="0" borderId="0"/>
    <xf numFmtId="38" fontId="203" fillId="0" borderId="0">
      <alignment vertical="center"/>
    </xf>
    <xf numFmtId="167" fontId="154" fillId="0" borderId="0"/>
    <xf numFmtId="184" fontId="26" fillId="0" borderId="0"/>
    <xf numFmtId="174" fontId="26" fillId="0" borderId="0"/>
    <xf numFmtId="0" fontId="111" fillId="0" borderId="0"/>
    <xf numFmtId="0" fontId="26" fillId="0" borderId="0"/>
    <xf numFmtId="0" fontId="203" fillId="0" borderId="0">
      <alignment vertical="center"/>
    </xf>
    <xf numFmtId="0" fontId="154" fillId="0" borderId="0"/>
    <xf numFmtId="0" fontId="26" fillId="0" borderId="0"/>
    <xf numFmtId="0" fontId="26" fillId="0" borderId="0"/>
    <xf numFmtId="238" fontId="26" fillId="0" borderId="0"/>
    <xf numFmtId="166" fontId="26" fillId="0" borderId="0"/>
    <xf numFmtId="0" fontId="96" fillId="0" borderId="0">
      <alignment vertical="top"/>
      <protection locked="0"/>
    </xf>
    <xf numFmtId="0" fontId="218" fillId="0" borderId="0">
      <alignment vertical="top"/>
      <protection locked="0"/>
    </xf>
    <xf numFmtId="0" fontId="80" fillId="0" borderId="0">
      <alignment vertical="top"/>
      <protection locked="0"/>
    </xf>
    <xf numFmtId="0" fontId="194" fillId="0" borderId="0">
      <alignment vertical="top"/>
      <protection locked="0"/>
    </xf>
    <xf numFmtId="178" fontId="90" fillId="0" borderId="0"/>
    <xf numFmtId="257" fontId="238" fillId="0" borderId="0"/>
    <xf numFmtId="262" fontId="90" fillId="0" borderId="0"/>
    <xf numFmtId="44" fontId="154" fillId="0" borderId="0"/>
    <xf numFmtId="42" fontId="154" fillId="0" borderId="0"/>
  </cellStyleXfs>
  <cellXfs count="14679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2267" applyProtection="1"/>
    <xf numFmtId="0" applyNumberFormat="1" fontId="2" applyFont="1" fillId="0" applyFill="1" borderId="0" applyBorder="1" xfId="2267" applyProtection="1"/>
    <xf numFmtId="205" applyNumberFormat="1" fontId="0" applyFont="1" fillId="0" applyFill="1" borderId="0" applyBorder="1" xfId="1574" applyProtection="1"/>
    <xf numFmtId="205" applyNumberFormat="1" fontId="0" applyFont="1" fillId="0" applyFill="1" borderId="0" applyBorder="1" xfId="3647" applyProtection="1"/>
    <xf numFmtId="0" applyNumberFormat="1" fontId="2" applyFont="1" fillId="0" applyFill="1" borderId="0" applyBorder="1" xfId="8654" applyProtection="1"/>
    <xf numFmtId="205" applyNumberFormat="1" fontId="3" applyFont="1" fillId="2" applyFill="1" borderId="0" applyBorder="1" xfId="1574" applyProtection="1" applyAlignment="1">
      <alignment horizontal="center" textRotation="15"/>
    </xf>
    <xf numFmtId="205" applyNumberFormat="1" fontId="4" applyFont="1" fillId="0" applyFill="1" borderId="0" applyBorder="1" xfId="1574" applyProtection="1" applyAlignment="1">
      <alignment horizontal="center"/>
    </xf>
    <xf numFmtId="0" applyNumberFormat="1" fontId="5" applyFont="1" fillId="0" applyFill="1" borderId="0" applyBorder="1" xfId="8653" applyProtection="1"/>
    <xf numFmtId="0" applyNumberFormat="1" fontId="6" applyFont="1" fillId="0" applyFill="1" borderId="0" applyBorder="1" xfId="8653" applyProtection="1"/>
    <xf numFmtId="205" applyNumberFormat="1" fontId="7" applyFont="1" fillId="0" applyFill="1" borderId="0" applyBorder="1" xfId="1574" applyProtection="1" applyAlignment="1">
      <alignment horizontal="center"/>
    </xf>
    <xf numFmtId="205" applyNumberFormat="1" fontId="8" applyFont="1" fillId="0" applyFill="1" borderId="0" applyBorder="1" xfId="1574" applyProtection="1" applyAlignment="1">
      <alignment horizontal="center"/>
    </xf>
    <xf numFmtId="205" applyNumberFormat="1" fontId="9" applyFont="1" fillId="0" applyFill="1" borderId="0" applyBorder="1" xfId="1574" applyProtection="1" applyAlignment="1">
      <alignment horizontal="center"/>
    </xf>
    <xf numFmtId="0" applyNumberFormat="1" fontId="10" applyFont="1" fillId="0" applyFill="1" borderId="0" applyBorder="1" xfId="8653" applyProtection="1"/>
    <xf numFmtId="205" applyNumberFormat="1" fontId="11" applyFont="1" fillId="0" applyFill="1" borderId="0" applyBorder="1" xfId="1574" applyProtection="1"/>
    <xf numFmtId="205" applyNumberFormat="1" fontId="12" applyFont="1" fillId="0" applyFill="1" borderId="0" applyBorder="1" xfId="1574" applyProtection="1"/>
    <xf numFmtId="0" applyNumberFormat="1" fontId="1" applyFont="1" fillId="0" applyFill="1" borderId="0" applyBorder="1" xfId="8653" applyProtection="1" applyAlignment="1">
      <alignment horizontal="left"/>
    </xf>
    <xf numFmtId="0" applyNumberFormat="1" fontId="1" applyFont="1" fillId="0" applyFill="1" borderId="0" applyBorder="1" xfId="8653" applyProtection="1" applyAlignment="1">
      <alignment horizontal="center"/>
    </xf>
    <xf numFmtId="0" applyNumberFormat="1" fontId="13" applyFont="1" fillId="0" applyFill="1" borderId="0" applyBorder="1" xfId="8653" applyProtection="1"/>
    <xf numFmtId="0" applyNumberFormat="1" fontId="14" applyFont="1" fillId="0" applyFill="1" borderId="0" applyBorder="1" xfId="8653" applyProtection="1"/>
    <xf numFmtId="0" applyNumberFormat="1" fontId="13" applyFont="1" fillId="0" applyFill="1" borderId="0" applyBorder="1" xfId="8653" applyProtection="1" applyAlignment="1">
      <alignment horizontal="left"/>
    </xf>
    <xf numFmtId="0" applyNumberFormat="1" fontId="10" applyFont="1" fillId="0" applyFill="1" borderId="0" applyBorder="1" xfId="8653" applyProtection="1"/>
    <xf numFmtId="0" applyNumberFormat="1" fontId="1" applyFont="1" fillId="0" applyFill="1" borderId="0" applyBorder="1" xfId="8653" applyProtection="1"/>
    <xf numFmtId="0" applyNumberFormat="1" fontId="15" applyFont="1" fillId="0" applyFill="1" borderId="0" applyBorder="1" xfId="2267" applyProtection="1"/>
    <xf numFmtId="0" applyNumberFormat="1" fontId="16" applyFont="1" fillId="0" applyFill="1" borderId="0" applyBorder="1" xfId="8654" applyProtection="1"/>
    <xf numFmtId="0" applyNumberFormat="1" fontId="12" applyFont="1" fillId="0" applyFill="1" borderId="0" applyBorder="1" xfId="8654" applyProtection="1"/>
    <xf numFmtId="205" applyNumberFormat="1" fontId="17" applyFont="1" fillId="3" applyFill="1" borderId="4" applyBorder="1" xfId="1574" applyProtection="1" applyAlignment="1">
      <alignment horizontal="center"/>
    </xf>
    <xf numFmtId="0" applyNumberFormat="1" fontId="1" applyFont="1" fillId="0" applyFill="1" borderId="0" applyBorder="1" xfId="8654" applyProtection="1"/>
    <xf numFmtId="0" applyNumberFormat="1" fontId="18" applyFont="1" fillId="0" applyFill="1" borderId="7" applyBorder="1" xfId="8654" applyProtection="1" applyAlignment="1">
      <alignment horizontal="center"/>
    </xf>
    <xf numFmtId="4" applyNumberFormat="1" fontId="18" applyFont="1" fillId="0" applyFill="1" borderId="8" applyBorder="1" xfId="8654" applyProtection="1" applyAlignment="1">
      <alignment horizontal="center"/>
    </xf>
    <xf numFmtId="205" applyNumberFormat="1" fontId="17" applyFont="1" fillId="0" applyFill="1" borderId="9" applyBorder="1" xfId="1574" applyProtection="1" applyAlignment="1">
      <alignment horizontal="center"/>
    </xf>
    <xf numFmtId="0" applyNumberFormat="1" fontId="18" applyFont="1" fillId="0" applyFill="1" borderId="10" applyBorder="1" xfId="8654" applyProtection="1" applyAlignment="1">
      <alignment horizontal="center"/>
    </xf>
    <xf numFmtId="0" applyNumberFormat="1" fontId="18" applyFont="1" fillId="0" applyFill="1" borderId="11" applyBorder="1" xfId="8654" applyProtection="1" applyAlignment="1">
      <alignment horizontal="center"/>
    </xf>
    <xf numFmtId="0" applyNumberFormat="1" fontId="18" applyFont="1" fillId="0" applyFill="1" borderId="12" applyBorder="1" xfId="8654" applyProtection="1" applyAlignment="1">
      <alignment horizontal="center"/>
    </xf>
    <xf numFmtId="4" applyNumberFormat="1" fontId="19" applyFont="1" fillId="0" applyFill="1" borderId="13" applyBorder="1" xfId="8654" applyProtection="1" applyAlignment="1">
      <alignment horizontal="left"/>
    </xf>
    <xf numFmtId="205" applyNumberFormat="1" fontId="15" applyFont="1" fillId="0" applyFill="1" borderId="14" applyBorder="1" xfId="1574" applyProtection="1"/>
    <xf numFmtId="0" applyNumberFormat="1" fontId="18" applyFont="1" fillId="0" applyFill="1" borderId="17" applyBorder="1" xfId="8654" applyProtection="1" applyAlignment="1">
      <alignment horizontal="center"/>
    </xf>
    <xf numFmtId="4" applyNumberFormat="1" fontId="19" applyFont="1" fillId="0" applyFill="1" borderId="18" applyBorder="1" xfId="8654" applyProtection="1" applyAlignment="1">
      <alignment horizontal="left"/>
    </xf>
    <xf numFmtId="205" applyNumberFormat="1" fontId="15" applyFont="1" fillId="0" applyFill="1" borderId="19" applyBorder="1" xfId="1574" applyProtection="1"/>
    <xf numFmtId="205" applyNumberFormat="1" fontId="0" applyFont="1" fillId="0" applyFill="1" borderId="0" applyBorder="1" xfId="8654" applyProtection="1"/>
    <xf numFmtId="0" applyNumberFormat="1" fontId="17" applyFont="1" fillId="4" applyFill="1" borderId="3" applyBorder="1" xfId="8654" applyProtection="1"/>
    <xf numFmtId="205" applyNumberFormat="1" fontId="17" applyFont="1" fillId="4" applyFill="1" borderId="4" applyBorder="1" xfId="1574" applyProtection="1"/>
    <xf numFmtId="0" applyNumberFormat="1" fontId="15" applyFont="1" fillId="4" applyFill="1" borderId="0" applyBorder="1" xfId="8654" applyProtection="1" applyAlignment="1">
      <alignment horizontal="center"/>
    </xf>
    <xf numFmtId="0" applyNumberFormat="1" fontId="15" applyFont="1" fillId="4" applyFill="1" borderId="0" applyBorder="1" xfId="8654" applyProtection="1"/>
    <xf numFmtId="205" applyNumberFormat="1" fontId="15" applyFont="1" fillId="4" applyFill="1" borderId="0" applyBorder="1" xfId="1574" applyProtection="1"/>
    <xf numFmtId="205" applyNumberFormat="1" fontId="2" applyFont="1" fillId="0" applyFill="1" borderId="0" applyBorder="1" xfId="8654" applyProtection="1"/>
    <xf numFmtId="0" applyNumberFormat="1" fontId="15" applyFont="1" fillId="4" applyFill="1" borderId="12" applyBorder="1" xfId="8654" applyProtection="1"/>
    <xf numFmtId="205" applyNumberFormat="1" fontId="15" applyFont="1" fillId="4" applyFill="1" borderId="13" applyBorder="1" xfId="1574" applyProtection="1"/>
    <xf numFmtId="205" applyNumberFormat="1" fontId="12" applyFont="1" fillId="4" applyFill="1" borderId="0" applyBorder="1" xfId="1574" applyProtection="1"/>
    <xf numFmtId="205" applyNumberFormat="1" fontId="17" applyFont="1" fillId="4" applyFill="1" borderId="13" applyBorder="1" xfId="3647" applyProtection="1"/>
    <xf numFmtId="43" applyNumberFormat="1" fontId="12" applyFont="1" fillId="4" applyFill="1" borderId="0" applyBorder="1" xfId="1574" applyProtection="1"/>
    <xf numFmtId="0" applyNumberFormat="1" fontId="17" applyFont="1" fillId="4" applyFill="1" borderId="12" applyBorder="1" xfId="8654" applyProtection="1"/>
    <xf numFmtId="205" applyNumberFormat="1" fontId="17" applyFont="1" fillId="4" applyFill="1" borderId="13" applyBorder="1" xfId="1574" applyProtection="1"/>
    <xf numFmtId="205" applyNumberFormat="1" fontId="9" applyFont="1" fillId="4" applyFill="1" borderId="0" applyBorder="1" xfId="1574" applyProtection="1"/>
    <xf numFmtId="0" applyNumberFormat="1" fontId="20" applyFont="1" fillId="0" applyFill="1" borderId="0" applyBorder="1" xfId="8654" applyProtection="1" applyAlignment="1">
      <alignment horizontal="left"/>
    </xf>
    <xf numFmtId="0" applyNumberFormat="1" fontId="16" applyFont="1" fillId="0" applyFill="1" borderId="0" applyBorder="1" xfId="8654" applyProtection="1" applyAlignment="1">
      <alignment horizontal="left"/>
    </xf>
    <xf numFmtId="205" applyNumberFormat="1" fontId="12" applyFont="1" fillId="0" applyFill="1" borderId="0" applyBorder="1" xfId="1574" applyProtection="1" applyAlignment="1">
      <alignment horizontal="center"/>
    </xf>
    <xf numFmtId="205" applyNumberFormat="1" fontId="21" applyFont="1" fillId="0" applyFill="1" borderId="0" applyBorder="1" xfId="1574" applyProtection="1" applyAlignment="1">
      <alignment horizontal="center"/>
    </xf>
    <xf numFmtId="205" applyNumberFormat="1" fontId="1" applyFont="1" fillId="0" applyFill="1" borderId="0" applyBorder="1" xfId="3647" applyProtection="1"/>
    <xf numFmtId="205" applyNumberFormat="1" fontId="1" applyFont="1" fillId="0" applyFill="1" borderId="0" applyBorder="1" xfId="1574" applyProtection="1"/>
    <xf numFmtId="205" applyNumberFormat="1" fontId="1" applyFont="1" fillId="0" applyFill="1" borderId="0" applyBorder="1" xfId="2267" applyProtection="1"/>
    <xf numFmtId="9" applyNumberFormat="1" fontId="2" applyFont="1" fillId="0" applyFill="1" borderId="0" applyBorder="1" xfId="2267" applyProtection="1"/>
    <xf numFmtId="43" applyNumberFormat="1" fontId="0" applyFont="1" fillId="0" applyFill="1" borderId="0" applyBorder="1" xfId="3647" applyProtection="1"/>
    <xf numFmtId="167" applyNumberFormat="1" fontId="1" applyFont="1" fillId="0" applyFill="1" borderId="0" applyBorder="1" xfId="1522" applyProtection="1"/>
    <xf numFmtId="167" applyNumberFormat="1" fontId="0" applyFont="1" fillId="0" applyFill="1" borderId="0" applyBorder="1" xfId="1522" applyProtection="1"/>
    <xf numFmtId="43" applyNumberFormat="1" fontId="12" applyFont="1" fillId="4" applyFill="1" borderId="0" applyBorder="1" xfId="3647" applyProtection="1"/>
    <xf numFmtId="0" applyNumberFormat="1" fontId="22" applyFont="1" fillId="0" applyFill="1" borderId="0" applyBorder="1" xfId="7735" applyProtection="1"/>
    <xf numFmtId="205" applyNumberFormat="1" fontId="22" applyFont="1" fillId="0" applyFill="1" borderId="0" applyBorder="1" xfId="3647" applyProtection="1"/>
    <xf numFmtId="0" applyNumberFormat="1" fontId="26" applyFont="1" fillId="0" applyFill="1" borderId="0" applyBorder="1" xfId="9359" applyProtection="1"/>
    <xf numFmtId="0" applyNumberFormat="1" fontId="26" applyFont="1" fillId="0" applyFill="1" borderId="0" applyBorder="1" xfId="9359" applyProtection="1"/>
    <xf numFmtId="43" applyNumberFormat="1" fontId="22" applyFont="1" fillId="0" applyFill="1" borderId="0" applyBorder="1" xfId="3647" applyProtection="1"/>
    <xf numFmtId="0" applyNumberFormat="1" fontId="27" applyFont="1" fillId="0" applyFill="1" borderId="11" applyBorder="1" xfId="9359" applyProtection="1" applyAlignment="1">
      <alignment horizontal="center"/>
    </xf>
    <xf numFmtId="0" applyNumberFormat="1" fontId="27" applyFont="1" fillId="0" applyFill="1" borderId="13" applyBorder="1" xfId="9359" applyProtection="1" applyAlignment="1">
      <alignment horizontal="center" wrapText="1"/>
    </xf>
    <xf numFmtId="0" applyNumberFormat="1" fontId="27" applyFont="1" fillId="0" applyFill="1" borderId="20" applyBorder="1" xfId="9359" applyProtection="1" applyAlignment="1">
      <alignment horizontal="center" wrapText="1"/>
    </xf>
    <xf numFmtId="0" applyNumberFormat="1" fontId="26" applyFont="1" fillId="0" applyFill="1" borderId="13" applyBorder="1" xfId="9359" applyProtection="1" applyAlignment="1">
      <alignment horizontal="center"/>
    </xf>
    <xf numFmtId="0" applyNumberFormat="1" fontId="26" applyFont="1" fillId="0" applyFill="1" borderId="13" applyBorder="1" xfId="9359" applyProtection="1"/>
    <xf numFmtId="41" applyNumberFormat="1" fontId="26" applyFont="1" fillId="0" applyFill="1" borderId="13" applyBorder="1" xfId="9359" applyProtection="1"/>
    <xf numFmtId="41" applyNumberFormat="1" fontId="26" applyFont="1" fillId="0" applyFill="1" borderId="0" applyBorder="1" xfId="9359" applyProtection="1"/>
    <xf numFmtId="0" applyNumberFormat="1" fontId="28" applyFont="1" fillId="0" applyFill="1" borderId="0" applyBorder="1" xfId="7735" applyProtection="1"/>
    <xf numFmtId="41" applyNumberFormat="1" fontId="26" applyFont="1" fillId="5" applyFill="1" borderId="0" applyBorder="1" xfId="9359" applyProtection="1" applyAlignment="1">
      <alignment horizontal="center"/>
    </xf>
    <xf numFmtId="205" applyNumberFormat="1" fontId="26" applyFont="1" fillId="0" applyFill="1" borderId="0" applyBorder="1" xfId="3647" applyProtection="1"/>
    <xf numFmtId="41" applyNumberFormat="1" fontId="26" applyFont="1" fillId="5" applyFill="1" borderId="0" applyBorder="1" xfId="9359" applyProtection="1"/>
    <xf numFmtId="0" applyNumberFormat="1" fontId="27" applyFont="1" fillId="0" applyFill="1" borderId="13" applyBorder="1" xfId="9359" applyProtection="1" applyAlignment="1">
      <alignment horizontal="center"/>
    </xf>
    <xf numFmtId="205" applyNumberFormat="1" fontId="27" applyFont="1" fillId="0" applyFill="1" borderId="13" applyBorder="1" xfId="3647" applyProtection="1" applyAlignment="1">
      <alignment horizontal="center"/>
    </xf>
    <xf numFmtId="41" applyNumberFormat="1" fontId="26" applyFont="1" fillId="0" applyFill="1" borderId="13" applyBorder="1" xfId="12813" applyProtection="1"/>
    <xf numFmtId="205" applyNumberFormat="1" fontId="26" applyFont="1" fillId="0" applyFill="1" borderId="13" applyBorder="1" xfId="3647" applyProtection="1"/>
    <xf numFmtId="41" applyNumberFormat="1" fontId="27" applyFont="1" fillId="0" applyFill="1" borderId="13" applyBorder="1" xfId="9359" applyProtection="1"/>
    <xf numFmtId="205" applyNumberFormat="1" fontId="27" applyFont="1" fillId="0" applyFill="1" borderId="13" applyBorder="1" xfId="3647" applyProtection="1"/>
    <xf numFmtId="174" applyNumberFormat="1" fontId="22" applyFont="1" fillId="0" applyFill="1" borderId="0" applyBorder="1" xfId="5351" applyProtection="1"/>
    <xf numFmtId="174" applyNumberFormat="1" fontId="22" applyFont="1" fillId="0" applyFill="1" borderId="0" applyBorder="1" xfId="7735" applyProtection="1"/>
    <xf numFmtId="0" applyNumberFormat="1" fontId="23" applyFont="1" fillId="0" applyFill="1" borderId="0" applyBorder="1" xfId="7735" applyProtection="1" applyAlignment="1">
      <alignment vertical="center"/>
    </xf>
    <xf numFmtId="0" applyNumberFormat="1" fontId="24" applyFont="1" fillId="0" applyFill="1" borderId="0" applyBorder="1" xfId="7735" applyProtection="1" applyAlignment="1">
      <alignment vertical="center"/>
    </xf>
    <xf numFmtId="0" applyNumberFormat="1" fontId="25" applyFont="1" fillId="0" applyFill="1" borderId="0" applyBorder="1" xfId="7735" applyProtection="1" applyAlignment="1">
      <alignment vertical="center"/>
    </xf>
    <xf numFmtId="205" applyNumberFormat="1" fontId="26" applyFont="1" fillId="0" applyFill="1" borderId="0" applyBorder="1" xfId="3647" applyProtection="1"/>
    <xf numFmtId="205" applyNumberFormat="1" fontId="29" applyFont="1" fillId="0" applyFill="1" borderId="13" applyBorder="1" xfId="3647" applyProtection="1" applyAlignment="1">
      <alignment vertical="center"/>
    </xf>
    <xf numFmtId="205" applyNumberFormat="1" fontId="26" applyFont="1" fillId="5" applyFill="1" borderId="13" applyBorder="1" xfId="3647" applyProtection="1"/>
    <xf numFmtId="205" applyNumberFormat="1" fontId="27" applyFont="1" fillId="5" applyFill="1" borderId="13" applyBorder="1" xfId="3647" applyProtection="1"/>
    <xf numFmtId="205" applyNumberFormat="1" fontId="26" applyFont="1" fillId="0" applyFill="1" borderId="0" applyBorder="1" xfId="9359" applyProtection="1"/>
    <xf numFmtId="0" applyNumberFormat="1" fontId="30" applyFont="1" fillId="0" applyFill="1" borderId="0" applyBorder="1" xfId="0" applyProtection="1"/>
    <xf numFmtId="0" applyNumberFormat="1" fontId="0" applyFont="1" fillId="5" applyFill="1" borderId="0" applyBorder="1" xfId="0" applyProtection="1"/>
    <xf numFmtId="0" applyNumberFormat="1" fontId="31" applyFont="1" fillId="4" applyFill="1" borderId="0" applyBorder="1" xfId="7742" applyProtection="1" applyAlignment="1">
      <alignment horizontal="left" vertical="center"/>
      <protection hidden="1"/>
    </xf>
    <xf numFmtId="0" applyNumberFormat="1" fontId="30" applyFont="1" fillId="0" applyFill="1" borderId="0" applyBorder="1" xfId="0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left"/>
    </xf>
    <xf numFmtId="0" applyNumberFormat="1" fontId="30" applyFont="1" fillId="4" applyFill="1" borderId="0" applyBorder="1" xfId="11648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center"/>
    </xf>
    <xf numFmtId="0" applyNumberFormat="1" fontId="30" applyFont="1" fillId="4" applyFill="1" borderId="0" applyBorder="1" xfId="11648" applyProtection="1" applyAlignment="1">
      <alignment horizontal="left"/>
    </xf>
    <xf numFmtId="205" applyNumberFormat="1" fontId="30" applyFont="1" fillId="4" applyFill="1" borderId="0" applyBorder="1" xfId="3647" applyProtection="1"/>
    <xf numFmtId="0" applyNumberFormat="1" fontId="30" applyFont="1" fillId="4" applyFill="1" borderId="0" applyBorder="1" xfId="11648" applyProtection="1"/>
    <xf numFmtId="205" applyNumberFormat="1" fontId="30" applyFont="1" fillId="0" applyFill="1" borderId="0" applyBorder="1" xfId="3647" applyProtection="1"/>
    <xf numFmtId="0" applyNumberFormat="1" fontId="30" applyFont="1" fillId="0" applyFill="1" borderId="0" applyBorder="1" xfId="0" applyProtection="1"/>
    <xf numFmtId="0" applyNumberFormat="1" fontId="31" applyFont="1" fillId="4" applyFill="1" borderId="13" applyBorder="1" xfId="7742" applyProtection="1" applyAlignment="1">
      <alignment horizontal="left" vertical="center"/>
      <protection hidden="1"/>
    </xf>
    <xf numFmtId="0" applyNumberFormat="1" fontId="30" applyFont="1" fillId="0" applyFill="1" borderId="13" applyBorder="1" xfId="0" applyProtection="1" applyAlignment="1">
      <alignment horizontal="center"/>
    </xf>
    <xf numFmtId="205" applyNumberFormat="1" fontId="21" applyFont="1" fillId="0" applyFill="1" borderId="13" applyBorder="1" xfId="5548" applyProtection="1" applyAlignment="1">
      <alignment horizontal="left" vertical="center"/>
    </xf>
    <xf numFmtId="0" applyNumberFormat="1" fontId="0" applyFont="1" fillId="6" applyFill="1" borderId="13" applyBorder="1" xfId="0" applyProtection="1"/>
    <xf numFmtId="0" applyNumberFormat="1" fontId="0" applyFont="1" fillId="5" applyFill="1" borderId="13" applyBorder="1" xfId="0" applyProtection="1"/>
    <xf numFmtId="0" applyNumberFormat="1" fontId="0" applyFont="1" fillId="5" applyFill="1" borderId="18" applyBorder="1" xfId="0" applyProtection="1"/>
    <xf numFmtId="263" applyNumberFormat="1" fontId="0" applyFont="1" fillId="5" applyFill="1" borderId="8" applyBorder="1" xfId="3647" applyProtection="1"/>
    <xf numFmtId="0" applyNumberFormat="1" fontId="32" applyFont="1" fillId="5" applyFill="1" borderId="18" applyBorder="1" xfId="0" applyProtection="1" applyAlignment="1">
      <alignment horizontal="center"/>
    </xf>
    <xf numFmtId="0" applyNumberFormat="1" fontId="33" applyFont="1" fillId="5" applyFill="1" borderId="18" applyBorder="1" xfId="10490" applyProtection="1" applyAlignment="1">
      <alignment horizontal="left"/>
    </xf>
    <xf numFmtId="0" applyNumberFormat="1" fontId="32" applyFont="1" fillId="5" applyFill="1" borderId="8" applyBorder="1" xfId="0" applyProtection="1" applyAlignment="1">
      <alignment horizontal="center"/>
    </xf>
    <xf numFmtId="0" applyNumberFormat="1" fontId="33" applyFont="1" fillId="5" applyFill="1" borderId="8" applyBorder="1" xfId="10490" applyProtection="1" applyAlignment="1">
      <alignment horizontal="left"/>
    </xf>
    <xf numFmtId="0" applyNumberFormat="1" fontId="0" applyFont="1" fillId="5" applyFill="1" borderId="8" applyBorder="1" xfId="0" applyProtection="1"/>
    <xf numFmtId="205" applyNumberFormat="1" fontId="30" applyFont="1" fillId="4" applyFill="1" borderId="0" applyBorder="1" xfId="3647" applyProtection="1"/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0" applyFont="1" fillId="4" applyFill="1" borderId="0" applyBorder="1" xfId="11648" applyProtection="1" applyAlignment="1">
      <alignment horizontal="center" vertical="center"/>
    </xf>
    <xf numFmtId="205" applyNumberFormat="1" fontId="0" applyFont="1" fillId="5" applyFill="1" borderId="17" applyBorder="1" xfId="3647" applyProtection="1"/>
    <xf numFmtId="0" applyNumberFormat="1" fontId="0" applyFont="1" fillId="5" applyFill="1" borderId="21" applyBorder="1" xfId="0" applyProtection="1"/>
    <xf numFmtId="263" applyNumberFormat="1" fontId="0" applyFont="1" fillId="5" applyFill="1" borderId="17" applyBorder="1" xfId="3647" applyProtection="1"/>
    <xf numFmtId="205" applyNumberFormat="1" fontId="0" applyFont="1" fillId="5" applyFill="1" borderId="7" applyBorder="1" xfId="3647" applyProtection="1"/>
    <xf numFmtId="0" applyNumberFormat="1" fontId="17" applyFont="1" fillId="0" applyFill="1" borderId="0" applyBorder="1" xfId="2267" applyProtection="1"/>
    <xf numFmtId="0" applyNumberFormat="1" fontId="0" applyFont="1" fillId="0" applyFill="1" borderId="0" applyBorder="1" xfId="8653" applyProtection="1"/>
    <xf numFmtId="0" applyNumberFormat="1" fontId="0" applyFont="1" fillId="0" applyFill="1" borderId="0" applyBorder="1" xfId="2267" applyProtection="1"/>
    <xf numFmtId="205" applyNumberFormat="1" fontId="15" applyFont="1" fillId="0" applyFill="1" borderId="0" applyBorder="1" xfId="1574" applyProtection="1"/>
    <xf numFmtId="260" applyNumberFormat="1" fontId="0" applyFont="1" fillId="0" applyFill="1" borderId="0" applyBorder="1" xfId="8653" applyProtection="1" applyAlignment="1">
      <alignment horizontal="left"/>
    </xf>
    <xf numFmtId="0" applyNumberFormat="1" fontId="34" applyFont="1" fillId="0" applyFill="1" borderId="0" applyBorder="1" xfId="8653" applyProtection="1"/>
    <xf numFmtId="0" applyNumberFormat="1" fontId="17" applyFont="1" fillId="3" applyFill="1" borderId="13" applyBorder="1" xfId="8653" applyProtection="1" applyAlignment="1">
      <alignment horizontal="center"/>
    </xf>
    <xf numFmtId="0" applyNumberFormat="1" fontId="18" applyFont="1" fillId="0" applyFill="1" borderId="20" applyBorder="1" xfId="8653" applyProtection="1" applyAlignment="1">
      <alignment horizontal="center"/>
    </xf>
    <xf numFmtId="0" applyNumberFormat="1" fontId="18" applyFont="1" fillId="0" applyFill="1" borderId="11" applyBorder="1" xfId="8653" applyProtection="1" applyAlignment="1">
      <alignment horizontal="center"/>
    </xf>
    <xf numFmtId="0" applyNumberFormat="1" fontId="18" applyFont="1" fillId="0" applyFill="1" borderId="12" applyBorder="1" xfId="8653" applyProtection="1" applyAlignment="1">
      <alignment horizontal="center"/>
    </xf>
    <xf numFmtId="4" applyNumberFormat="1" fontId="18" applyFont="1" fillId="0" applyFill="1" borderId="13" applyBorder="1" xfId="8653" applyProtection="1" applyAlignment="1">
      <alignment horizontal="center"/>
    </xf>
    <xf numFmtId="205" applyNumberFormat="1" fontId="17" applyFont="1" fillId="0" applyFill="1" borderId="13" applyBorder="1" xfId="1574" applyProtection="1" applyAlignment="1">
      <alignment horizontal="center"/>
    </xf>
    <xf numFmtId="4" applyNumberFormat="1" fontId="19" applyFont="1" fillId="0" applyFill="1" borderId="13" applyBorder="1" xfId="8653" applyProtection="1" applyAlignment="1">
      <alignment horizontal="left"/>
    </xf>
    <xf numFmtId="205" applyNumberFormat="1" fontId="15" applyFont="1" fillId="0" applyFill="1" borderId="13" applyBorder="1" xfId="1574" applyProtection="1"/>
    <xf numFmtId="4" applyNumberFormat="1" fontId="19" applyFont="1" fillId="0" applyFill="1" borderId="12" applyBorder="1" xfId="8653" applyProtection="1" applyAlignment="1">
      <alignment horizontal="left"/>
    </xf>
    <xf numFmtId="0" applyNumberFormat="1" fontId="17" applyFont="1" fillId="4" applyFill="1" borderId="12" applyBorder="1" xfId="8653" applyProtection="1"/>
    <xf numFmtId="0" applyNumberFormat="1" fontId="15" applyFont="1" fillId="4" applyFill="1" borderId="0" applyBorder="1" xfId="8653" applyProtection="1" applyAlignment="1">
      <alignment horizontal="center"/>
    </xf>
    <xf numFmtId="0" applyNumberFormat="1" fontId="15" applyFont="1" fillId="4" applyFill="1" borderId="0" applyBorder="1" xfId="8653" applyProtection="1"/>
    <xf numFmtId="0" applyNumberFormat="1" fontId="15" applyFont="1" fillId="4" applyFill="1" borderId="12" applyBorder="1" xfId="8653" applyProtection="1"/>
    <xf numFmtId="43" applyNumberFormat="1" fontId="15" applyFont="1" fillId="4" applyFill="1" borderId="0" applyBorder="1" xfId="1574" applyProtection="1"/>
    <xf numFmtId="205" applyNumberFormat="1" fontId="17" applyFont="1" fillId="4" applyFill="1" borderId="0" applyBorder="1" xfId="1574" applyProtection="1"/>
    <xf numFmtId="0" applyNumberFormat="1" fontId="17" applyFont="1" fillId="0" applyFill="1" borderId="0" applyBorder="1" xfId="8653" applyProtection="1"/>
    <xf numFmtId="0" applyNumberFormat="1" fontId="15" applyFont="1" fillId="0" applyFill="1" borderId="0" applyBorder="1" xfId="8653" applyProtection="1"/>
    <xf numFmtId="0" applyNumberFormat="1" fontId="18" applyFont="1" fillId="0" applyFill="1" borderId="0" applyBorder="1" xfId="8653" applyProtection="1" applyAlignment="1">
      <alignment horizontal="left"/>
    </xf>
    <xf numFmtId="0" applyNumberFormat="1" fontId="18" applyFont="1" fillId="0" applyFill="1" borderId="0" applyBorder="1" xfId="8653" applyProtection="1"/>
    <xf numFmtId="205" applyNumberFormat="1" fontId="15" applyFont="1" fillId="0" applyFill="1" borderId="0" applyBorder="1" xfId="1574" applyProtection="1" applyAlignment="1">
      <alignment horizontal="center"/>
    </xf>
    <xf numFmtId="0" applyNumberFormat="1" fontId="19" applyFont="1" fillId="0" applyFill="1" borderId="0" applyBorder="1" xfId="8653" applyProtection="1"/>
    <xf numFmtId="0" applyNumberFormat="1" fontId="34" applyFont="1" fillId="0" applyFill="1" borderId="0" applyBorder="1" xfId="8653" applyProtection="1"/>
    <xf numFmtId="0" applyNumberFormat="1" fontId="17" applyFont="1" fillId="0" applyFill="1" borderId="0" applyBorder="1" xfId="8653" applyProtection="1"/>
    <xf numFmtId="205" applyNumberFormat="1" fontId="17" applyFont="1" fillId="0" applyFill="1" borderId="0" applyBorder="1" xfId="1574" applyProtection="1"/>
    <xf numFmtId="205" applyNumberFormat="1" fontId="15" applyFont="1" fillId="0" applyFill="1" borderId="0" applyBorder="1" xfId="8653" applyProtection="1"/>
    <xf numFmtId="205" applyNumberFormat="1" fontId="19" applyFont="1" fillId="0" applyFill="1" borderId="0" applyBorder="1" xfId="2267" applyProtection="1"/>
    <xf numFmtId="205" applyNumberFormat="1" fontId="15" applyFont="1" fillId="0" applyFill="1" borderId="0" applyBorder="1" xfId="8653" applyProtection="1"/>
    <xf numFmtId="167" applyNumberFormat="1" fontId="17" applyFont="1" fillId="0" applyFill="1" borderId="0" applyBorder="1" xfId="1522" applyProtection="1"/>
    <xf numFmtId="205" applyNumberFormat="1" fontId="17" applyFont="1" fillId="0" applyFill="1" borderId="0" applyBorder="1" xfId="2267" applyProtection="1"/>
    <xf numFmtId="205" applyNumberFormat="1" fontId="34" applyFont="1" fillId="0" applyFill="1" borderId="0" applyBorder="1" xfId="8653" applyProtection="1"/>
    <xf numFmtId="167" applyNumberFormat="1" fontId="15" applyFont="1" fillId="0" applyFill="1" borderId="0" applyBorder="1" xfId="1522" applyProtection="1"/>
    <xf numFmtId="43" applyNumberFormat="1" fontId="17" applyFont="1" fillId="4" applyFill="1" borderId="0" applyBorder="1" xfId="3647" applyProtection="1"/>
    <xf numFmtId="205" applyNumberFormat="1" fontId="17" applyFont="1" fillId="0" applyFill="1" borderId="0" applyBorder="1" xfId="1574" applyProtection="1" applyAlignment="1">
      <alignment horizontal="center"/>
    </xf>
    <xf numFmtId="205" applyNumberFormat="1" fontId="15" applyFont="1" fillId="0" applyFill="1" borderId="0" applyBorder="1" xfId="3647" applyProtection="1"/>
    <xf numFmtId="205" applyNumberFormat="1" fontId="17" applyFont="1" fillId="0" applyFill="1" borderId="0" applyBorder="1" xfId="3647" applyProtection="1"/>
    <xf numFmtId="205" applyNumberFormat="1" fontId="15" applyFont="1" fillId="0" applyFill="1" borderId="0" applyBorder="1" xfId="2267" applyProtection="1"/>
    <xf numFmtId="205" applyNumberFormat="1" fontId="0" applyFont="1" fillId="0" applyFill="1" borderId="0" applyBorder="1" xfId="3647" applyProtection="1"/>
    <xf numFmtId="0" applyNumberFormat="1" fontId="19" applyFont="1" fillId="0" applyFill="1" borderId="0" applyBorder="1" xfId="8653" applyProtection="1" applyAlignment="1">
      <alignment horizontal="left"/>
    </xf>
    <xf numFmtId="205" applyNumberFormat="1" fontId="35" applyFont="1" fillId="0" applyFill="1" borderId="0" applyBorder="1" xfId="1574" applyProtection="1" applyAlignment="1">
      <alignment horizontal="center"/>
    </xf>
    <xf numFmtId="205" applyNumberFormat="1" fontId="15" applyFont="1" fillId="0" applyFill="1" borderId="0" applyBorder="1" xfId="3647" applyProtection="1"/>
    <xf numFmtId="205" applyNumberFormat="1" fontId="17" applyFont="1" fillId="0" applyFill="1" borderId="0" applyBorder="1" xfId="3647" applyProtection="1"/>
    <xf numFmtId="0" applyNumberFormat="1" fontId="17" applyFont="1" fillId="0" applyFill="1" borderId="0" applyBorder="1" xfId="2267" applyProtection="1" applyAlignment="1">
      <alignment horizontal="left"/>
    </xf>
    <xf numFmtId="0" applyNumberFormat="1" fontId="17" applyFont="1" fillId="0" applyFill="1" borderId="0" applyBorder="1" xfId="3647" applyProtection="1" applyAlignment="1">
      <alignment horizontal="left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0" applyProtection="1" applyAlignment="1">
      <alignment vertical="center" wrapText="1"/>
    </xf>
    <xf numFmtId="0" applyNumberFormat="1" fontId="32" applyFont="1" fillId="0" applyFill="1" borderId="0" applyBorder="1" xfId="0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6" applyFont="1" fillId="0" applyFill="1" borderId="0" applyBorder="1" xfId="7742" applyProtection="1" applyAlignment="1">
      <alignment horizontal="left" vertical="center"/>
      <protection hidden="1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7" applyFont="1" fillId="0" applyFill="1" borderId="0" applyBorder="1" xfId="7742" applyProtection="1" applyAlignment="1">
      <alignment horizontal="left" vertical="center"/>
      <protection hidden="1"/>
    </xf>
    <xf numFmtId="205" applyNumberFormat="1" fontId="38" applyFont="1" fillId="0" applyFill="1" borderId="0" applyBorder="1" xfId="5548" applyProtection="1" applyAlignment="1">
      <alignment horizontal="left" vertical="center"/>
    </xf>
    <xf numFmtId="0" applyNumberFormat="1" fontId="39" applyFont="1" fillId="7" applyFill="1" borderId="22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23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23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23" applyBorder="1" xfId="3647" applyProtection="1" applyAlignment="1">
      <alignment horizontal="center" vertical="center" wrapText="1"/>
      <protection hidden="1"/>
    </xf>
    <xf numFmtId="0" applyNumberFormat="1" fontId="39" applyFont="1" fillId="7" applyFill="1" borderId="23" applyBorder="1" xfId="10625" applyProtection="1" applyAlignment="1">
      <alignment horizontal="center" vertical="center" wrapText="1"/>
    </xf>
    <xf numFmtId="0" applyNumberFormat="1" fontId="32" applyFont="1" fillId="0" applyFill="1" borderId="24" applyBorder="1" xfId="11648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vertical="center"/>
    </xf>
    <xf numFmtId="0" applyNumberFormat="1" fontId="32" applyFont="1" fillId="0" applyFill="1" borderId="13" applyBorder="1" xfId="11648" applyProtection="1" applyAlignment="1">
      <alignment horizontal="center" vertical="center"/>
    </xf>
    <xf numFmtId="205" applyNumberFormat="1" fontId="40" applyFont="1" fillId="0" applyFill="1" borderId="25" applyBorder="1" xfId="5813" applyProtection="1" applyAlignment="1">
      <alignment vertical="center"/>
    </xf>
    <xf numFmtId="0" applyNumberFormat="1" fontId="37" applyFont="1" fillId="4" applyFill="1" borderId="27" applyBorder="1" xfId="11648" applyProtection="1" applyAlignment="1">
      <alignment horizontal="center" vertical="center"/>
    </xf>
    <xf numFmtId="0" applyNumberFormat="1" fontId="37" applyFont="1" fillId="4" applyFill="1" borderId="28" applyBorder="1" xfId="11648" applyProtection="1" applyAlignment="1">
      <alignment horizontal="center" vertical="center"/>
    </xf>
    <xf numFmtId="205" applyNumberFormat="1" fontId="37" applyFont="1" fillId="0" applyFill="1" borderId="29" applyBorder="1" xfId="3647" applyProtection="1" applyAlignment="1">
      <alignment vertical="center"/>
    </xf>
    <xf numFmtId="0" applyNumberFormat="1" fontId="37" applyFont="1" fillId="4" applyFill="1" borderId="0" applyBorder="1" xfId="7742" applyProtection="1" applyAlignment="1">
      <alignment horizontal="left" vertical="center"/>
      <protection hidden="1"/>
    </xf>
    <xf numFmtId="0" applyNumberFormat="1" fontId="32" applyFont="1" fillId="0" applyFill="1" borderId="0" applyBorder="1" xfId="0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center" vertical="center"/>
    </xf>
    <xf numFmtId="0" applyNumberFormat="1" fontId="37" applyFont="1" fillId="0" applyFill="1" borderId="0" applyBorder="1" xfId="11648" applyProtection="1" applyAlignment="1">
      <alignment vertical="center"/>
    </xf>
    <xf numFmtId="0" applyNumberFormat="1" fontId="37" applyFont="1" fillId="0" applyFill="1" borderId="0" applyBorder="1" xfId="11648" applyProtection="1" applyAlignment="1">
      <alignment horizontal="center"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205" applyNumberFormat="1" fontId="32" applyFont="1" fillId="0" applyFill="1" borderId="0" applyBorder="1" xfId="11648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0" applyNumberFormat="1" fontId="39" applyFont="1" fillId="8" applyFill="1" borderId="23" applyBorder="1" xfId="12238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23" applyBorder="1" xfId="10625" applyProtection="1" applyAlignment="1">
      <alignment horizontal="center" vertical="center" wrapText="1"/>
    </xf>
    <xf numFmtId="0" applyNumberFormat="1" fontId="39" applyFont="1" fillId="9" applyFill="1" borderId="23" applyBorder="1" xfId="10543" applyProtection="1" applyAlignment="1">
      <alignment horizontal="center" vertical="center" wrapText="1"/>
    </xf>
    <xf numFmtId="41" applyNumberFormat="1" fontId="41" applyFont="1" fillId="9" applyFill="1" borderId="23" applyBorder="1" xfId="10543" applyProtection="1" applyAlignment="1">
      <alignment horizontal="center" vertical="center" wrapText="1"/>
    </xf>
    <xf numFmtId="0" applyNumberFormat="1" fontId="41" applyFont="1" fillId="9" applyFill="1" borderId="23" applyBorder="1" xfId="9661" applyProtection="1" applyAlignment="1">
      <alignment horizontal="center" vertical="center" wrapText="1"/>
      <protection hidden="1"/>
    </xf>
    <xf numFmtId="205" applyNumberFormat="1" fontId="40" applyFont="1" fillId="0" applyFill="1" borderId="13" applyBorder="1" xfId="5813" applyProtection="1" applyAlignment="1">
      <alignment vertical="center"/>
    </xf>
    <xf numFmtId="205" applyNumberFormat="1" fontId="40" applyFont="1" fillId="0" applyFill="1" borderId="8" applyBorder="1" xfId="5813" applyProtection="1" applyAlignment="1">
      <alignment vertical="center"/>
      <protection hidden="1"/>
    </xf>
    <xf numFmtId="205" applyNumberFormat="1" fontId="21" applyFont="1" fillId="0" applyFill="1" borderId="13" applyBorder="1" xfId="3647" applyProtection="1" applyAlignment="1">
      <alignment vertical="center"/>
    </xf>
    <xf numFmtId="1" applyNumberFormat="1" fontId="33" applyFont="1" fillId="0" applyFill="1" borderId="13" applyBorder="1" xfId="0" applyProtection="1" applyAlignment="1">
      <alignment horizontal="right" vertical="center"/>
    </xf>
    <xf numFmtId="205" applyNumberFormat="1" fontId="32" applyFont="1" fillId="4" applyFill="1" borderId="0" applyBorder="1" xfId="3647" applyProtection="1" applyAlignment="1">
      <alignment vertical="center"/>
    </xf>
    <xf numFmtId="41" applyNumberFormat="1" fontId="32" applyFont="1" fillId="0" applyFill="1" borderId="0" applyBorder="1" xfId="11648" applyProtection="1" applyAlignment="1">
      <alignment vertical="center"/>
    </xf>
    <xf numFmtId="41" applyNumberFormat="1" fontId="32" applyFont="1" fillId="0" applyFill="1" borderId="0" applyBorder="1" xfId="0" applyProtection="1" applyAlignment="1">
      <alignment vertical="center"/>
    </xf>
    <xf numFmtId="205" applyNumberFormat="1" fontId="32" applyFont="1" fillId="0" applyFill="1" borderId="0" applyBorder="1" xfId="0" applyProtection="1" applyAlignment="1">
      <alignment vertical="center"/>
    </xf>
    <xf numFmtId="41" applyNumberFormat="1" fontId="37" applyFont="1" fillId="0" applyFill="1" borderId="0" applyBorder="1" xfId="11648" applyProtection="1" applyAlignment="1">
      <alignment vertical="center"/>
    </xf>
    <xf numFmtId="9" applyNumberFormat="1" fontId="39" applyFont="1" fillId="7" applyFill="1" borderId="23" applyBorder="1" xfId="4951" applyProtection="1" applyAlignment="1">
      <alignment horizontal="center" vertical="center" wrapText="1"/>
    </xf>
    <xf numFmtId="41" applyNumberFormat="1" fontId="39" applyFont="1" fillId="7" applyFill="1" borderId="23" applyBorder="1" xfId="3892" applyProtection="1" applyAlignment="1">
      <alignment horizontal="center" vertical="center" wrapText="1"/>
      <protection hidden="1"/>
    </xf>
    <xf numFmtId="41" applyNumberFormat="1" fontId="39" applyFont="1" fillId="7" applyFill="1" borderId="30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8" applyBorder="1" xfId="5352" applyProtection="1" applyAlignment="1">
      <alignment vertical="center"/>
      <protection hidden="1"/>
    </xf>
    <xf numFmtId="41" applyNumberFormat="1" fontId="32" applyFont="1" fillId="0" applyFill="1" borderId="8" applyBorder="1" xfId="11648" applyProtection="1" applyAlignment="1">
      <alignment vertical="center"/>
    </xf>
    <xf numFmtId="260" applyNumberFormat="1" fontId="32" applyFont="1" fillId="0" applyFill="1" borderId="8" applyBorder="1" xfId="11648" applyProtection="1" applyAlignment="1">
      <alignment horizontal="center" vertical="center"/>
    </xf>
    <xf numFmtId="260" applyNumberFormat="1" fontId="32" applyFont="1" fillId="0" applyFill="1" borderId="31" applyBorder="1" xfId="11648" applyProtection="1" applyAlignment="1">
      <alignment horizontal="center" vertical="center"/>
    </xf>
    <xf numFmtId="41" applyNumberFormat="1" fontId="32" applyFont="1" fillId="4" applyFill="1" borderId="29" applyBorder="1" xfId="11648" applyProtection="1" applyAlignment="1">
      <alignment horizontal="center" vertical="center"/>
    </xf>
    <xf numFmtId="41" applyNumberFormat="1" fontId="32" applyFont="1" fillId="4" applyFill="1" borderId="32" applyBorder="1" xfId="11648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horizontal="left" vertical="center"/>
    </xf>
    <xf numFmtId="263" applyNumberFormat="1" fontId="32" applyFont="1" fillId="0" applyFill="1" borderId="0" applyBorder="1" xfId="3647" applyProtection="1" applyAlignment="1">
      <alignment horizontal="left" vertical="center"/>
    </xf>
    <xf numFmtId="0" applyNumberFormat="1" fontId="15" applyFont="1" fillId="0" applyFill="1" borderId="0" applyBorder="1" xfId="9356" applyProtection="1"/>
    <xf numFmtId="0" applyNumberFormat="1" fontId="42" applyFont="1" fillId="1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 applyAlignment="1">
      <alignment horizontal="left"/>
    </xf>
    <xf numFmtId="0" applyNumberFormat="1" fontId="43" applyFont="1" fillId="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/>
    <xf numFmtId="0" applyNumberFormat="1" fontId="42" applyFont="1" fillId="0" applyFill="1" borderId="0" applyBorder="1" xfId="9356" applyProtection="1" applyAlignment="1">
      <alignment horizontal="center"/>
    </xf>
    <xf numFmtId="174" applyNumberFormat="1" fontId="42" applyFont="1" fillId="0" applyFill="1" borderId="0" applyBorder="1" xfId="5351" applyProtection="1" applyAlignment="1">
      <alignment horizontal="center"/>
    </xf>
    <xf numFmtId="0" applyNumberFormat="1" fontId="5" applyFont="1" fillId="0" applyFill="1" borderId="0" applyBorder="1" xfId="9356" applyProtection="1"/>
    <xf numFmtId="0" applyNumberFormat="1" fontId="44" applyFont="1" fillId="0" applyFill="1" borderId="0" applyBorder="1" xfId="9356" applyProtection="1"/>
    <xf numFmtId="0" applyNumberFormat="1" fontId="5" applyFont="1" fillId="0" applyFill="1" borderId="0" applyBorder="1" xfId="9356" applyProtection="1" applyAlignment="1">
      <alignment horizontal="center"/>
    </xf>
    <xf numFmtId="0" applyNumberFormat="1" fontId="45" applyFont="1" fillId="0" applyFill="1" borderId="0" applyBorder="1" xfId="9356" applyProtection="1"/>
    <xf numFmtId="0" applyNumberFormat="1" fontId="15" applyFont="1" fillId="0" applyFill="1" borderId="0" applyBorder="1" xfId="9356" applyProtection="1" applyAlignment="1">
      <alignment horizontal="center"/>
    </xf>
    <xf numFmtId="0" applyNumberFormat="1" fontId="17" applyFont="1" fillId="11" applyFill="1" borderId="33" applyBorder="1" xfId="9356" applyProtection="1" applyAlignment="1">
      <alignment horizontal="center" vertical="center"/>
    </xf>
    <xf numFmtId="0" applyNumberFormat="1" fontId="17" applyFont="1" fillId="11" applyFill="1" borderId="34" applyBorder="1" xfId="9356" applyProtection="1" applyAlignment="1">
      <alignment horizontal="center" vertical="center"/>
    </xf>
    <xf numFmtId="0" applyNumberFormat="1" fontId="42" applyFont="1" fillId="10" applyFill="1" borderId="13" applyBorder="1" xfId="9356" applyProtection="1" applyAlignment="1">
      <alignment horizontal="left" vertical="center"/>
    </xf>
    <xf numFmtId="0" applyNumberFormat="1" fontId="42" applyFont="1" fillId="10" applyFill="1" borderId="13" applyBorder="1" xfId="9356" applyProtection="1" applyAlignment="1">
      <alignment horizontal="center" vertical="center"/>
    </xf>
    <xf numFmtId="264" applyNumberFormat="1" fontId="46" applyFont="1" fillId="10" applyFill="1" borderId="13" applyBorder="1" xfId="12870" applyProtection="1" applyAlignment="1">
      <alignment horizontal="left"/>
    </xf>
    <xf numFmtId="260" applyNumberFormat="1" fontId="42" applyFont="1" fillId="10" applyFill="1" borderId="13" applyBorder="1" xfId="9356" applyProtection="1" applyAlignment="1">
      <alignment horizontal="left" vertical="center"/>
    </xf>
    <xf numFmtId="0" applyNumberFormat="1" fontId="42" applyFont="1" fillId="9" applyFill="1" borderId="13" applyBorder="1" xfId="9356" applyProtection="1" applyAlignment="1">
      <alignment horizontal="left" vertical="center"/>
    </xf>
    <xf numFmtId="0" applyNumberFormat="1" fontId="42" applyFont="1" fillId="9" applyFill="1" borderId="13" applyBorder="1" xfId="9356" applyProtection="1" applyAlignment="1">
      <alignment horizontal="center" vertical="center"/>
    </xf>
    <xf numFmtId="264" applyNumberFormat="1" fontId="46" applyFont="1" fillId="9" applyFill="1" borderId="13" applyBorder="1" xfId="12870" applyProtection="1" applyAlignment="1">
      <alignment horizontal="left"/>
    </xf>
    <xf numFmtId="260" applyNumberFormat="1" fontId="42" applyFont="1" fillId="9" applyFill="1" borderId="13" applyBorder="1" xfId="9356" applyProtection="1" applyAlignment="1">
      <alignment horizontal="left" vertical="center"/>
    </xf>
    <xf numFmtId="174" applyNumberFormat="1" fontId="15" applyFont="1" fillId="0" applyFill="1" borderId="0" applyBorder="1" xfId="5351" applyProtection="1" applyAlignment="1">
      <alignment horizontal="center"/>
    </xf>
    <xf numFmtId="205" applyNumberFormat="1" fontId="42" applyFont="1" fillId="10" applyFill="1" borderId="13" applyBorder="1" xfId="3647" applyProtection="1" applyAlignment="1">
      <alignment horizontal="left" vertical="center"/>
    </xf>
    <xf numFmtId="174" applyNumberFormat="1" fontId="42" applyFont="1" fillId="10" applyFill="1" borderId="0" applyBorder="1" xfId="5351" applyProtection="1" applyAlignment="1">
      <alignment horizontal="left"/>
    </xf>
    <xf numFmtId="205" applyNumberFormat="1" fontId="42" applyFont="1" fillId="9" applyFill="1" borderId="13" applyBorder="1" xfId="3647" applyProtection="1" applyAlignment="1">
      <alignment horizontal="left" vertical="center"/>
    </xf>
    <xf numFmtId="0" applyNumberFormat="1" fontId="43" applyFont="1" fillId="9" applyFill="1" borderId="13" applyBorder="1" xfId="9356" applyProtection="1" applyAlignment="1">
      <alignment horizontal="left" vertical="center"/>
    </xf>
    <xf numFmtId="174" applyNumberFormat="1" fontId="42" applyFont="1" fillId="0" applyFill="1" borderId="0" applyBorder="1" xfId="5351" applyProtection="1" applyAlignment="1">
      <alignment horizontal="left"/>
    </xf>
    <xf numFmtId="0" applyNumberFormat="1" fontId="49" applyFont="1" fillId="9" applyFill="1" borderId="8" applyBorder="1" xfId="9356" applyProtection="1" applyAlignment="1">
      <alignment horizontal="center" vertical="center" textRotation="255"/>
    </xf>
    <xf numFmtId="0" applyNumberFormat="1" fontId="50" applyFont="1" fillId="10" applyFill="1" borderId="13" applyBorder="1" xfId="9356" applyProtection="1"/>
    <xf numFmtId="0" applyNumberFormat="1" fontId="49" applyFont="1" fillId="9" applyFill="1" borderId="21" applyBorder="1" xfId="9356" applyProtection="1" applyAlignment="1">
      <alignment vertical="center" textRotation="255"/>
    </xf>
    <xf numFmtId="0" applyNumberFormat="1" fontId="51" applyFont="1" fillId="9" applyFill="1" borderId="21" applyBorder="1" xfId="9356" applyProtection="1" applyAlignment="1">
      <alignment vertical="center" textRotation="255"/>
    </xf>
    <xf numFmtId="264" applyNumberFormat="1" fontId="46" applyFont="1" fillId="10" applyFill="1" borderId="13" applyBorder="1" xfId="12870" applyProtection="1" applyAlignment="1">
      <alignment horizontal="center"/>
    </xf>
    <xf numFmtId="0" applyNumberFormat="1" fontId="42" applyFont="1" fillId="0" applyFill="1" borderId="13" applyBorder="1" xfId="9356" applyProtection="1" applyAlignment="1">
      <alignment horizontal="left" vertical="center"/>
    </xf>
    <xf numFmtId="0" applyNumberFormat="1" fontId="42" applyFont="1" fillId="0" applyFill="1" borderId="13" applyBorder="1" xfId="9356" applyProtection="1" applyAlignment="1">
      <alignment horizontal="center" vertical="center"/>
    </xf>
    <xf numFmtId="264" applyNumberFormat="1" fontId="46" applyFont="1" fillId="0" applyFill="1" borderId="13" applyBorder="1" xfId="12870" applyProtection="1" applyAlignment="1">
      <alignment horizontal="center"/>
    </xf>
    <xf numFmtId="264" applyNumberFormat="1" fontId="46" applyFont="1" fillId="0" applyFill="1" borderId="13" applyBorder="1" xfId="12870" applyProtection="1" applyAlignment="1">
      <alignment horizontal="left"/>
    </xf>
    <xf numFmtId="260" applyNumberFormat="1" fontId="42" applyFont="1" fillId="0" applyFill="1" borderId="13" applyBorder="1" xfId="9356" applyProtection="1" applyAlignment="1">
      <alignment horizontal="left" vertical="center"/>
    </xf>
    <xf numFmtId="205" applyNumberFormat="1" fontId="42" applyFont="1" fillId="0" applyFill="1" borderId="13" applyBorder="1" xfId="3647" applyProtection="1" applyAlignment="1">
      <alignment horizontal="left" vertical="center"/>
    </xf>
    <xf numFmtId="0" applyNumberFormat="1" fontId="54" applyFont="1" fillId="0" applyFill="1" borderId="21" applyBorder="1" xfId="9356" applyProtection="1" applyAlignment="1">
      <alignment horizontal="center" vertical="center" textRotation="255"/>
    </xf>
    <xf numFmtId="0" applyNumberFormat="1" fontId="54" applyFont="1" fillId="0" applyFill="1" borderId="21" applyBorder="1" xfId="9356" applyProtection="1" applyAlignment="1">
      <alignment vertical="center" textRotation="255"/>
    </xf>
    <xf numFmtId="0" applyNumberFormat="1" fontId="42" applyFont="1" fillId="0" applyFill="1" borderId="0" applyBorder="1" xfId="9356" applyProtection="1" applyAlignment="1">
      <alignment horizontal="center" vertical="center"/>
    </xf>
    <xf numFmtId="0" applyNumberFormat="1" fontId="43" applyFont="1" fillId="0" applyFill="1" borderId="0" applyBorder="1" xfId="9356" applyProtection="1" applyAlignment="1">
      <alignment horizontal="center"/>
    </xf>
    <xf numFmtId="0" applyNumberFormat="1" fontId="42" applyFont="1" fillId="0" applyFill="1" borderId="0" applyBorder="1" xfId="9356" applyProtection="1" applyAlignment="1">
      <alignment horizontal="center"/>
    </xf>
    <xf numFmtId="264" applyNumberFormat="1" fontId="43" applyFont="1" fillId="0" applyFill="1" borderId="0" applyBorder="1" xfId="9356" applyProtection="1" applyAlignment="1">
      <alignment horizontal="center"/>
    </xf>
    <xf numFmtId="264" applyNumberFormat="1" fontId="43" applyFont="1" fillId="0" applyFill="1" borderId="0" applyBorder="1" xfId="9356" applyProtection="1" applyAlignment="1">
      <alignment horizontal="left"/>
    </xf>
    <xf numFmtId="0" applyNumberFormat="1" fontId="42" applyFont="1" fillId="0" applyFill="1" borderId="0" applyBorder="1" xfId="9356" applyProtection="1" applyAlignment="1">
      <alignment horizontal="left"/>
    </xf>
    <xf numFmtId="0" applyNumberFormat="1" fontId="55" applyFont="1" fillId="0" applyFill="1" borderId="0" applyBorder="1" xfId="9356" applyProtection="1"/>
    <xf numFmtId="205" applyNumberFormat="1" fontId="42" applyFont="1" fillId="0" applyFill="1" borderId="0" applyBorder="1" xfId="3647" applyProtection="1" applyAlignment="1">
      <alignment horizontal="left"/>
    </xf>
    <xf numFmtId="205" applyNumberFormat="1" fontId="43" applyFont="1" fillId="0" applyFill="1" borderId="0" applyBorder="1" xfId="3647" applyProtection="1" applyAlignment="1">
      <alignment horizontal="left"/>
    </xf>
    <xf numFmtId="0" applyNumberFormat="1" fontId="54" applyFont="1" fillId="0" applyFill="1" borderId="0" applyBorder="1" xfId="9356" applyProtection="1" applyAlignment="1">
      <alignment vertical="center" textRotation="255"/>
    </xf>
    <xf numFmtId="174" applyNumberFormat="1" fontId="43" applyFont="1" fillId="0" applyFill="1" borderId="0" applyBorder="1" xfId="5351" applyProtection="1" applyAlignment="1">
      <alignment horizontal="center"/>
    </xf>
    <xf numFmtId="0" applyNumberFormat="1" fontId="42" applyFont="1" fillId="0" applyFill="1" borderId="0" applyBorder="1" xfId="9356" applyProtection="1"/>
    <xf numFmtId="0" applyNumberFormat="1" fontId="32" applyFont="1" fillId="12" applyFill="1" borderId="0" applyBorder="1" xfId="0" applyProtection="1" applyAlignment="1">
      <alignment vertical="center"/>
    </xf>
    <xf numFmtId="205" applyNumberFormat="1" fontId="40" applyFont="1" fillId="0" applyFill="1" borderId="12" applyBorder="1" xfId="5813" applyProtection="1" applyAlignment="1">
      <alignment vertical="center"/>
    </xf>
    <xf numFmtId="0" applyNumberFormat="1" fontId="32" applyFont="1" fillId="12" applyFill="1" borderId="35" applyBorder="1" xfId="11648" applyProtection="1" applyAlignment="1">
      <alignment horizontal="center" vertical="center"/>
    </xf>
    <xf numFmtId="0" applyNumberFormat="1" fontId="21" applyFont="1" fillId="12" applyFill="1" borderId="8" applyBorder="1" xfId="0" applyProtection="1" applyAlignment="1">
      <alignment vertical="center"/>
    </xf>
    <xf numFmtId="0" applyNumberFormat="1" fontId="32" applyFont="1" fillId="12" applyFill="1" borderId="8" applyBorder="1" xfId="11648" applyProtection="1" applyAlignment="1">
      <alignment horizontal="center" vertical="center"/>
    </xf>
    <xf numFmtId="205" applyNumberFormat="1" fontId="21" applyFont="1" fillId="12" applyFill="1" borderId="8" applyBorder="1" xfId="5548" applyProtection="1" applyAlignment="1">
      <alignment horizontal="left" vertical="center"/>
    </xf>
    <xf numFmtId="205" applyNumberFormat="1" fontId="40" applyFont="1" fillId="12" applyFill="1" borderId="36" applyBorder="1" xfId="5813" applyProtection="1" applyAlignment="1">
      <alignment vertical="center"/>
    </xf>
    <xf numFmtId="205" applyNumberFormat="1" fontId="40" applyFont="1" fillId="0" applyFill="1" borderId="13" applyBorder="1" xfId="5813" applyProtection="1" applyAlignment="1">
      <alignment vertical="center"/>
      <protection hidden="1"/>
    </xf>
    <xf numFmtId="205" applyNumberFormat="1" fontId="40" applyFont="1" fillId="12" applyFill="1" borderId="8" applyBorder="1" xfId="5813" applyProtection="1" applyAlignment="1">
      <alignment vertical="center"/>
    </xf>
    <xf numFmtId="205" applyNumberFormat="1" fontId="40" applyFont="1" fillId="12" applyFill="1" borderId="8" applyBorder="1" xfId="5813" applyProtection="1" applyAlignment="1">
      <alignment vertical="center"/>
      <protection hidden="1"/>
    </xf>
    <xf numFmtId="205" applyNumberFormat="1" fontId="21" applyFont="1" fillId="12" applyFill="1" borderId="8" applyBorder="1" xfId="3647" applyProtection="1" applyAlignment="1">
      <alignment vertical="center"/>
    </xf>
    <xf numFmtId="1" applyNumberFormat="1" fontId="33" applyFont="1" fillId="12" applyFill="1" borderId="8" applyBorder="1" xfId="0" applyProtection="1" applyAlignment="1">
      <alignment horizontal="right" vertical="center"/>
    </xf>
    <xf numFmtId="41" applyNumberFormat="1" fontId="32" applyFont="1" fillId="0" applyFill="1" borderId="13" applyBorder="1" xfId="5352" applyProtection="1" applyAlignment="1">
      <alignment vertical="center"/>
      <protection hidden="1"/>
    </xf>
    <xf numFmtId="41" applyNumberFormat="1" fontId="32" applyFont="1" fillId="0" applyFill="1" borderId="13" applyBorder="1" xfId="11648" applyProtection="1" applyAlignment="1">
      <alignment vertical="center"/>
    </xf>
    <xf numFmtId="260" applyNumberFormat="1" fontId="32" applyFont="1" fillId="0" applyFill="1" borderId="13" applyBorder="1" xfId="11648" applyProtection="1" applyAlignment="1">
      <alignment horizontal="center" vertical="center"/>
    </xf>
    <xf numFmtId="260" applyNumberFormat="1" fontId="32" applyFont="1" fillId="0" applyFill="1" borderId="37" applyBorder="1" xfId="11648" applyProtection="1" applyAlignment="1">
      <alignment horizontal="center" vertical="center"/>
    </xf>
    <xf numFmtId="41" applyNumberFormat="1" fontId="32" applyFont="1" fillId="12" applyFill="1" borderId="8" applyBorder="1" xfId="5352" applyProtection="1" applyAlignment="1">
      <alignment vertical="center"/>
      <protection hidden="1"/>
    </xf>
    <xf numFmtId="41" applyNumberFormat="1" fontId="32" applyFont="1" fillId="12" applyFill="1" borderId="8" applyBorder="1" xfId="11648" applyProtection="1" applyAlignment="1">
      <alignment vertical="center"/>
    </xf>
    <xf numFmtId="260" applyNumberFormat="1" fontId="32" applyFont="1" fillId="12" applyFill="1" borderId="8" applyBorder="1" xfId="11648" applyProtection="1" applyAlignment="1">
      <alignment horizontal="center" vertical="center"/>
    </xf>
    <xf numFmtId="260" applyNumberFormat="1" fontId="32" applyFont="1" fillId="12" applyFill="1" borderId="31" applyBorder="1" xfId="11648" applyProtection="1" applyAlignment="1">
      <alignment horizontal="center" vertical="center"/>
    </xf>
    <xf numFmtId="205" applyNumberFormat="1" fontId="32" applyFont="1" fillId="12" applyFill="1" borderId="0" applyBorder="1" xfId="0" applyProtection="1" applyAlignment="1">
      <alignment vertical="center"/>
    </xf>
    <xf numFmtId="205" applyNumberFormat="1" fontId="40" applyFont="1" fillId="0" applyFill="1" borderId="17" applyBorder="1" xfId="5813" applyProtection="1" applyAlignment="1">
      <alignment vertical="center"/>
    </xf>
    <xf numFmtId="0" applyNumberFormat="1" fontId="32" applyFont="1" fillId="12" applyFill="1" borderId="24" applyBorder="1" xfId="11648" applyProtection="1" applyAlignment="1">
      <alignment horizontal="center" vertical="center"/>
    </xf>
    <xf numFmtId="0" applyNumberFormat="1" fontId="21" applyFont="1" fillId="12" applyFill="1" borderId="13" applyBorder="1" xfId="0" applyProtection="1" applyAlignment="1">
      <alignment vertical="center"/>
    </xf>
    <xf numFmtId="0" applyNumberFormat="1" fontId="32" applyFont="1" fillId="12" applyFill="1" borderId="13" applyBorder="1" xfId="11648" applyProtection="1" applyAlignment="1">
      <alignment horizontal="center" vertical="center"/>
    </xf>
    <xf numFmtId="205" applyNumberFormat="1" fontId="21" applyFont="1" fillId="12" applyFill="1" borderId="13" applyBorder="1" xfId="5548" applyProtection="1" applyAlignment="1">
      <alignment horizontal="left" vertical="center"/>
    </xf>
    <xf numFmtId="205" applyNumberFormat="1" fontId="40" applyFont="1" fillId="12" applyFill="1" borderId="13" applyBorder="1" xfId="5813" applyProtection="1" applyAlignment="1">
      <alignment vertical="center"/>
    </xf>
    <xf numFmtId="1" applyNumberFormat="1" fontId="33" applyFont="1" fillId="12" applyFill="1" borderId="13" applyBorder="1" xfId="0" applyProtection="1" applyAlignment="1">
      <alignment horizontal="right" vertical="center"/>
    </xf>
    <xf numFmtId="205" applyNumberFormat="1" fontId="37" applyFont="1" fillId="0" applyFill="1" borderId="38" applyBorder="1" xfId="3647" applyProtection="1" applyAlignment="1">
      <alignment vertical="center"/>
    </xf>
    <xf numFmtId="205" applyNumberFormat="1" fontId="40" applyFont="1" fillId="12" applyFill="1" borderId="25" applyBorder="1" xfId="5813" applyProtection="1" applyAlignment="1">
      <alignment vertical="center"/>
    </xf>
    <xf numFmtId="205" applyNumberFormat="1" fontId="21" applyFont="1" fillId="12" applyFill="1" borderId="13" applyBorder="1" xfId="3647" applyProtection="1" applyAlignment="1">
      <alignment vertical="center"/>
    </xf>
    <xf numFmtId="41" applyNumberFormat="1" fontId="37" applyFont="1" fillId="0" applyFill="1" borderId="29" applyBorder="1" xfId="3647" applyProtection="1" applyAlignment="1">
      <alignment vertical="center"/>
    </xf>
    <xf numFmtId="205" applyNumberFormat="1" fontId="40" applyFont="1" fillId="0" applyFill="1" borderId="7" applyBorder="1" xfId="5813" applyProtection="1" applyAlignment="1">
      <alignment vertical="center"/>
    </xf>
    <xf numFmtId="0" applyNumberFormat="1" fontId="32" applyFont="1" fillId="0" applyFill="1" borderId="39" applyBorder="1" xfId="11648" applyProtection="1" applyAlignment="1">
      <alignment horizontal="center" vertical="center"/>
    </xf>
    <xf numFmtId="0" applyNumberFormat="1" fontId="30" applyFont="1" fillId="0" applyFill="1" borderId="13" applyBorder="1" xfId="0" applyProtection="1" applyAlignment="1">
      <alignment horizontal="center" vertical="center"/>
    </xf>
    <xf numFmtId="205" applyNumberFormat="1" fontId="40" applyFont="1" fillId="0" applyFill="1" borderId="8" applyBorder="1" xfId="5813" applyProtection="1" applyAlignment="1">
      <alignment vertical="center"/>
    </xf>
    <xf numFmtId="0" applyNumberFormat="1" fontId="21" applyFont="1" fillId="0" applyFill="1" borderId="8" applyBorder="1" xfId="0" applyProtection="1" applyAlignment="1">
      <alignment horizontal="center" vertical="center"/>
    </xf>
    <xf numFmtId="0" applyNumberFormat="1" fontId="21" applyFont="1" fillId="0" applyFill="1" borderId="8" applyBorder="1" xfId="0" applyProtection="1" applyAlignment="1">
      <alignment vertical="center"/>
    </xf>
    <xf numFmtId="0" applyNumberFormat="1" fontId="32" applyFont="1" fillId="0" applyFill="1" borderId="8" applyBorder="1" xfId="11648" applyProtection="1" applyAlignment="1">
      <alignment horizontal="center" vertical="center"/>
    </xf>
    <xf numFmtId="205" applyNumberFormat="1" fontId="40" applyFont="1" fillId="12" applyFill="1" borderId="12" applyBorder="1" xfId="5813" applyProtection="1" applyAlignment="1">
      <alignment vertical="center"/>
    </xf>
    <xf numFmtId="205" applyNumberFormat="1" fontId="21" applyFont="1" fillId="0" applyFill="1" borderId="8" applyBorder="1" xfId="3647" applyProtection="1" applyAlignment="1">
      <alignment vertical="center"/>
    </xf>
    <xf numFmtId="1" applyNumberFormat="1" fontId="33" applyFont="1" fillId="0" applyFill="1" borderId="8" applyBorder="1" xfId="0" applyProtection="1" applyAlignment="1">
      <alignment horizontal="right" vertical="center"/>
    </xf>
    <xf numFmtId="205" applyNumberFormat="1" fontId="40" applyFont="1" fillId="12" applyFill="1" borderId="13" applyBorder="1" xfId="5813" applyProtection="1" applyAlignment="1">
      <alignment vertical="center"/>
      <protection hidden="1"/>
    </xf>
    <xf numFmtId="41" applyNumberFormat="1" fontId="32" applyFont="1" fillId="12" applyFill="1" borderId="13" applyBorder="1" xfId="5352" applyProtection="1" applyAlignment="1">
      <alignment vertical="center"/>
      <protection hidden="1"/>
    </xf>
    <xf numFmtId="41" applyNumberFormat="1" fontId="32" applyFont="1" fillId="12" applyFill="1" borderId="13" applyBorder="1" xfId="11648" applyProtection="1" applyAlignment="1">
      <alignment vertical="center"/>
    </xf>
    <xf numFmtId="260" applyNumberFormat="1" fontId="32" applyFont="1" fillId="12" applyFill="1" borderId="13" applyBorder="1" xfId="11648" applyProtection="1" applyAlignment="1">
      <alignment horizontal="center" vertical="center"/>
    </xf>
    <xf numFmtId="260" applyNumberFormat="1" fontId="32" applyFont="1" fillId="12" applyFill="1" borderId="37" applyBorder="1" xfId="11648" applyProtection="1" applyAlignment="1">
      <alignment horizontal="center" vertical="center"/>
    </xf>
    <xf numFmtId="0" applyNumberFormat="1" fontId="30" applyFont="1" fillId="12" applyFill="1" borderId="13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vertical="center"/>
    </xf>
    <xf numFmtId="264" applyNumberFormat="1" fontId="32" applyFont="1" fillId="12" applyFill="1" borderId="0" applyBorder="1" xfId="0" applyProtection="1" applyAlignment="1">
      <alignment vertical="center"/>
    </xf>
    <xf numFmtId="0" applyNumberFormat="1" fontId="32" applyFont="1" fillId="0" applyFill="1" borderId="40" applyBorder="1" xfId="11648" applyProtection="1" applyAlignment="1">
      <alignment horizontal="center" vertical="center"/>
    </xf>
    <xf numFmtId="0" applyNumberFormat="1" fontId="30" applyFont="1" fillId="0" applyFill="1" borderId="41" applyBorder="1" xfId="0" applyProtection="1" applyAlignment="1">
      <alignment horizontal="center" vertical="center"/>
    </xf>
    <xf numFmtId="0" applyNumberFormat="1" fontId="21" applyFont="1" fillId="0" applyFill="1" borderId="41" applyBorder="1" xfId="0" applyProtection="1" applyAlignment="1">
      <alignment vertical="center"/>
    </xf>
    <xf numFmtId="0" applyNumberFormat="1" fontId="32" applyFont="1" fillId="0" applyFill="1" borderId="41" applyBorder="1" xfId="11648" applyProtection="1" applyAlignment="1">
      <alignment horizontal="center" vertical="center"/>
    </xf>
    <xf numFmtId="205" applyNumberFormat="1" fontId="21" applyFont="1" fillId="0" applyFill="1" borderId="41" applyBorder="1" xfId="5548" applyProtection="1" applyAlignment="1">
      <alignment horizontal="left" vertical="center"/>
    </xf>
    <xf numFmtId="205" applyNumberFormat="1" fontId="40" applyFont="1" fillId="0" applyFill="1" borderId="41" applyBorder="1" xfId="5813" applyProtection="1" applyAlignment="1">
      <alignment vertical="center"/>
    </xf>
    <xf numFmtId="0" applyNumberFormat="1" fontId="37" applyFont="1" fillId="4" applyFill="1" borderId="42" applyBorder="1" xfId="11648" applyProtection="1" applyAlignment="1">
      <alignment horizontal="center" vertical="center"/>
    </xf>
    <xf numFmtId="0" applyNumberFormat="1" fontId="37" applyFont="1" fillId="4" applyFill="1" borderId="43" applyBorder="1" xfId="11648" applyProtection="1" applyAlignment="1">
      <alignment horizontal="center" vertical="center"/>
    </xf>
    <xf numFmtId="205" applyNumberFormat="1" fontId="37" applyFont="1" fillId="0" applyFill="1" borderId="43" applyBorder="1" xfId="3647" applyProtection="1" applyAlignment="1">
      <alignment vertical="center"/>
    </xf>
    <xf numFmtId="205" applyNumberFormat="1" fontId="37" applyFont="1" fillId="0" applyFill="1" borderId="41" applyBorder="1" xfId="3647" applyProtection="1" applyAlignment="1">
      <alignment vertical="center"/>
    </xf>
    <xf numFmtId="205" applyNumberFormat="1" fontId="32" applyFont="1" fillId="0" applyFill="1" borderId="0" applyBorder="1" xfId="11648" applyProtection="1" applyAlignment="1">
      <alignment vertical="center"/>
    </xf>
    <xf numFmtId="41" applyNumberFormat="1" fontId="56" applyFont="1" fillId="7" applyFill="1" borderId="23" applyBorder="1" xfId="10625" applyProtection="1" applyAlignment="1">
      <alignment horizontal="center" vertical="center" wrapText="1"/>
    </xf>
    <xf numFmtId="205" applyNumberFormat="1" fontId="40" applyFont="1" fillId="0" applyFill="1" borderId="41" applyBorder="1" xfId="5813" applyProtection="1" applyAlignment="1">
      <alignment vertical="center"/>
      <protection hidden="1"/>
    </xf>
    <xf numFmtId="205" applyNumberFormat="1" fontId="21" applyFont="1" fillId="5" applyFill="1" borderId="41" applyBorder="1" xfId="3647" applyProtection="1" applyAlignment="1">
      <alignment vertical="center"/>
    </xf>
    <xf numFmtId="41" applyNumberFormat="1" fontId="32" applyFont="1" fillId="0" applyFill="1" borderId="41" applyBorder="1" xfId="5352" applyProtection="1" applyAlignment="1">
      <alignment vertical="center"/>
      <protection hidden="1"/>
    </xf>
    <xf numFmtId="41" applyNumberFormat="1" fontId="32" applyFont="1" fillId="0" applyFill="1" borderId="41" applyBorder="1" xfId="11648" applyProtection="1" applyAlignment="1">
      <alignment vertical="center"/>
    </xf>
    <xf numFmtId="260" applyNumberFormat="1" fontId="32" applyFont="1" fillId="0" applyFill="1" borderId="41" applyBorder="1" xfId="11648" applyProtection="1" applyAlignment="1">
      <alignment horizontal="center" vertical="center"/>
    </xf>
    <xf numFmtId="260" applyNumberFormat="1" fontId="32" applyFont="1" fillId="0" applyFill="1" borderId="44" applyBorder="1" xfId="11648" applyProtection="1" applyAlignment="1">
      <alignment horizontal="center" vertical="center"/>
    </xf>
    <xf numFmtId="41" applyNumberFormat="1" fontId="37" applyFont="1" fillId="0" applyFill="1" borderId="43" applyBorder="1" xfId="3647" applyProtection="1" applyAlignment="1">
      <alignment vertical="center"/>
    </xf>
    <xf numFmtId="41" applyNumberFormat="1" fontId="32" applyFont="1" fillId="4" applyFill="1" borderId="43" applyBorder="1" xfId="11648" applyProtection="1" applyAlignment="1">
      <alignment horizontal="center" vertical="center"/>
    </xf>
    <xf numFmtId="41" applyNumberFormat="1" fontId="32" applyFont="1" fillId="4" applyFill="1" borderId="45" applyBorder="1" xfId="11648" applyProtection="1" applyAlignment="1">
      <alignment horizontal="center" vertical="center"/>
    </xf>
    <xf numFmtId="41" applyNumberFormat="1" fontId="32" applyFont="1" fillId="4" applyFill="1" borderId="41" applyBorder="1" xfId="11648" applyProtection="1" applyAlignment="1">
      <alignment horizontal="center" vertical="center"/>
    </xf>
    <xf numFmtId="41" applyNumberFormat="1" fontId="32" applyFont="1" fillId="4" applyFill="1" borderId="44" applyBorder="1" xfId="11648" applyProtection="1" applyAlignment="1">
      <alignment horizontal="center" vertical="center"/>
    </xf>
    <xf numFmtId="0" applyNumberFormat="1" fontId="32" applyFont="1" fillId="14" applyFill="1" borderId="0" applyBorder="1" xfId="0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vertical="center"/>
    </xf>
    <xf numFmtId="205" applyNumberFormat="1" fontId="57" applyFont="1" fillId="0" applyFill="1" borderId="0" applyBorder="1" xfId="5548" applyProtection="1" applyAlignment="1">
      <alignment horizontal="left" vertical="center"/>
    </xf>
    <xf numFmtId="0" applyNumberFormat="1" fontId="32" applyFont="1" fillId="4" applyFill="1" borderId="39" applyBorder="1" xfId="11648" applyProtection="1" applyAlignment="1">
      <alignment horizontal="center" vertical="center"/>
    </xf>
    <xf numFmtId="0" applyNumberFormat="1" fontId="21" applyFont="1" fillId="0" applyFill="1" borderId="13" applyBorder="1" xfId="0" applyProtection="1" applyAlignment="1">
      <alignment vertical="center"/>
    </xf>
    <xf numFmtId="0" applyNumberFormat="1" fontId="32" applyFont="1" fillId="5" applyFill="1" borderId="13" applyBorder="1" xfId="11648" applyProtection="1" applyAlignment="1">
      <alignment horizontal="center" vertical="center"/>
    </xf>
    <xf numFmtId="0" applyNumberFormat="1" fontId="32" applyFont="1" fillId="4" applyFill="1" borderId="13" applyBorder="1" xfId="11648" applyProtection="1" applyAlignment="1">
      <alignment horizontal="center" vertical="center"/>
    </xf>
    <xf numFmtId="0" applyNumberFormat="1" fontId="32" applyFont="1" fillId="4" applyFill="1" borderId="24" applyBorder="1" xfId="11648" applyProtection="1" applyAlignment="1">
      <alignment horizontal="center" vertical="center"/>
    </xf>
    <xf numFmtId="0" applyNumberFormat="1" fontId="32" applyFont="1" fillId="0" applyFill="1" borderId="13" applyBorder="1" xfId="0" applyProtection="1" applyAlignment="1">
      <alignment horizontal="center" vertical="center"/>
    </xf>
    <xf numFmtId="0" applyNumberFormat="1" fontId="33" applyFont="1" fillId="0" applyFill="1" borderId="13" applyBorder="1" xfId="11648" applyProtection="1" applyAlignment="1">
      <alignment horizontal="left" vertical="center"/>
    </xf>
    <xf numFmtId="0" applyNumberFormat="1" fontId="32" applyFont="1" fillId="0" applyFill="1" borderId="13" applyBorder="1" xfId="0" applyProtection="1" applyAlignment="1">
      <alignment horizontal="center" vertical="center"/>
    </xf>
    <xf numFmtId="0" applyNumberFormat="1" fontId="33" applyFont="1" fillId="0" applyFill="1" borderId="18" applyBorder="1" xfId="11648" applyProtection="1" applyAlignment="1">
      <alignment horizontal="left" vertical="center"/>
    </xf>
    <xf numFmtId="0" applyNumberFormat="1" fontId="32" applyFont="1" fillId="5" applyFill="1" borderId="18" applyBorder="1" xfId="11648" applyProtection="1" applyAlignment="1">
      <alignment horizontal="center" vertical="center"/>
    </xf>
    <xf numFmtId="0" applyNumberFormat="1" fontId="32" applyFont="1" fillId="4" applyFill="1" borderId="18" applyBorder="1" xfId="11648" applyProtection="1" applyAlignment="1">
      <alignment horizontal="center" vertical="center"/>
    </xf>
    <xf numFmtId="205" applyNumberFormat="1" fontId="40" applyFont="1" fillId="0" applyFill="1" borderId="46" applyBorder="1" xfId="5813" applyProtection="1" applyAlignment="1">
      <alignment vertical="center"/>
    </xf>
    <xf numFmtId="0" applyNumberFormat="1" fontId="32" applyFont="1" fillId="12" applyFill="1" borderId="13" applyBorder="1" xfId="0" applyProtection="1" applyAlignment="1">
      <alignment horizontal="center" vertical="center"/>
    </xf>
    <xf numFmtId="0" applyNumberFormat="1" fontId="32" applyFont="1" fillId="14" applyFill="1" borderId="13" applyBorder="1" xfId="0" applyProtection="1" applyAlignment="1">
      <alignment horizontal="center" vertical="center"/>
    </xf>
    <xf numFmtId="0" applyNumberFormat="1" fontId="32" applyFont="1" fillId="14" applyFill="1" borderId="13" applyBorder="1" xfId="11648" applyProtection="1" applyAlignment="1">
      <alignment horizontal="center" vertical="center"/>
    </xf>
    <xf numFmtId="205" applyNumberFormat="1" fontId="21" applyFont="1" fillId="14" applyFill="1" borderId="13" applyBorder="1" xfId="5548" applyProtection="1" applyAlignment="1">
      <alignment horizontal="left" vertical="center"/>
    </xf>
    <xf numFmtId="205" applyNumberFormat="1" fontId="40" applyFont="1" fillId="14" applyFill="1" borderId="13" applyBorder="1" xfId="5813" applyProtection="1" applyAlignment="1">
      <alignment vertical="center"/>
    </xf>
    <xf numFmtId="205" applyNumberFormat="1" fontId="37" applyFont="1" fillId="4" applyFill="1" borderId="29" applyBorder="1" xfId="3647" applyProtection="1" applyAlignment="1">
      <alignment vertical="center"/>
    </xf>
    <xf numFmtId="265" applyNumberFormat="1" fontId="32" applyFont="1" fillId="0" applyFill="1" borderId="0" applyBorder="1" xfId="0" applyProtection="1" applyAlignment="1">
      <alignment vertical="center"/>
    </xf>
    <xf numFmtId="41" applyNumberFormat="1" fontId="39" applyFont="1" fillId="7" applyFill="1" borderId="23" applyBorder="1" xfId="10625" applyProtection="1" applyAlignment="1">
      <alignment horizontal="center" vertical="center"/>
    </xf>
    <xf numFmtId="205" applyNumberFormat="1" fontId="21" applyFont="1" fillId="15" applyFill="1" borderId="13" applyBorder="1" xfId="3647" applyProtection="1" applyAlignment="1">
      <alignment vertical="center"/>
    </xf>
    <xf numFmtId="205" applyNumberFormat="1" fontId="40" applyFont="1" fillId="15" applyFill="1" borderId="13" applyBorder="1" xfId="5813" applyProtection="1" applyAlignment="1">
      <alignment vertical="center"/>
      <protection hidden="1"/>
    </xf>
    <xf numFmtId="205" applyNumberFormat="1" fontId="40" applyFont="1" fillId="4" applyFill="1" borderId="8" applyBorder="1" xfId="5813" applyProtection="1" applyAlignment="1">
      <alignment vertical="center"/>
      <protection hidden="1"/>
    </xf>
    <xf numFmtId="205" applyNumberFormat="1" fontId="40" applyFont="1" fillId="0" applyFill="1" borderId="21" applyBorder="1" xfId="5813" applyProtection="1" applyAlignment="1">
      <alignment vertical="center"/>
    </xf>
    <xf numFmtId="205" applyNumberFormat="1" fontId="40" applyFont="1" fillId="0" applyFill="1" borderId="21" applyBorder="1" xfId="5813" applyProtection="1" applyAlignment="1">
      <alignment vertical="center"/>
      <protection hidden="1"/>
    </xf>
    <xf numFmtId="205" applyNumberFormat="1" fontId="21" applyFont="1" fillId="0" applyFill="1" borderId="18" applyBorder="1" xfId="3647" applyProtection="1" applyAlignment="1">
      <alignment vertical="center"/>
    </xf>
    <xf numFmtId="205" applyNumberFormat="1" fontId="40" applyFont="1" fillId="4" applyFill="1" borderId="21" applyBorder="1" xfId="5813" applyProtection="1" applyAlignment="1">
      <alignment vertical="center"/>
      <protection hidden="1"/>
    </xf>
    <xf numFmtId="205" applyNumberFormat="1" fontId="40" applyFont="1" fillId="14" applyFill="1" borderId="13" applyBorder="1" xfId="5813" applyProtection="1" applyAlignment="1">
      <alignment vertical="center"/>
      <protection hidden="1"/>
    </xf>
    <xf numFmtId="205" applyNumberFormat="1" fontId="21" applyFont="1" fillId="14" applyFill="1" borderId="13" applyBorder="1" xfId="3647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 wrapText="1"/>
    </xf>
    <xf numFmtId="41" applyNumberFormat="1" fontId="32" applyFont="1" fillId="4" applyFill="1" borderId="13" applyBorder="1" xfId="5352" applyProtection="1" applyAlignment="1">
      <alignment vertical="center"/>
      <protection hidden="1"/>
    </xf>
    <xf numFmtId="41" applyNumberFormat="1" fontId="32" applyFont="1" fillId="4" applyFill="1" borderId="13" applyBorder="1" xfId="11648" applyProtection="1" applyAlignment="1">
      <alignment vertical="center"/>
    </xf>
    <xf numFmtId="260" applyNumberFormat="1" fontId="32" applyFont="1" fillId="4" applyFill="1" borderId="13" applyBorder="1" xfId="11648" applyProtection="1" applyAlignment="1">
      <alignment horizontal="center" vertical="center"/>
    </xf>
    <xf numFmtId="260" applyNumberFormat="1" fontId="32" applyFont="1" fillId="4" applyFill="1" borderId="37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/>
    </xf>
    <xf numFmtId="41" applyNumberFormat="1" fontId="32" applyFont="1" fillId="4" applyFill="1" borderId="8" applyBorder="1" xfId="5352" applyProtection="1" applyAlignment="1">
      <alignment vertical="center"/>
      <protection hidden="1"/>
    </xf>
    <xf numFmtId="41" applyNumberFormat="1" fontId="32" applyFont="1" fillId="4" applyFill="1" borderId="8" applyBorder="1" xfId="11648" applyProtection="1" applyAlignment="1">
      <alignment vertical="center"/>
    </xf>
    <xf numFmtId="0" applyNumberFormat="1" fontId="32" applyFont="1" fillId="5" applyFill="1" borderId="0" applyBorder="1" xfId="11648" applyProtection="1" applyAlignment="1">
      <alignment vertical="center"/>
    </xf>
    <xf numFmtId="41" applyNumberFormat="1" fontId="32" applyFont="1" fillId="4" applyFill="1" borderId="21" applyBorder="1" xfId="5352" applyProtection="1" applyAlignment="1">
      <alignment vertical="center"/>
      <protection hidden="1"/>
    </xf>
    <xf numFmtId="41" applyNumberFormat="1" fontId="32" applyFont="1" fillId="4" applyFill="1" borderId="21" applyBorder="1" xfId="11648" applyProtection="1" applyAlignment="1">
      <alignment vertical="center"/>
    </xf>
    <xf numFmtId="260" applyNumberFormat="1" fontId="32" applyFont="1" fillId="4" applyFill="1" borderId="18" applyBorder="1" xfId="11648" applyProtection="1" applyAlignment="1">
      <alignment horizontal="center" vertical="center"/>
    </xf>
    <xf numFmtId="260" applyNumberFormat="1" fontId="32" applyFont="1" fillId="4" applyFill="1" borderId="48" applyBorder="1" xfId="11648" applyProtection="1" applyAlignment="1">
      <alignment horizontal="center" vertical="center"/>
    </xf>
    <xf numFmtId="260" applyNumberFormat="1" fontId="32" applyFont="1" fillId="0" applyFill="1" borderId="48" applyBorder="1" xfId="11648" applyProtection="1" applyAlignment="1">
      <alignment horizontal="center" vertical="center"/>
    </xf>
    <xf numFmtId="0" applyNumberFormat="1" fontId="32" applyFont="1" fillId="12" applyFill="1" borderId="0" applyBorder="1" xfId="11648" applyProtection="1" applyAlignment="1">
      <alignment vertical="center"/>
    </xf>
    <xf numFmtId="41" applyNumberFormat="1" fontId="32" applyFont="1" fillId="14" applyFill="1" borderId="13" applyBorder="1" xfId="5352" applyProtection="1" applyAlignment="1">
      <alignment vertical="center"/>
      <protection hidden="1"/>
    </xf>
    <xf numFmtId="41" applyNumberFormat="1" fontId="32" applyFont="1" fillId="14" applyFill="1" borderId="13" applyBorder="1" xfId="11648" applyProtection="1" applyAlignment="1">
      <alignment vertical="center"/>
    </xf>
    <xf numFmtId="260" applyNumberFormat="1" fontId="32" applyFont="1" fillId="14" applyFill="1" borderId="13" applyBorder="1" xfId="11648" applyProtection="1" applyAlignment="1">
      <alignment horizontal="center" vertical="center"/>
    </xf>
    <xf numFmtId="260" applyNumberFormat="1" fontId="32" applyFont="1" fillId="14" applyFill="1" borderId="37" applyBorder="1" xfId="11648" applyProtection="1" applyAlignment="1">
      <alignment horizontal="center" vertical="center"/>
    </xf>
    <xf numFmtId="0" applyNumberFormat="1" fontId="32" applyFont="1" fillId="14" applyFill="1" borderId="0" applyBorder="1" xfId="11648" applyProtection="1" applyAlignment="1">
      <alignment vertical="center"/>
    </xf>
    <xf numFmtId="264" applyNumberFormat="1" fontId="32" applyFont="1" fillId="14" applyFill="1" borderId="0" applyBorder="1" xfId="0" applyProtection="1" applyAlignment="1">
      <alignment vertical="center"/>
    </xf>
    <xf numFmtId="205" applyNumberFormat="1" fontId="37" applyFont="1" fillId="4" applyFill="1" borderId="29" applyBorder="1" xfId="3647" applyProtection="1" applyAlignment="1">
      <alignment horizontal="center" vertical="center"/>
    </xf>
    <xf numFmtId="264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5" applyFill="1" borderId="0" applyBorder="1" xfId="0" applyProtection="1" applyAlignment="1">
      <alignment vertical="center"/>
    </xf>
    <xf numFmtId="0" applyNumberFormat="1" fontId="32" applyFont="1" fillId="5" applyFill="1" borderId="0" applyBorder="1" xfId="0" applyProtection="1" applyAlignment="1">
      <alignment vertical="center"/>
    </xf>
    <xf numFmtId="205" applyNumberFormat="1" fontId="58" applyFont="1" fillId="0" applyFill="1" borderId="0" applyBorder="1" xfId="5548" applyProtection="1" applyAlignment="1">
      <alignment horizontal="left" vertical="center"/>
    </xf>
    <xf numFmtId="0" applyNumberFormat="1" fontId="39" applyFont="1" fillId="9" applyFill="1" borderId="22" applyBorder="1" xfId="7905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7905" applyProtection="1" applyAlignment="1">
      <alignment horizontal="center" vertical="center" wrapText="1"/>
      <protection hidden="1"/>
    </xf>
    <xf numFmtId="49" applyNumberFormat="1" fontId="39" applyFont="1" fillId="9" applyFill="1" borderId="23" applyBorder="1" xfId="7905" applyProtection="1" applyAlignment="1">
      <alignment horizontal="center" vertical="center" wrapText="1"/>
      <protection hidden="1"/>
    </xf>
    <xf numFmtId="205" applyNumberFormat="1" fontId="39" applyFont="1" fillId="9" applyFill="1" borderId="23" applyBorder="1" xfId="3647" applyProtection="1" applyAlignment="1">
      <alignment horizontal="center" vertical="center" wrapText="1"/>
      <protection hidden="1"/>
    </xf>
    <xf numFmtId="0" applyNumberFormat="1" fontId="39" applyFont="1" fillId="9" applyFill="1" borderId="23" applyBorder="1" xfId="10625" applyProtection="1" applyAlignment="1">
      <alignment horizontal="center" vertical="center" wrapText="1"/>
    </xf>
    <xf numFmtId="0" applyNumberFormat="1" fontId="59" applyFont="1" fillId="0" applyFill="1" borderId="13" applyBorder="1" xfId="11648" applyProtection="1" applyAlignment="1">
      <alignment horizontal="left" vertical="center"/>
    </xf>
    <xf numFmtId="0" applyNumberFormat="1" fontId="32" applyFont="1" fillId="0" applyFill="1" borderId="49" applyBorder="1" xfId="11648" applyProtection="1" applyAlignment="1">
      <alignment horizontal="center" vertical="center"/>
    </xf>
    <xf numFmtId="0" applyNumberFormat="1" fontId="59" applyFont="1" fillId="12" applyFill="1" borderId="13" applyBorder="1" xfId="11648" applyProtection="1" applyAlignment="1">
      <alignment horizontal="left" vertical="center"/>
    </xf>
    <xf numFmtId="0" applyNumberFormat="1" fontId="32" applyFont="1" fillId="12" applyFill="1" borderId="49" applyBorder="1" xfId="11648" applyProtection="1" applyAlignment="1">
      <alignment horizontal="center" vertical="center"/>
    </xf>
    <xf numFmtId="205" applyNumberFormat="1" fontId="40" applyFont="1" fillId="12" applyFill="1" borderId="7" applyBorder="1" xfId="5813" applyProtection="1" applyAlignment="1">
      <alignment vertical="center"/>
    </xf>
    <xf numFmtId="0" applyNumberFormat="1" fontId="32" applyFont="1" fillId="14" applyFill="1" borderId="8" applyBorder="1" xfId="11648" applyProtection="1" applyAlignment="1">
      <alignment horizontal="center" vertical="center"/>
    </xf>
    <xf numFmtId="0" applyNumberFormat="1" fontId="32" applyFont="1" fillId="14" applyFill="1" borderId="49" applyBorder="1" xfId="11648" applyProtection="1" applyAlignment="1">
      <alignment horizontal="center" vertical="center"/>
    </xf>
    <xf numFmtId="205" applyNumberFormat="1" fontId="40" applyFont="1" fillId="14" applyFill="1" borderId="7" applyBorder="1" xfId="5813" applyProtection="1" applyAlignment="1">
      <alignment vertical="center"/>
    </xf>
    <xf numFmtId="0" applyNumberFormat="1" fontId="32" applyFont="1" fillId="0" applyFill="1" borderId="50" applyBorder="1" xfId="11648" applyProtection="1" applyAlignment="1">
      <alignment horizontal="center" vertical="center"/>
    </xf>
    <xf numFmtId="0" applyNumberFormat="1" fontId="35" applyFont="1" fillId="5" applyFill="1" borderId="29" applyBorder="1" xfId="0" applyProtection="1" applyAlignment="1">
      <alignment horizontal="center" vertical="center"/>
    </xf>
    <xf numFmtId="0" applyNumberFormat="1" fontId="32" applyFont="1" fillId="5" applyFill="1" borderId="29" applyBorder="1" xfId="11648" applyProtection="1" applyAlignment="1">
      <alignment horizontal="center" vertical="center"/>
    </xf>
    <xf numFmtId="205" applyNumberFormat="1" fontId="35" applyFont="1" fillId="5" applyFill="1" borderId="29" applyBorder="1" xfId="5548" applyProtection="1" applyAlignment="1">
      <alignment horizontal="left" vertical="center"/>
    </xf>
    <xf numFmtId="43" applyNumberFormat="1" fontId="32" applyFont="1" fillId="0" applyFill="1" borderId="0" applyBorder="1" xfId="0" applyProtection="1" applyAlignment="1">
      <alignment vertical="center"/>
    </xf>
    <xf numFmtId="0" applyNumberFormat="1" fontId="60" applyFont="1" fillId="5" applyFill="1" borderId="0" applyBorder="1" xfId="7905" applyProtection="1" applyAlignment="1">
      <alignment horizontal="center" vertical="center"/>
      <protection hidden="1"/>
    </xf>
    <xf numFmtId="49" applyNumberFormat="1" fontId="60" applyFont="1" fillId="5" applyFill="1" borderId="0" applyBorder="1" xfId="7905" applyProtection="1" applyAlignment="1">
      <alignment horizontal="center" vertical="center"/>
      <protection hidden="1"/>
    </xf>
    <xf numFmtId="205" applyNumberFormat="1" fontId="39" applyFont="1" fillId="5" applyFill="1" borderId="0" applyBorder="1" xfId="3647" applyProtection="1" applyAlignment="1">
      <alignment horizontal="center" vertical="center"/>
      <protection hidden="1"/>
    </xf>
    <xf numFmtId="0" applyNumberFormat="1" fontId="39" applyFont="1" fillId="5" applyFill="1" borderId="0" applyBorder="1" xfId="10625" applyProtection="1" applyAlignment="1">
      <alignment horizontal="center" vertical="center"/>
    </xf>
    <xf numFmtId="43" applyNumberFormat="1" fontId="32" applyFont="1" fillId="0" applyFill="1" borderId="0" applyBorder="1" xfId="3647" applyProtection="1" applyAlignment="1">
      <alignment vertical="center"/>
    </xf>
    <xf numFmtId="43" applyNumberFormat="1" fontId="32" applyFont="1" fillId="0" applyFill="1" borderId="0" applyBorder="1" xfId="3647" applyProtection="1" applyAlignment="1">
      <alignment vertical="center"/>
    </xf>
    <xf numFmtId="41" applyNumberFormat="1" fontId="39" applyFont="1" fillId="9" applyFill="1" borderId="23" applyBorder="1" xfId="10625" applyProtection="1" applyAlignment="1">
      <alignment horizontal="center" vertical="center" wrapText="1"/>
    </xf>
    <xf numFmtId="205" applyNumberFormat="1" fontId="40" applyFont="1" fillId="14" applyFill="1" borderId="8" applyBorder="1" xfId="5813" applyProtection="1" applyAlignment="1">
      <alignment vertical="center"/>
    </xf>
    <xf numFmtId="205" applyNumberFormat="1" fontId="40" applyFont="1" fillId="14" applyFill="1" borderId="8" applyBorder="1" xfId="5813" applyProtection="1" applyAlignment="1">
      <alignment vertical="center"/>
      <protection hidden="1"/>
    </xf>
    <xf numFmtId="0" applyNumberFormat="1" fontId="61" applyFont="1" fillId="0" applyFill="1" borderId="0" applyBorder="1" xfId="0" applyProtection="1" applyAlignment="1">
      <alignment vertical="center"/>
    </xf>
    <xf numFmtId="0" applyNumberFormat="1" fontId="39" applyFont="1" fillId="5" applyFill="1" borderId="0" applyBorder="1" xfId="12238" applyProtection="1" applyAlignment="1">
      <alignment horizontal="center" vertical="center"/>
      <protection hidden="1"/>
    </xf>
    <xf numFmtId="41" applyNumberFormat="1" fontId="39" applyFont="1" fillId="5" applyFill="1" borderId="0" applyBorder="1" xfId="10625" applyProtection="1" applyAlignment="1">
      <alignment horizontal="center" vertical="center"/>
    </xf>
    <xf numFmtId="0" applyNumberFormat="1" fontId="39" applyFont="1" fillId="5" applyFill="1" borderId="0" applyBorder="1" xfId="10543" applyProtection="1" applyAlignment="1">
      <alignment horizontal="center" vertical="center"/>
    </xf>
    <xf numFmtId="41" applyNumberFormat="1" fontId="41" applyFont="1" fillId="5" applyFill="1" borderId="0" applyBorder="1" xfId="10543" applyProtection="1" applyAlignment="1">
      <alignment horizontal="center" vertical="center"/>
    </xf>
    <xf numFmtId="0" applyNumberFormat="1" fontId="41" applyFont="1" fillId="5" applyFill="1" borderId="0" applyBorder="1" xfId="9661" applyProtection="1" applyAlignment="1">
      <alignment horizontal="center" vertical="center"/>
      <protection hidden="1"/>
    </xf>
    <xf numFmtId="9" applyNumberFormat="1" fontId="39" applyFont="1" fillId="9" applyFill="1" borderId="23" applyBorder="1" xfId="4951" applyProtection="1" applyAlignment="1">
      <alignment horizontal="center" vertical="center" wrapText="1"/>
    </xf>
    <xf numFmtId="41" applyNumberFormat="1" fontId="39" applyFont="1" fillId="9" applyFill="1" borderId="23" applyBorder="1" xfId="3892" applyProtection="1" applyAlignment="1">
      <alignment horizontal="center" vertical="center" wrapText="1"/>
      <protection hidden="1"/>
    </xf>
    <xf numFmtId="41" applyNumberFormat="1" fontId="39" applyFont="1" fillId="9" applyFill="1" borderId="30" applyBorder="1" xfId="3892" applyProtection="1" applyAlignment="1">
      <alignment horizontal="center" vertical="center" wrapText="1"/>
      <protection hidden="1"/>
    </xf>
    <xf numFmtId="41" applyNumberFormat="1" fontId="32" applyFont="1" fillId="14" applyFill="1" borderId="8" applyBorder="1" xfId="5352" applyProtection="1" applyAlignment="1">
      <alignment vertical="center"/>
      <protection hidden="1"/>
    </xf>
    <xf numFmtId="41" applyNumberFormat="1" fontId="32" applyFont="1" fillId="14" applyFill="1" borderId="8" applyBorder="1" xfId="11648" applyProtection="1" applyAlignment="1">
      <alignment vertical="center"/>
    </xf>
    <xf numFmtId="260" applyNumberFormat="1" fontId="32" applyFont="1" fillId="14" applyFill="1" borderId="8" applyBorder="1" xfId="11648" applyProtection="1" applyAlignment="1">
      <alignment horizontal="center" vertical="center"/>
    </xf>
    <xf numFmtId="260" applyNumberFormat="1" fontId="32" applyFont="1" fillId="14" applyFill="1" borderId="31" applyBorder="1" xfId="11648" applyProtection="1" applyAlignment="1">
      <alignment horizontal="center" vertical="center"/>
    </xf>
    <xf numFmtId="260" applyNumberFormat="1" fontId="32" applyFont="1" fillId="5" applyFill="1" borderId="29" applyBorder="1" xfId="11648" applyProtection="1" applyAlignment="1">
      <alignment horizontal="center" vertical="center"/>
    </xf>
    <xf numFmtId="260" applyNumberFormat="1" fontId="32" applyFont="1" fillId="5" applyFill="1" borderId="32" applyBorder="1" xfId="11648" applyProtection="1" applyAlignment="1">
      <alignment horizontal="center" vertical="center"/>
    </xf>
    <xf numFmtId="9" applyNumberFormat="1" fontId="39" applyFont="1" fillId="5" applyFill="1" borderId="0" applyBorder="1" xfId="4951" applyProtection="1" applyAlignment="1">
      <alignment horizontal="center" vertical="center"/>
    </xf>
    <xf numFmtId="41" applyNumberFormat="1" fontId="39" applyFont="1" fillId="5" applyFill="1" borderId="0" applyBorder="1" xfId="3892" applyProtection="1" applyAlignment="1">
      <alignment horizontal="center" vertical="center"/>
      <protection hidden="1"/>
    </xf>
    <xf numFmtId="0" applyNumberFormat="1" fontId="32" applyFont="1" fillId="5" applyFill="1" borderId="8" applyBorder="1" xfId="11648" applyProtection="1" applyAlignment="1">
      <alignment horizontal="center" vertical="center"/>
    </xf>
    <xf numFmtId="0" applyNumberFormat="1" fontId="32" applyFont="1" fillId="4" applyFill="1" borderId="49" applyBorder="1" xfId="11648" applyProtection="1" applyAlignment="1">
      <alignment horizontal="center" vertical="center"/>
    </xf>
    <xf numFmtId="205" applyNumberFormat="1" fontId="21" applyFont="1" fillId="0" applyFill="1" borderId="13" applyBorder="1" xfId="3647" applyProtection="1" applyAlignment="1">
      <alignment vertical="center"/>
    </xf>
    <xf numFmtId="41" applyNumberFormat="1" fontId="35" applyFont="1" fillId="5" applyFill="1" borderId="29" applyBorder="1" xfId="5548" applyProtection="1" applyAlignment="1">
      <alignment horizontal="left" vertical="center"/>
    </xf>
    <xf numFmtId="0" applyNumberFormat="1" fontId="62" applyFont="1" fillId="0" applyFill="1" borderId="16" applyBorder="1" xfId="10462" applyProtection="1" applyAlignment="1">
      <alignment horizontal="left" vertical="center"/>
    </xf>
    <xf numFmtId="0" applyNumberFormat="1" fontId="32" applyFont="1" fillId="0" applyFill="1" borderId="18" applyBorder="1" xfId="11648" applyProtection="1" applyAlignment="1">
      <alignment horizontal="center" vertical="center"/>
    </xf>
    <xf numFmtId="0" applyNumberFormat="1" fontId="59" applyFont="1" fillId="0" applyFill="1" borderId="16" applyBorder="1" xfId="10462" applyProtection="1" applyAlignment="1">
      <alignment horizontal="left" vertical="center"/>
    </xf>
    <xf numFmtId="0" applyNumberFormat="1" fontId="32" applyFont="1" fillId="5" applyFill="1" borderId="49" applyBorder="1" xfId="11648" applyProtection="1" applyAlignment="1">
      <alignment horizontal="center" vertical="center"/>
    </xf>
    <xf numFmtId="205" applyNumberFormat="1" fontId="40" applyFont="1" fillId="5" applyFill="1" borderId="7" applyBorder="1" xfId="5813" applyProtection="1" applyAlignment="1">
      <alignment vertical="center"/>
    </xf>
    <xf numFmtId="0" applyNumberFormat="1" fontId="32" applyFont="1" fillId="5" applyFill="1" borderId="35" applyBorder="1" xfId="11648" applyProtection="1" applyAlignment="1">
      <alignment horizontal="center" vertical="center"/>
    </xf>
    <xf numFmtId="0" applyNumberFormat="1" fontId="21" applyFont="1" fillId="5" applyFill="1" borderId="13" applyBorder="1" xfId="0" applyProtection="1" applyAlignment="1">
      <alignment horizontal="center" vertical="center"/>
    </xf>
    <xf numFmtId="0" applyNumberFormat="1" fontId="59" applyFont="1" fillId="0" applyFill="1" borderId="13" applyBorder="1" xfId="10462" applyProtection="1" applyAlignment="1">
      <alignment horizontal="left" vertical="center"/>
    </xf>
    <xf numFmtId="0" applyNumberFormat="1" fontId="59" applyFont="1" fillId="0" applyFill="1" borderId="16" applyBorder="1" xfId="11648" applyProtection="1" applyAlignment="1">
      <alignment horizontal="left" vertical="center"/>
    </xf>
    <xf numFmtId="0" applyNumberFormat="1" fontId="62" applyFont="1" fillId="5" applyFill="1" borderId="16" applyBorder="1" xfId="10462" applyProtection="1" applyAlignment="1">
      <alignment horizontal="left" vertical="center"/>
    </xf>
    <xf numFmtId="0" applyNumberFormat="1" fontId="32" applyFont="1" fillId="5" applyFill="1" borderId="50" applyBorder="1" xfId="11648" applyProtection="1" applyAlignment="1">
      <alignment horizontal="center" vertical="center"/>
    </xf>
    <xf numFmtId="0" applyNumberFormat="1" fontId="21" applyFont="1" fillId="5" applyFill="1" borderId="29" applyBorder="1" xfId="0" applyProtection="1" applyAlignment="1">
      <alignment vertical="center"/>
    </xf>
    <xf numFmtId="0" applyNumberFormat="1" fontId="32" applyFont="1" fillId="4" applyFill="1" borderId="0" applyBorder="1" xfId="11648" applyProtection="1" applyAlignment="1">
      <alignment vertical="center"/>
    </xf>
    <xf numFmtId="205" applyNumberFormat="1" fontId="40" applyFont="1" fillId="15" applyFill="1" borderId="8" applyBorder="1" xfId="5813" applyProtection="1" applyAlignment="1">
      <alignment vertical="center"/>
      <protection hidden="1"/>
    </xf>
    <xf numFmtId="205" applyNumberFormat="1" fontId="21" applyFont="1" fillId="15" applyFill="1" borderId="8" applyBorder="1" xfId="3647" applyProtection="1" applyAlignment="1">
      <alignment vertical="center"/>
    </xf>
    <xf numFmtId="205" applyNumberFormat="1" fontId="21" applyFont="1" fillId="5" applyFill="1" borderId="13" applyBorder="1" xfId="3647" applyProtection="1" applyAlignment="1">
      <alignment vertical="center"/>
    </xf>
    <xf numFmtId="205" applyNumberFormat="1" fontId="40" applyFont="1" fillId="5" applyFill="1" borderId="8" applyBorder="1" xfId="5813" applyProtection="1" applyAlignment="1">
      <alignment vertical="center"/>
    </xf>
    <xf numFmtId="205" applyNumberFormat="1" fontId="40" applyFont="1" fillId="5" applyFill="1" borderId="8" applyBorder="1" xfId="5813" applyProtection="1" applyAlignment="1">
      <alignment vertical="center"/>
      <protection hidden="1"/>
    </xf>
    <xf numFmtId="264" applyNumberFormat="1" fontId="32" applyFont="1" fillId="0" applyFill="1" borderId="0" applyBorder="1" xfId="11648" applyProtection="1" applyAlignment="1">
      <alignment vertical="center"/>
    </xf>
    <xf numFmtId="41" applyNumberFormat="1" fontId="32" applyFont="1" fillId="5" applyFill="1" borderId="8" applyBorder="1" xfId="5352" applyProtection="1" applyAlignment="1">
      <alignment vertical="center"/>
      <protection hidden="1"/>
    </xf>
    <xf numFmtId="260" applyNumberFormat="1" fontId="32" applyFont="1" fillId="5" applyFill="1" borderId="8" applyBorder="1" xfId="11648" applyProtection="1" applyAlignment="1">
      <alignment horizontal="center" vertical="center"/>
    </xf>
    <xf numFmtId="260" applyNumberFormat="1" fontId="32" applyFont="1" fillId="5" applyFill="1" borderId="31" applyBorder="1" xfId="11648" applyProtection="1" applyAlignment="1">
      <alignment horizontal="center" vertical="center"/>
    </xf>
    <xf numFmtId="264" applyNumberFormat="1" fontId="32" applyFont="1" fillId="5" applyFill="1" borderId="0" applyBorder="1" xfId="0" applyProtection="1" applyAlignment="1">
      <alignment vertical="center"/>
    </xf>
    <xf numFmtId="264" applyNumberFormat="1" fontId="32" applyFont="1" fillId="5" applyFill="1" borderId="0" applyBorder="1" xfId="0" applyProtection="1" applyAlignment="1">
      <alignment vertical="center"/>
    </xf>
    <xf numFmtId="205" applyNumberFormat="1" fontId="37" applyFont="1" fillId="4" applyFill="1" borderId="32" applyBorder="1" xfId="3647" applyProtection="1" applyAlignment="1">
      <alignment horizontal="center" vertical="center"/>
    </xf>
    <xf numFmtId="0" applyNumberFormat="1" fontId="32" applyFont="1" fillId="0" applyFill="1" borderId="0" applyBorder="1" xfId="0" applyProtection="1" applyAlignment="1">
      <alignment vertical="center"/>
    </xf>
    <xf numFmtId="205" applyNumberFormat="1" fontId="63" applyFont="1" fillId="5" applyFill="1" borderId="0" applyBorder="1" xfId="5548" applyProtection="1" applyAlignment="1">
      <alignment horizontal="left" vertical="center"/>
    </xf>
    <xf numFmtId="43" applyNumberFormat="1" fontId="32" applyFont="1" fillId="0" applyFill="1" borderId="0" applyBorder="1" xfId="0" applyProtection="1" applyAlignment="1">
      <alignment vertical="center"/>
    </xf>
    <xf numFmtId="0" applyNumberFormat="1" fontId="60" applyFont="1" fillId="0" applyFill="1" borderId="0" applyBorder="1" xfId="7905" applyProtection="1" applyAlignment="1">
      <alignment horizontal="center" vertical="center"/>
      <protection hidden="1"/>
    </xf>
    <xf numFmtId="49" applyNumberFormat="1" fontId="60" applyFont="1" fillId="0" applyFill="1" borderId="0" applyBorder="1" xfId="7905" applyProtection="1" applyAlignment="1">
      <alignment horizontal="center" vertical="center"/>
      <protection hidden="1"/>
    </xf>
    <xf numFmtId="205" applyNumberFormat="1" fontId="39" applyFont="1" fillId="0" applyFill="1" borderId="0" applyBorder="1" xfId="3647" applyProtection="1" applyAlignment="1">
      <alignment horizontal="center" vertical="center"/>
      <protection hidden="1"/>
    </xf>
    <xf numFmtId="0" applyNumberFormat="1" fontId="39" applyFont="1" fillId="0" applyFill="1" borderId="0" applyBorder="1" xfId="10625" applyProtection="1" applyAlignment="1">
      <alignment horizontal="center" vertical="center"/>
    </xf>
    <xf numFmtId="0" applyNumberFormat="1" fontId="39" applyFont="1" fillId="7" applyFill="1" borderId="51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52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52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52" applyBorder="1" xfId="3647" applyProtection="1" applyAlignment="1">
      <alignment horizontal="center" vertical="center" wrapText="1"/>
      <protection hidden="1"/>
    </xf>
    <xf numFmtId="0" applyNumberFormat="1" fontId="39" applyFont="1" fillId="7" applyFill="1" borderId="52" applyBorder="1" xfId="10625" applyProtection="1" applyAlignment="1">
      <alignment horizontal="center" vertical="center" wrapText="1"/>
    </xf>
    <xf numFmtId="0" applyNumberFormat="1" fontId="32" applyFont="1" fillId="0" applyFill="1" borderId="35" applyBorder="1" xfId="11648" applyProtection="1" applyAlignment="1">
      <alignment horizontal="center" vertical="center"/>
    </xf>
    <xf numFmtId="0" applyNumberFormat="1" fontId="30" applyFont="1" fillId="0" applyFill="1" borderId="8" applyBorder="1" xfId="0" applyProtection="1" applyAlignment="1">
      <alignment horizontal="center" vertical="center"/>
    </xf>
    <xf numFmtId="0" applyNumberFormat="1" fontId="32" applyFont="1" fillId="0" applyFill="1" borderId="6" applyBorder="1" xfId="11648" applyProtection="1" applyAlignment="1">
      <alignment horizontal="left" vertical="center"/>
    </xf>
    <xf numFmtId="205" applyNumberFormat="1" fontId="32" applyFont="1" fillId="0" applyFill="1" borderId="8" applyBorder="1" xfId="5548" applyProtection="1" applyAlignment="1">
      <alignment horizontal="center" vertical="center"/>
    </xf>
    <xf numFmtId="205" applyNumberFormat="1" fontId="40" applyFont="1" fillId="0" applyFill="1" borderId="7" applyBorder="1" xfId="5813" applyProtection="1" applyAlignment="1">
      <alignment horizontal="center" vertical="center"/>
    </xf>
    <xf numFmtId="0" applyNumberFormat="1" fontId="61" applyFont="1" fillId="0" applyFill="1" borderId="0" applyBorder="1" xfId="0" applyProtection="1" applyAlignment="1">
      <alignment vertical="center"/>
    </xf>
    <xf numFmtId="0" applyNumberFormat="1" fontId="39" applyFont="1" fillId="0" applyFill="1" borderId="0" applyBorder="1" xfId="12238" applyProtection="1" applyAlignment="1">
      <alignment horizontal="center" vertical="center"/>
      <protection hidden="1"/>
    </xf>
    <xf numFmtId="41" applyNumberFormat="1" fontId="39" applyFont="1" fillId="0" applyFill="1" borderId="0" applyBorder="1" xfId="10625" applyProtection="1" applyAlignment="1">
      <alignment horizontal="center" vertical="center"/>
    </xf>
    <xf numFmtId="0" applyNumberFormat="1" fontId="39" applyFont="1" fillId="0" applyFill="1" borderId="0" applyBorder="1" xfId="10543" applyProtection="1" applyAlignment="1">
      <alignment horizontal="center" vertical="center"/>
    </xf>
    <xf numFmtId="41" applyNumberFormat="1" fontId="64" applyFont="1" fillId="0" applyFill="1" borderId="0" applyBorder="1" xfId="10543" applyProtection="1" applyAlignment="1">
      <alignment horizontal="center" vertical="center"/>
    </xf>
    <xf numFmtId="0" applyNumberFormat="1" fontId="64" applyFont="1" fillId="0" applyFill="1" borderId="0" applyBorder="1" xfId="9661" applyProtection="1" applyAlignment="1">
      <alignment horizontal="center" vertical="center"/>
      <protection hidden="1"/>
    </xf>
    <xf numFmtId="0" applyNumberFormat="1" fontId="39" applyFont="1" fillId="8" applyFill="1" borderId="52" applyBorder="1" xfId="12238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52" applyBorder="1" xfId="10625" applyProtection="1" applyAlignment="1">
      <alignment horizontal="center" vertical="center" wrapText="1"/>
    </xf>
    <xf numFmtId="0" applyNumberFormat="1" fontId="39" applyFont="1" fillId="9" applyFill="1" borderId="52" applyBorder="1" xfId="10543" applyProtection="1" applyAlignment="1">
      <alignment horizontal="center" vertical="center" wrapText="1"/>
    </xf>
    <xf numFmtId="41" applyNumberFormat="1" fontId="64" applyFont="1" fillId="9" applyFill="1" borderId="52" applyBorder="1" xfId="10543" applyProtection="1" applyAlignment="1">
      <alignment horizontal="center" vertical="center" wrapText="1"/>
    </xf>
    <xf numFmtId="0" applyNumberFormat="1" fontId="64" applyFont="1" fillId="9" applyFill="1" borderId="52" applyBorder="1" xfId="9661" applyProtection="1" applyAlignment="1">
      <alignment horizontal="center" vertical="center" wrapText="1"/>
      <protection hidden="1"/>
    </xf>
    <xf numFmtId="205" applyNumberFormat="1" fontId="40" applyFont="1" fillId="0" applyFill="1" borderId="8" applyBorder="1" xfId="5813" applyProtection="1" applyAlignment="1">
      <alignment horizontal="center" vertical="center"/>
    </xf>
    <xf numFmtId="205" applyNumberFormat="1" fontId="40" applyFont="1" fillId="0" applyFill="1" borderId="8" applyBorder="1" xfId="5813" applyProtection="1" applyAlignment="1">
      <alignment horizontal="center" vertical="center"/>
      <protection hidden="1"/>
    </xf>
    <xf numFmtId="9" applyNumberFormat="1" fontId="39" applyFont="1" fillId="0" applyFill="1" borderId="0" applyBorder="1" xfId="4951" applyProtection="1" applyAlignment="1">
      <alignment horizontal="center" vertical="center"/>
    </xf>
    <xf numFmtId="41" applyNumberFormat="1" fontId="39" applyFont="1" fillId="0" applyFill="1" borderId="0" applyBorder="1" xfId="3892" applyProtection="1" applyAlignment="1">
      <alignment horizontal="center" vertical="center"/>
      <protection hidden="1"/>
    </xf>
    <xf numFmtId="264" applyNumberFormat="1" fontId="32" applyFont="1" fillId="0" applyFill="1" borderId="0" applyBorder="1" xfId="0" applyProtection="1" applyAlignment="1">
      <alignment vertical="center"/>
    </xf>
    <xf numFmtId="9" applyNumberFormat="1" fontId="39" applyFont="1" fillId="7" applyFill="1" borderId="52" applyBorder="1" xfId="4951" applyProtection="1" applyAlignment="1">
      <alignment horizontal="center" vertical="center" wrapText="1"/>
    </xf>
    <xf numFmtId="41" applyNumberFormat="1" fontId="39" applyFont="1" fillId="7" applyFill="1" borderId="52" applyBorder="1" xfId="3892" applyProtection="1" applyAlignment="1">
      <alignment horizontal="center" vertical="center" wrapText="1"/>
      <protection hidden="1"/>
    </xf>
    <xf numFmtId="41" applyNumberFormat="1" fontId="39" applyFont="1" fillId="7" applyFill="1" borderId="55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8" applyBorder="1" xfId="5352" applyProtection="1" applyAlignment="1">
      <alignment horizontal="center" vertical="center"/>
      <protection hidden="1"/>
    </xf>
    <xf numFmtId="41" applyNumberFormat="1" fontId="32" applyFont="1" fillId="0" applyFill="1" borderId="8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center" vertical="center"/>
    </xf>
    <xf numFmtId="205" applyNumberFormat="1" fontId="37" applyFont="1" fillId="0" applyFill="1" borderId="56" applyBorder="1" xfId="3647" applyProtection="1" applyAlignment="1">
      <alignment vertical="center"/>
    </xf>
    <xf numFmtId="41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12" applyFill="1" borderId="0" applyBorder="1" xfId="0" applyProtection="1" applyAlignment="1">
      <alignment horizontal="center" vertical="center"/>
    </xf>
    <xf numFmtId="205" applyNumberFormat="1" fontId="65" applyFont="1" fillId="0" applyFill="1" borderId="0" applyBorder="1" xfId="5548" applyProtection="1" applyAlignment="1">
      <alignment horizontal="left" vertical="center"/>
    </xf>
    <xf numFmtId="0" applyNumberFormat="1" fontId="30" applyFont="1" fillId="12" applyFill="1" borderId="8" applyBorder="1" xfId="0" applyProtection="1" applyAlignment="1">
      <alignment horizontal="center" vertical="center"/>
    </xf>
    <xf numFmtId="0" applyNumberFormat="1" fontId="32" applyFont="1" fillId="12" applyFill="1" borderId="6" applyBorder="1" xfId="11648" applyProtection="1" applyAlignment="1">
      <alignment horizontal="left" vertical="center"/>
    </xf>
    <xf numFmtId="205" applyNumberFormat="1" fontId="32" applyFont="1" fillId="12" applyFill="1" borderId="8" applyBorder="1" xfId="5548" applyProtection="1" applyAlignment="1">
      <alignment horizontal="center" vertical="center"/>
    </xf>
    <xf numFmtId="205" applyNumberFormat="1" fontId="40" applyFont="1" fillId="12" applyFill="1" borderId="7" applyBorder="1" xfId="5813" applyProtection="1" applyAlignment="1">
      <alignment horizontal="center" vertical="center"/>
    </xf>
    <xf numFmtId="205" applyNumberFormat="1" fontId="40" applyFont="1" fillId="12" applyFill="1" borderId="8" applyBorder="1" xfId="5813" applyProtection="1" applyAlignment="1">
      <alignment horizontal="center" vertical="center"/>
    </xf>
    <xf numFmtId="205" applyNumberFormat="1" fontId="40" applyFont="1" fillId="12" applyFill="1" borderId="8" applyBorder="1" xfId="5813" applyProtection="1" applyAlignment="1">
      <alignment horizontal="center" vertical="center"/>
      <protection hidden="1"/>
    </xf>
    <xf numFmtId="41" applyNumberFormat="1" fontId="32" applyFont="1" fillId="12" applyFill="1" borderId="8" applyBorder="1" xfId="5352" applyProtection="1" applyAlignment="1">
      <alignment horizontal="center" vertical="center"/>
      <protection hidden="1"/>
    </xf>
    <xf numFmtId="41" applyNumberFormat="1" fontId="32" applyFont="1" fillId="12" applyFill="1" borderId="8" applyBorder="1" xfId="11648" applyProtection="1" applyAlignment="1">
      <alignment horizontal="center" vertical="center"/>
    </xf>
    <xf numFmtId="205" applyNumberFormat="1" fontId="32" applyFont="1" fillId="12" applyFill="1" borderId="0" applyBorder="1" xfId="0" applyProtection="1" applyAlignment="1">
      <alignment horizontal="center" vertical="center"/>
    </xf>
    <xf numFmtId="264" applyNumberFormat="1" fontId="32" applyFont="1" fillId="12" applyFill="1" borderId="0" applyBorder="1" xfId="0" applyProtection="1" applyAlignment="1">
      <alignment horizontal="center" vertical="center"/>
    </xf>
    <xf numFmtId="0" applyNumberFormat="1" fontId="32" applyFont="1" fillId="4" applyFill="1" borderId="35" applyBorder="1" xfId="11648" applyProtection="1" applyAlignment="1">
      <alignment horizontal="center" vertical="center"/>
    </xf>
    <xf numFmtId="0" applyNumberFormat="1" fontId="30" applyFont="1" fillId="0" applyFill="1" borderId="8" applyBorder="1" xfId="0" applyProtection="1" applyAlignment="1">
      <alignment horizontal="center" vertical="center"/>
    </xf>
    <xf numFmtId="0" applyNumberFormat="1" fontId="32" applyFont="1" fillId="0" applyFill="1" borderId="6" applyBorder="1" xfId="11648" applyProtection="1" applyAlignment="1">
      <alignment horizontal="left" vertical="center"/>
    </xf>
    <xf numFmtId="0" applyNumberFormat="1" fontId="32" applyFont="1" fillId="4" applyFill="1" borderId="8" applyBorder="1" xfId="11648" applyProtection="1" applyAlignment="1">
      <alignment horizontal="center" vertical="center"/>
    </xf>
    <xf numFmtId="0" applyNumberFormat="1" fontId="32" applyFont="1" fillId="0" applyFill="1" borderId="57" applyBorder="1" xfId="11648" applyProtection="1" applyAlignment="1">
      <alignment horizontal="center" vertical="center"/>
    </xf>
    <xf numFmtId="0" applyNumberFormat="1" fontId="30" applyFont="1" fillId="0" applyFill="1" borderId="21" applyBorder="1" xfId="0" applyProtection="1" applyAlignment="1">
      <alignment horizontal="center" vertical="center"/>
    </xf>
    <xf numFmtId="0" applyNumberFormat="1" fontId="32" applyFont="1" fillId="0" applyFill="1" borderId="21" applyBorder="1" xfId="11648" applyProtection="1" applyAlignment="1">
      <alignment horizontal="center" vertical="center"/>
    </xf>
    <xf numFmtId="0" applyNumberFormat="1" fontId="32" applyFont="1" fillId="0" applyFill="1" borderId="58" applyBorder="1" xfId="11648" applyProtection="1" applyAlignment="1">
      <alignment horizontal="center" vertical="center"/>
    </xf>
    <xf numFmtId="205" applyNumberFormat="1" fontId="32" applyFont="1" fillId="0" applyFill="1" borderId="21" applyBorder="1" xfId="5548" applyProtection="1" applyAlignment="1">
      <alignment horizontal="center" vertical="center"/>
    </xf>
    <xf numFmtId="205" applyNumberFormat="1" fontId="40" applyFont="1" fillId="0" applyFill="1" borderId="46" applyBorder="1" xfId="5813" applyProtection="1" applyAlignment="1">
      <alignment horizontal="center" vertical="center"/>
    </xf>
    <xf numFmtId="0" applyNumberFormat="1" fontId="32" applyFont="1" fillId="0" applyFill="1" borderId="13" applyBorder="1" xfId="11648" applyProtection="1" applyAlignment="1">
      <alignment horizontal="left" vertical="center"/>
    </xf>
    <xf numFmtId="205" applyNumberFormat="1" fontId="32" applyFont="1" fillId="0" applyFill="1" borderId="13" applyBorder="1" xfId="5548" applyProtection="1" applyAlignment="1">
      <alignment horizontal="center" vertical="center"/>
    </xf>
    <xf numFmtId="205" applyNumberFormat="1" fontId="40" applyFont="1" fillId="0" applyFill="1" borderId="13" applyBorder="1" xfId="5813" applyProtection="1" applyAlignment="1">
      <alignment horizontal="center" vertical="center"/>
    </xf>
    <xf numFmtId="205" applyNumberFormat="1" fontId="37" applyFont="1" fillId="0" applyFill="1" borderId="59" applyBorder="1" xfId="3647" applyProtection="1" applyAlignment="1">
      <alignment vertical="center"/>
    </xf>
    <xf numFmtId="205" applyNumberFormat="1" fontId="40" applyFont="1" fillId="4" applyFill="1" borderId="8" applyBorder="1" xfId="5813" applyProtection="1" applyAlignment="1">
      <alignment horizontal="center" vertical="center"/>
      <protection hidden="1"/>
    </xf>
    <xf numFmtId="205" applyNumberFormat="1" fontId="40" applyFont="1" fillId="0" applyFill="1" borderId="21" applyBorder="1" xfId="5813" applyProtection="1" applyAlignment="1">
      <alignment horizontal="center" vertical="center"/>
    </xf>
    <xf numFmtId="205" applyNumberFormat="1" fontId="40" applyFont="1" fillId="0" applyFill="1" borderId="21" applyBorder="1" xfId="5813" applyProtection="1" applyAlignment="1">
      <alignment horizontal="center" vertical="center"/>
      <protection hidden="1"/>
    </xf>
    <xf numFmtId="205" applyNumberFormat="1" fontId="40" applyFont="1" fillId="0" applyFill="1" borderId="13" applyBorder="1" xfId="5813" applyProtection="1" applyAlignment="1">
      <alignment horizontal="center" vertical="center"/>
      <protection hidden="1"/>
    </xf>
    <xf numFmtId="41" applyNumberFormat="1" fontId="32" applyFont="1" fillId="4" applyFill="1" borderId="8" applyBorder="1" xfId="5352" applyProtection="1" applyAlignment="1">
      <alignment horizontal="center" vertical="center"/>
      <protection hidden="1"/>
    </xf>
    <xf numFmtId="41" applyNumberFormat="1" fontId="32" applyFont="1" fillId="4" applyFill="1" borderId="8" applyBorder="1" xfId="11648" applyProtection="1" applyAlignment="1">
      <alignment horizontal="center" vertical="center"/>
    </xf>
    <xf numFmtId="260" applyNumberFormat="1" fontId="32" applyFont="1" fillId="4" applyFill="1" borderId="8" applyBorder="1" xfId="11648" applyProtection="1" applyAlignment="1">
      <alignment horizontal="center" vertical="center"/>
    </xf>
    <xf numFmtId="260" applyNumberFormat="1" fontId="32" applyFont="1" fillId="4" applyFill="1" borderId="31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center" vertical="center"/>
    </xf>
    <xf numFmtId="41" applyNumberFormat="1" fontId="32" applyFont="1" fillId="0" applyFill="1" borderId="21" applyBorder="1" xfId="5352" applyProtection="1" applyAlignment="1">
      <alignment horizontal="center" vertical="center"/>
      <protection hidden="1"/>
    </xf>
    <xf numFmtId="41" applyNumberFormat="1" fontId="32" applyFont="1" fillId="0" applyFill="1" borderId="21" applyBorder="1" xfId="11648" applyProtection="1" applyAlignment="1">
      <alignment horizontal="center" vertical="center"/>
    </xf>
    <xf numFmtId="260" applyNumberFormat="1" fontId="32" applyFont="1" fillId="0" applyFill="1" borderId="21" applyBorder="1" xfId="11648" applyProtection="1" applyAlignment="1">
      <alignment horizontal="center" vertical="center"/>
    </xf>
    <xf numFmtId="260" applyNumberFormat="1" fontId="32" applyFont="1" fillId="0" applyFill="1" borderId="60" applyBorder="1" xfId="11648" applyProtection="1" applyAlignment="1">
      <alignment horizontal="center" vertical="center"/>
    </xf>
    <xf numFmtId="41" applyNumberFormat="1" fontId="32" applyFont="1" fillId="0" applyFill="1" borderId="13" applyBorder="1" xfId="5352" applyProtection="1" applyAlignment="1">
      <alignment horizontal="center" vertical="center"/>
      <protection hidden="1"/>
    </xf>
    <xf numFmtId="41" applyNumberFormat="1" fontId="32" applyFont="1" fillId="0" applyFill="1" borderId="13" applyBorder="1" xfId="11648" applyProtection="1" applyAlignment="1">
      <alignment horizontal="center" vertical="center"/>
    </xf>
    <xf numFmtId="205" applyNumberFormat="1" fontId="32" applyFont="1" fillId="0" applyFill="1" borderId="0" applyBorder="1" xfId="0" applyProtection="1" applyAlignment="1">
      <alignment horizontal="left" vertical="center"/>
    </xf>
    <xf numFmtId="205" applyNumberFormat="1" fontId="37" applyFont="1" fillId="0" applyFill="1" borderId="4" applyBorder="1" xfId="3647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vertical="center"/>
    </xf>
    <xf numFmtId="0" applyNumberFormat="1" fontId="39" applyFont="1" fillId="9" applyFill="1" borderId="51" applyBorder="1" xfId="7905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7905" applyProtection="1" applyAlignment="1">
      <alignment horizontal="center" vertical="center" wrapText="1"/>
      <protection hidden="1"/>
    </xf>
    <xf numFmtId="49" applyNumberFormat="1" fontId="39" applyFont="1" fillId="9" applyFill="1" borderId="52" applyBorder="1" xfId="7905" applyProtection="1" applyAlignment="1">
      <alignment horizontal="center" vertical="center" wrapText="1"/>
      <protection hidden="1"/>
    </xf>
    <xf numFmtId="205" applyNumberFormat="1" fontId="39" applyFont="1" fillId="9" applyFill="1" borderId="52" applyBorder="1" xfId="3647" applyProtection="1" applyAlignment="1">
      <alignment horizontal="center" vertical="center" wrapText="1"/>
      <protection hidden="1"/>
    </xf>
    <xf numFmtId="0" applyNumberFormat="1" fontId="39" applyFont="1" fillId="9" applyFill="1" borderId="52" applyBorder="1" xfId="10625" applyProtection="1" applyAlignment="1">
      <alignment horizontal="center" vertical="center" wrapText="1"/>
    </xf>
    <xf numFmtId="0" applyNumberFormat="1" fontId="32" applyFont="1" fillId="0" applyFill="1" borderId="61" applyBorder="1" xfId="11648" applyProtection="1" applyAlignment="1">
      <alignment horizontal="center" vertical="center"/>
    </xf>
    <xf numFmtId="0" applyNumberFormat="1" fontId="32" applyFont="1" fillId="0" applyFill="1" borderId="62" applyBorder="1" xfId="0" applyProtection="1" applyAlignment="1">
      <alignment horizontal="center" vertical="center"/>
    </xf>
    <xf numFmtId="0" applyNumberFormat="1" fontId="32" applyFont="1" fillId="0" applyFill="1" borderId="62" applyBorder="1" xfId="11648" applyProtection="1" applyAlignment="1">
      <alignment horizontal="center" vertical="center"/>
    </xf>
    <xf numFmtId="205" applyNumberFormat="1" fontId="32" applyFont="1" fillId="0" applyFill="1" borderId="62" applyBorder="1" xfId="3647" applyProtection="1" applyAlignment="1">
      <alignment vertical="center"/>
    </xf>
    <xf numFmtId="205" applyNumberFormat="1" fontId="40" applyFont="1" fillId="0" applyFill="1" borderId="62" applyBorder="1" xfId="5813" applyProtection="1" applyAlignment="1">
      <alignment vertical="center"/>
    </xf>
    <xf numFmtId="0" applyNumberFormat="1" fontId="33" applyFont="1" fillId="0" applyFill="1" borderId="13" applyBorder="1" xfId="0" applyProtection="1" applyAlignment="1">
      <alignment vertical="center"/>
    </xf>
    <xf numFmtId="205" applyNumberFormat="1" fontId="32" applyFont="1" fillId="0" applyFill="1" borderId="13" applyBorder="1" xfId="3647" applyProtection="1" applyAlignment="1">
      <alignment vertical="center"/>
    </xf>
    <xf numFmtId="41" applyNumberFormat="1" fontId="39" applyFont="1" fillId="9" applyFill="1" borderId="52" applyBorder="1" xfId="10625" applyProtection="1" applyAlignment="1">
      <alignment horizontal="center" vertical="center" wrapText="1"/>
    </xf>
    <xf numFmtId="205" applyNumberFormat="1" fontId="40" applyFont="1" fillId="0" applyFill="1" borderId="62" applyBorder="1" xfId="5813" applyProtection="1" applyAlignment="1">
      <alignment vertical="center"/>
      <protection hidden="1"/>
    </xf>
    <xf numFmtId="205" applyNumberFormat="1" fontId="40" applyFont="1" fillId="15" applyFill="1" borderId="62" applyBorder="1" xfId="3647" applyProtection="1" applyAlignment="1">
      <alignment vertical="center"/>
      <protection hidden="1"/>
    </xf>
    <xf numFmtId="205" applyNumberFormat="1" fontId="40" applyFont="1" fillId="0" applyFill="1" borderId="62" applyBorder="1" xfId="3647" applyProtection="1" applyAlignment="1">
      <alignment vertical="center"/>
      <protection hidden="1"/>
    </xf>
    <xf numFmtId="205" applyNumberFormat="1" fontId="40" applyFont="1" fillId="5" applyFill="1" borderId="13" applyBorder="1" xfId="3647" applyProtection="1" applyAlignment="1">
      <alignment vertical="center"/>
      <protection hidden="1"/>
    </xf>
    <xf numFmtId="205" applyNumberFormat="1" fontId="40" applyFont="1" fillId="0" applyFill="1" borderId="13" applyBorder="1" xfId="3647" applyProtection="1" applyAlignment="1">
      <alignment vertical="center"/>
      <protection hidden="1"/>
    </xf>
    <xf numFmtId="9" applyNumberFormat="1" fontId="39" applyFont="1" fillId="9" applyFill="1" borderId="52" applyBorder="1" xfId="4951" applyProtection="1" applyAlignment="1">
      <alignment horizontal="center" vertical="center" wrapText="1"/>
    </xf>
    <xf numFmtId="41" applyNumberFormat="1" fontId="39" applyFont="1" fillId="9" applyFill="1" borderId="52" applyBorder="1" xfId="3892" applyProtection="1" applyAlignment="1">
      <alignment horizontal="center" vertical="center" wrapText="1"/>
      <protection hidden="1"/>
    </xf>
    <xf numFmtId="41" applyNumberFormat="1" fontId="39" applyFont="1" fillId="9" applyFill="1" borderId="55" applyBorder="1" xfId="3892" applyProtection="1" applyAlignment="1">
      <alignment horizontal="center" vertical="center" wrapText="1"/>
      <protection hidden="1"/>
    </xf>
    <xf numFmtId="41" applyNumberFormat="1" fontId="32" applyFont="1" fillId="0" applyFill="1" borderId="62" applyBorder="1" xfId="5352" applyProtection="1" applyAlignment="1">
      <alignment vertical="center"/>
      <protection hidden="1"/>
    </xf>
    <xf numFmtId="41" applyNumberFormat="1" fontId="32" applyFont="1" fillId="0" applyFill="1" borderId="62" applyBorder="1" xfId="11648" applyProtection="1" applyAlignment="1">
      <alignment vertical="center"/>
    </xf>
    <xf numFmtId="260" applyNumberFormat="1" fontId="32" applyFont="1" fillId="0" applyFill="1" borderId="62" applyBorder="1" xfId="11648" applyProtection="1" applyAlignment="1">
      <alignment horizontal="center" vertical="center"/>
    </xf>
    <xf numFmtId="260" applyNumberFormat="1" fontId="32" applyFont="1" fillId="0" applyFill="1" borderId="63" applyBorder="1" xfId="11648" applyProtection="1" applyAlignment="1">
      <alignment horizontal="center" vertical="center"/>
    </xf>
    <xf numFmtId="264" applyNumberFormat="1" fontId="33" applyFont="1" fillId="0" applyFill="1" borderId="16" applyBorder="1" xfId="10462" applyProtection="1" applyAlignment="1">
      <alignment horizontal="center" vertical="center"/>
    </xf>
    <xf numFmtId="41" applyNumberFormat="1" fontId="37" applyFont="1" fillId="0" applyFill="1" borderId="41" applyBorder="1" xfId="3647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center" vertical="center"/>
    </xf>
    <xf numFmtId="0" applyNumberFormat="1" fontId="32" applyFont="1" fillId="4" applyFill="1" borderId="0" applyBorder="1" xfId="11648" applyProtection="1" applyAlignment="1">
      <alignment horizontal="left" vertical="center"/>
    </xf>
    <xf numFmtId="205" applyNumberFormat="1" fontId="32" applyFont="1" fillId="0" applyFill="1" borderId="0" applyBorder="1" xfId="3647" applyProtection="1" applyAlignment="1">
      <alignment vertical="center"/>
    </xf>
    <xf numFmtId="205" applyNumberFormat="1" fontId="32" applyFont="1" fillId="0" applyFill="1" borderId="0" applyBorder="1" xfId="0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vertical="center"/>
    </xf>
    <xf numFmtId="0" applyNumberFormat="1" fontId="32" applyFont="1" fillId="5" applyFill="1" borderId="24" applyBorder="1" xfId="11648" applyProtection="1" applyAlignment="1">
      <alignment horizontal="center" vertical="center"/>
    </xf>
    <xf numFmtId="0" applyNumberFormat="1" fontId="33" applyFont="1" fillId="5" applyFill="1" borderId="13" applyBorder="1" xfId="0" applyProtection="1" applyAlignment="1">
      <alignment vertical="center"/>
    </xf>
    <xf numFmtId="0" applyNumberFormat="1" fontId="32" applyFont="1" fillId="0" applyFill="1" borderId="8" applyBorder="1" xfId="0" applyProtection="1" applyAlignment="1">
      <alignment horizontal="center" vertical="center"/>
    </xf>
    <xf numFmtId="205" applyNumberFormat="1" fontId="40" applyFont="1" fillId="5" applyFill="1" borderId="13" applyBorder="1" xfId="5813" applyProtection="1" applyAlignment="1">
      <alignment vertical="center"/>
    </xf>
    <xf numFmtId="0" applyNumberFormat="1" fontId="33" applyFont="1" fillId="0" applyFill="1" borderId="8" applyBorder="1" xfId="0" applyProtection="1" applyAlignment="1">
      <alignment vertical="center"/>
    </xf>
    <xf numFmtId="205" applyNumberFormat="1" fontId="32" applyFont="1" fillId="0" applyFill="1" borderId="8" applyBorder="1" xfId="3647" applyProtection="1" applyAlignment="1">
      <alignment vertical="center"/>
    </xf>
    <xf numFmtId="205" applyNumberFormat="1" fontId="37" applyFont="1" fillId="4" applyFill="1" borderId="38" applyBorder="1" xfId="3647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center" vertical="center"/>
    </xf>
    <xf numFmtId="205" applyNumberFormat="1" fontId="40" applyFont="1" fillId="5" applyFill="1" borderId="13" applyBorder="1" xfId="5813" applyProtection="1" applyAlignment="1">
      <alignment vertical="center"/>
      <protection hidden="1"/>
    </xf>
    <xf numFmtId="205" applyNumberFormat="1" fontId="40" applyFont="1" fillId="15" applyFill="1" borderId="18" applyBorder="1" xfId="3647" applyProtection="1" applyAlignment="1">
      <alignment vertical="center"/>
      <protection hidden="1"/>
    </xf>
    <xf numFmtId="205" applyNumberFormat="1" fontId="40" applyFont="1" fillId="15" applyFill="1" borderId="13" applyBorder="1" xfId="3647" applyProtection="1" applyAlignment="1">
      <alignment vertical="center"/>
      <protection hidden="1"/>
    </xf>
    <xf numFmtId="41" applyNumberFormat="1" fontId="32" applyFont="1" fillId="4" applyFill="1" borderId="18" applyBorder="1" xfId="5352" applyProtection="1" applyAlignment="1">
      <alignment vertical="center"/>
      <protection hidden="1"/>
    </xf>
    <xf numFmtId="264" applyNumberFormat="1" fontId="33" applyFont="1" fillId="5" applyFill="1" borderId="13" applyBorder="1" xfId="10462" applyProtection="1" applyAlignment="1">
      <alignment horizontal="center" vertical="center"/>
    </xf>
    <xf numFmtId="260" applyNumberFormat="1" fontId="32" applyFont="1" fillId="5" applyFill="1" borderId="13" applyBorder="1" xfId="11648" applyProtection="1" applyAlignment="1">
      <alignment horizontal="center" vertical="center"/>
    </xf>
    <xf numFmtId="264" applyNumberFormat="1" fontId="33" applyFont="1" fillId="0" applyFill="1" borderId="13" applyBorder="1" xfId="10462" applyProtection="1" applyAlignment="1">
      <alignment horizontal="center" vertical="center"/>
    </xf>
    <xf numFmtId="41" applyNumberFormat="1" fontId="32" applyFont="1" fillId="4" applyFill="1" borderId="38" applyBorder="1" xfId="11648" applyProtection="1" applyAlignment="1">
      <alignment horizontal="center" vertical="center"/>
    </xf>
    <xf numFmtId="41" applyNumberFormat="1" fontId="32" applyFont="1" fillId="4" applyFill="1" borderId="56" applyBorder="1" xfId="11648" applyProtection="1" applyAlignment="1">
      <alignment horizontal="center" vertical="center"/>
    </xf>
    <xf numFmtId="0" applyNumberFormat="1" fontId="30" applyFont="1" fillId="0" applyFill="1" borderId="0" applyBorder="1" xfId="0" applyProtection="1" applyAlignment="1">
      <alignment vertical="center" wrapText="1"/>
    </xf>
    <xf numFmtId="0" applyNumberFormat="1" fontId="67" applyFont="1" fillId="7" applyFill="1" borderId="51" applyBorder="1" xfId="7905" applyProtection="1" applyAlignment="1">
      <alignment horizontal="center" vertical="center" wrapText="1"/>
      <protection hidden="1"/>
    </xf>
    <xf numFmtId="0" applyNumberFormat="1" fontId="67" applyFont="1" fillId="7" applyFill="1" borderId="52" applyBorder="1" xfId="7905" applyProtection="1" applyAlignment="1">
      <alignment horizontal="center" vertical="center" wrapText="1"/>
      <protection hidden="1"/>
    </xf>
    <xf numFmtId="49" applyNumberFormat="1" fontId="67" applyFont="1" fillId="7" applyFill="1" borderId="52" applyBorder="1" xfId="7905" applyProtection="1" applyAlignment="1">
      <alignment horizontal="center" vertical="center" wrapText="1"/>
      <protection hidden="1"/>
    </xf>
    <xf numFmtId="205" applyNumberFormat="1" fontId="67" applyFont="1" fillId="7" applyFill="1" borderId="52" applyBorder="1" xfId="3647" applyProtection="1" applyAlignment="1">
      <alignment horizontal="center" vertical="center" wrapText="1"/>
      <protection hidden="1"/>
    </xf>
    <xf numFmtId="0" applyNumberFormat="1" fontId="67" applyFont="1" fillId="7" applyFill="1" borderId="52" applyBorder="1" xfId="10625" applyProtection="1" applyAlignment="1">
      <alignment horizontal="center" vertical="center" wrapText="1"/>
    </xf>
    <xf numFmtId="0" applyNumberFormat="1" fontId="33" applyFont="1" fillId="0" applyFill="1" borderId="8" applyBorder="1" xfId="11648" applyProtection="1" applyAlignment="1">
      <alignment horizontal="left" vertical="center"/>
    </xf>
    <xf numFmtId="0" applyNumberFormat="1" fontId="67" applyFont="1" fillId="9" applyFill="1" borderId="52" applyBorder="1" xfId="12238" applyProtection="1" applyAlignment="1">
      <alignment horizontal="center" vertical="center" wrapText="1"/>
      <protection hidden="1"/>
    </xf>
    <xf numFmtId="41" applyNumberFormat="1" fontId="67" applyFont="1" fillId="7" applyFill="1" borderId="52" applyBorder="1" xfId="10625" applyProtection="1" applyAlignment="1">
      <alignment horizontal="center" vertical="center" wrapText="1"/>
    </xf>
    <xf numFmtId="0" applyNumberFormat="1" fontId="67" applyFont="1" fillId="9" applyFill="1" borderId="52" applyBorder="1" xfId="10543" applyProtection="1" applyAlignment="1">
      <alignment horizontal="center" vertical="center" wrapText="1"/>
    </xf>
    <xf numFmtId="41" applyNumberFormat="1" fontId="68" applyFont="1" fillId="9" applyFill="1" borderId="52" applyBorder="1" xfId="10543" applyProtection="1" applyAlignment="1">
      <alignment horizontal="center" vertical="center" wrapText="1"/>
    </xf>
    <xf numFmtId="0" applyNumberFormat="1" fontId="68" applyFont="1" fillId="9" applyFill="1" borderId="52" applyBorder="1" xfId="9661" applyProtection="1" applyAlignment="1">
      <alignment horizontal="center" vertical="center" wrapText="1"/>
      <protection hidden="1"/>
    </xf>
    <xf numFmtId="205" applyNumberFormat="1" fontId="40" applyFont="1" fillId="15" applyFill="1" borderId="13" applyBorder="1" xfId="3647" applyProtection="1" applyAlignment="1">
      <alignment vertical="center"/>
    </xf>
    <xf numFmtId="205" applyNumberFormat="1" fontId="40" applyFont="1" fillId="15" applyFill="1" borderId="8" applyBorder="1" xfId="3647" applyProtection="1" applyAlignment="1">
      <alignment vertical="center"/>
    </xf>
    <xf numFmtId="205" applyNumberFormat="1" fontId="40" applyFont="1" fillId="15" applyFill="1" borderId="8" applyBorder="1" xfId="3647" applyProtection="1" applyAlignment="1">
      <alignment vertical="center"/>
      <protection hidden="1"/>
    </xf>
    <xf numFmtId="9" applyNumberFormat="1" fontId="67" applyFont="1" fillId="7" applyFill="1" borderId="52" applyBorder="1" xfId="4951" applyProtection="1" applyAlignment="1">
      <alignment horizontal="center" vertical="center" wrapText="1"/>
    </xf>
    <xf numFmtId="41" applyNumberFormat="1" fontId="67" applyFont="1" fillId="7" applyFill="1" borderId="52" applyBorder="1" xfId="3892" applyProtection="1" applyAlignment="1">
      <alignment horizontal="center" vertical="center" wrapText="1"/>
      <protection hidden="1"/>
    </xf>
    <xf numFmtId="41" applyNumberFormat="1" fontId="67" applyFont="1" fillId="7" applyFill="1" borderId="55" applyBorder="1" xfId="3892" applyProtection="1" applyAlignment="1">
      <alignment horizontal="center" vertical="center" wrapText="1"/>
      <protection hidden="1"/>
    </xf>
    <xf numFmtId="0" applyNumberFormat="1" fontId="30" applyFont="1" fillId="0" applyFill="1" borderId="0" applyBorder="1" xfId="0" applyProtection="1" applyAlignment="1">
      <alignment vertical="center" wrapText="1"/>
    </xf>
    <xf numFmtId="264" applyNumberFormat="1" fontId="33" applyFont="1" fillId="0" applyFill="1" borderId="8" applyBorder="1" xfId="9356" applyProtection="1" applyAlignment="1">
      <alignment horizontal="center" vertical="center"/>
    </xf>
    <xf numFmtId="260" applyNumberFormat="1" fontId="32" applyFont="1" fillId="0" applyFill="1" borderId="64" applyBorder="1" xfId="11648" applyProtection="1" applyAlignment="1">
      <alignment horizontal="center" vertical="center"/>
    </xf>
    <xf numFmtId="205" applyNumberFormat="1" fontId="69" applyFont="1" fillId="0" applyFill="1" borderId="0" applyBorder="1" xfId="3647" applyProtection="1" applyAlignment="1">
      <alignment vertical="center"/>
    </xf>
    <xf numFmtId="205" applyNumberFormat="1" fontId="61" applyFont="1" fillId="0" applyFill="1" borderId="0" applyBorder="1" xfId="3647" applyProtection="1" applyAlignment="1">
      <alignment vertical="center"/>
    </xf>
    <xf numFmtId="0" applyNumberFormat="1" fontId="33" applyFont="1" fillId="0" applyFill="1" borderId="62" applyBorder="1" xfId="0" applyProtection="1" applyAlignment="1">
      <alignment vertical="center"/>
    </xf>
    <xf numFmtId="0" applyNumberFormat="1" fontId="32" applyFont="1" fillId="12" applyFill="1" borderId="38" applyBorder="1" xfId="0" applyProtection="1" applyAlignment="1">
      <alignment horizontal="center" vertical="center"/>
    </xf>
    <xf numFmtId="0" applyNumberFormat="1" fontId="33" applyFont="1" fillId="12" applyFill="1" borderId="38" applyBorder="1" xfId="0" applyProtection="1" applyAlignment="1">
      <alignment vertical="center"/>
    </xf>
    <xf numFmtId="205" applyNumberFormat="1" fontId="32" applyFont="1" fillId="12" applyFill="1" borderId="8" applyBorder="1" xfId="3647" applyProtection="1" applyAlignment="1">
      <alignment vertical="center"/>
    </xf>
    <xf numFmtId="205" applyNumberFormat="1" fontId="40" applyFont="1" fillId="12" applyFill="1" borderId="38" applyBorder="1" xfId="5813" applyProtection="1" applyAlignment="1">
      <alignment vertical="center"/>
    </xf>
    <xf numFmtId="0" applyNumberFormat="1" fontId="37" applyFont="1" fillId="4" applyFill="1" borderId="29" applyBorder="1" xfId="11648" applyProtection="1" applyAlignment="1">
      <alignment horizontal="center" vertical="center"/>
    </xf>
    <xf numFmtId="205" applyNumberFormat="1" fontId="40" applyFont="1" fillId="15" applyFill="1" borderId="62" applyBorder="1" xfId="3647" applyProtection="1" applyAlignment="1">
      <alignment vertical="center"/>
    </xf>
    <xf numFmtId="205" applyNumberFormat="1" fontId="40" applyFont="1" fillId="15" applyFill="1" borderId="65" applyBorder="1" xfId="3647" applyProtection="1" applyAlignment="1">
      <alignment vertical="center"/>
      <protection hidden="1"/>
    </xf>
    <xf numFmtId="205" applyNumberFormat="1" fontId="40" applyFont="1" fillId="12" applyFill="1" borderId="38" applyBorder="1" xfId="5813" applyProtection="1" applyAlignment="1">
      <alignment vertical="center"/>
      <protection hidden="1"/>
    </xf>
    <xf numFmtId="205" applyNumberFormat="1" fontId="40" applyFont="1" fillId="12" applyFill="1" borderId="8" applyBorder="1" xfId="3647" applyProtection="1" applyAlignment="1">
      <alignment vertical="center"/>
    </xf>
    <xf numFmtId="205" applyNumberFormat="1" fontId="40" applyFont="1" fillId="12" applyFill="1" borderId="8" applyBorder="1" xfId="3647" applyProtection="1" applyAlignment="1">
      <alignment vertical="center"/>
      <protection hidden="1"/>
    </xf>
    <xf numFmtId="264" applyNumberFormat="1" fontId="33" applyFont="1" fillId="0" applyFill="1" borderId="62" applyBorder="1" xfId="10462" applyProtection="1" applyAlignment="1">
      <alignment horizontal="center" vertical="center"/>
    </xf>
    <xf numFmtId="41" applyNumberFormat="1" fontId="32" applyFont="1" fillId="12" applyFill="1" borderId="38" applyBorder="1" xfId="5352" applyProtection="1" applyAlignment="1">
      <alignment vertical="center"/>
      <protection hidden="1"/>
    </xf>
    <xf numFmtId="41" applyNumberFormat="1" fontId="32" applyFont="1" fillId="12" applyFill="1" borderId="38" applyBorder="1" xfId="11648" applyProtection="1" applyAlignment="1">
      <alignment vertical="center"/>
    </xf>
    <xf numFmtId="264" applyNumberFormat="1" fontId="33" applyFont="1" fillId="12" applyFill="1" borderId="38" applyBorder="1" xfId="10462" applyProtection="1" applyAlignment="1">
      <alignment horizontal="center" vertical="center"/>
    </xf>
    <xf numFmtId="260" applyNumberFormat="1" fontId="32" applyFont="1" fillId="12" applyFill="1" borderId="56" applyBorder="1" xfId="11648" applyProtection="1" applyAlignment="1">
      <alignment horizontal="center" vertical="center"/>
    </xf>
    <xf numFmtId="205" applyNumberFormat="1" fontId="61" applyFont="1" fillId="0" applyFill="1" borderId="0" applyBorder="1" xfId="0" applyProtection="1" applyAlignment="1">
      <alignment vertical="center"/>
    </xf>
    <xf numFmtId="205" applyNumberFormat="1" fontId="70" applyFont="1" fillId="0" applyFill="1" borderId="0" applyBorder="1" xfId="3647" applyProtection="1" applyAlignment="1">
      <alignment vertical="center"/>
    </xf>
    <xf numFmtId="205" applyNumberFormat="1" fontId="61" applyFont="1" fillId="0" applyFill="1" borderId="0" applyBorder="1" xfId="3647" applyProtection="1" applyAlignment="1">
      <alignment vertical="center"/>
    </xf>
    <xf numFmtId="205" applyNumberFormat="1" fontId="30" applyFont="1" fillId="0" applyFill="1" borderId="0" applyBorder="1" xfId="3647" applyProtection="1" applyAlignment="1">
      <alignment horizontal="left" vertical="center"/>
    </xf>
    <xf numFmtId="0" applyNumberFormat="1" fontId="21" applyFont="1" fillId="5" applyFill="1" borderId="18" applyBorder="1" xfId="0" applyProtection="1" applyAlignment="1">
      <alignment horizontal="center"/>
    </xf>
    <xf numFmtId="264" applyNumberFormat="1" fontId="40" applyFont="1" fillId="5" applyFill="1" borderId="18" applyBorder="1" xfId="9359" applyProtection="1" applyAlignment="1">
      <alignment horizontal="left" vertical="center"/>
    </xf>
    <xf numFmtId="263" applyNumberFormat="1" fontId="0" applyFont="1" fillId="5" applyFill="1" borderId="8" applyBorder="1" xfId="0" applyProtection="1"/>
    <xf numFmtId="0" applyNumberFormat="1" fontId="33" applyFont="1" fillId="12" applyFill="1" borderId="13" applyBorder="1" xfId="0" applyProtection="1" applyAlignment="1">
      <alignment vertical="center"/>
    </xf>
    <xf numFmtId="205" applyNumberFormat="1" fontId="32" applyFont="1" fillId="12" applyFill="1" borderId="13" applyBorder="1" xfId="3647" applyProtection="1" applyAlignment="1">
      <alignment vertical="center"/>
    </xf>
    <xf numFmtId="205" applyNumberFormat="1" fontId="40" applyFont="1" fillId="12" applyFill="1" borderId="13" applyBorder="1" xfId="3647" applyProtection="1" applyAlignment="1">
      <alignment vertical="center"/>
      <protection hidden="1"/>
    </xf>
    <xf numFmtId="264" applyNumberFormat="1" fontId="33" applyFont="1" fillId="0" applyFill="1" borderId="20" applyBorder="1" xfId="10462" applyProtection="1" applyAlignment="1">
      <alignment horizontal="center" vertical="center"/>
    </xf>
    <xf numFmtId="264" applyNumberFormat="1" fontId="33" applyFont="1" fillId="12" applyFill="1" borderId="13" applyBorder="1" xfId="10462" applyProtection="1" applyAlignment="1">
      <alignment horizontal="center" vertical="center"/>
    </xf>
    <xf numFmtId="264" applyNumberFormat="1" fontId="32" applyFont="1" fillId="12" applyFill="1" borderId="0" applyBorder="1" xfId="11648" applyProtection="1" applyAlignment="1">
      <alignment vertical="center"/>
    </xf>
    <xf numFmtId="205" applyNumberFormat="1" fontId="32" applyFont="1" fillId="5" applyFill="1" borderId="62" applyBorder="1" xfId="3647" applyProtection="1" applyAlignment="1">
      <alignment vertical="center"/>
    </xf>
    <xf numFmtId="205" applyNumberFormat="1" fontId="32" applyFont="1" fillId="5" applyFill="1" borderId="13" applyBorder="1" xfId="3647" applyProtection="1" applyAlignment="1">
      <alignment vertical="center"/>
    </xf>
    <xf numFmtId="205" applyNumberFormat="1" fontId="32" applyFont="1" fillId="0" applyFill="1" borderId="0" applyBorder="1" xfId="3647" applyProtection="1" applyAlignment="1">
      <alignment horizontal="left" vertical="center"/>
    </xf>
    <xf numFmtId="0" applyNumberFormat="1" fontId="66" applyFont="1" fillId="0" applyFill="1" borderId="0" applyBorder="1" xfId="0" applyProtection="1" applyAlignment="1">
      <alignment vertical="center"/>
    </xf>
    <xf numFmtId="266" applyNumberFormat="1" fontId="32" applyFont="1" fillId="0" applyFill="1" borderId="0" applyBorder="1" xfId="0" applyProtection="1" applyAlignment="1">
      <alignment vertical="center"/>
    </xf>
    <xf numFmtId="41" applyNumberFormat="1" fontId="37" applyFont="1" fillId="4" applyFill="1" borderId="38" applyBorder="1" xfId="3647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vertical="center"/>
    </xf>
    <xf numFmtId="0" applyNumberFormat="1" fontId="32" applyFont="1" fillId="16" applyFill="1" borderId="0" applyBorder="1" xfId="0" applyProtection="1" applyAlignment="1">
      <alignment vertical="center"/>
    </xf>
    <xf numFmtId="0" applyNumberFormat="1" fontId="32" applyFont="1" fillId="5" applyFill="1" borderId="61" applyBorder="1" xfId="11648" applyProtection="1" applyAlignment="1">
      <alignment horizontal="center" vertical="center"/>
    </xf>
    <xf numFmtId="0" applyNumberFormat="1" fontId="32" applyFont="1" fillId="5" applyFill="1" borderId="62" applyBorder="1" xfId="0" applyProtection="1" applyAlignment="1">
      <alignment horizontal="center" vertical="center"/>
    </xf>
    <xf numFmtId="0" applyNumberFormat="1" fontId="33" applyFont="1" fillId="5" applyFill="1" borderId="62" applyBorder="1" xfId="10490" applyProtection="1" applyAlignment="1">
      <alignment horizontal="left" vertical="center"/>
    </xf>
    <xf numFmtId="0" applyNumberFormat="1" fontId="32" applyFont="1" fillId="5" applyFill="1" borderId="62" applyBorder="1" xfId="11648" applyProtection="1" applyAlignment="1">
      <alignment horizontal="center" vertical="center"/>
    </xf>
    <xf numFmtId="205" applyNumberFormat="1" fontId="40" applyFont="1" fillId="5" applyFill="1" borderId="62" applyBorder="1" xfId="5813" applyProtection="1" applyAlignment="1">
      <alignment vertical="center"/>
    </xf>
    <xf numFmtId="0" applyNumberFormat="1" fontId="32" applyFont="1" fillId="0" applyFill="1" borderId="18" applyBorder="1" xfId="0" applyProtection="1" applyAlignment="1">
      <alignment horizontal="center" vertical="center"/>
    </xf>
    <xf numFmtId="0" applyNumberFormat="1" fontId="33" applyFont="1" fillId="0" applyFill="1" borderId="18" applyBorder="1" xfId="0" applyProtection="1" applyAlignment="1">
      <alignment vertical="center"/>
    </xf>
    <xf numFmtId="205" applyNumberFormat="1" fontId="40" applyFont="1" fillId="0" applyFill="1" borderId="18" applyBorder="1" xfId="5813" applyProtection="1" applyAlignment="1">
      <alignment vertical="center"/>
    </xf>
    <xf numFmtId="0" applyNumberFormat="1" fontId="32" applyFont="1" fillId="16" applyFill="1" borderId="24" applyBorder="1" xfId="11648" applyProtection="1" applyAlignment="1">
      <alignment horizontal="center" vertical="center"/>
    </xf>
    <xf numFmtId="0" applyNumberFormat="1" fontId="32" applyFont="1" fillId="16" applyFill="1" borderId="13" applyBorder="1" xfId="0" applyProtection="1" applyAlignment="1">
      <alignment horizontal="center" vertical="center"/>
    </xf>
    <xf numFmtId="0" applyNumberFormat="1" fontId="32" applyFont="1" fillId="16" applyFill="1" borderId="13" applyBorder="1" xfId="11648" applyProtection="1" applyAlignment="1">
      <alignment horizontal="center" vertical="center"/>
    </xf>
    <xf numFmtId="205" applyNumberFormat="1" fontId="32" applyFont="1" fillId="16" applyFill="1" borderId="13" applyBorder="1" xfId="3647" applyProtection="1" applyAlignment="1">
      <alignment vertical="center"/>
    </xf>
    <xf numFmtId="205" applyNumberFormat="1" fontId="40" applyFont="1" fillId="16" applyFill="1" borderId="13" applyBorder="1" xfId="5813" applyProtection="1" applyAlignment="1">
      <alignment vertical="center"/>
    </xf>
    <xf numFmtId="205" applyNumberFormat="1" fontId="40" applyFont="1" fillId="5" applyFill="1" borderId="62" applyBorder="1" xfId="5813" applyProtection="1" applyAlignment="1">
      <alignment vertical="center"/>
      <protection hidden="1"/>
    </xf>
    <xf numFmtId="205" applyNumberFormat="1" fontId="40" applyFont="1" fillId="15" applyFill="1" borderId="62" applyBorder="1" xfId="5813" applyProtection="1" applyAlignment="1">
      <alignment vertical="center"/>
      <protection hidden="1"/>
    </xf>
    <xf numFmtId="205" applyNumberFormat="1" fontId="40" applyFont="1" fillId="0" applyFill="1" borderId="18" applyBorder="1" xfId="5813" applyProtection="1" applyAlignment="1">
      <alignment vertical="center"/>
      <protection hidden="1"/>
    </xf>
    <xf numFmtId="205" applyNumberFormat="1" fontId="40" applyFont="1" fillId="15" applyFill="1" borderId="18" applyBorder="1" xfId="3647" applyProtection="1" applyAlignment="1">
      <alignment vertical="center"/>
    </xf>
    <xf numFmtId="205" applyNumberFormat="1" fontId="40" applyFont="1" fillId="0" applyFill="1" borderId="18" applyBorder="1" xfId="3647" applyProtection="1" applyAlignment="1">
      <alignment vertical="center"/>
    </xf>
    <xf numFmtId="205" applyNumberFormat="1" fontId="40" applyFont="1" fillId="16" applyFill="1" borderId="13" applyBorder="1" xfId="5813" applyProtection="1" applyAlignment="1">
      <alignment vertical="center"/>
      <protection hidden="1"/>
    </xf>
    <xf numFmtId="205" applyNumberFormat="1" fontId="40" applyFont="1" fillId="16" applyFill="1" borderId="13" applyBorder="1" xfId="3647" applyProtection="1" applyAlignment="1">
      <alignment vertical="center"/>
      <protection hidden="1"/>
    </xf>
    <xf numFmtId="41" applyNumberFormat="1" fontId="32" applyFont="1" fillId="5" applyFill="1" borderId="62" applyBorder="1" xfId="5352" applyProtection="1" applyAlignment="1">
      <alignment vertical="center"/>
      <protection hidden="1"/>
    </xf>
    <xf numFmtId="41" applyNumberFormat="1" fontId="32" applyFont="1" fillId="5" applyFill="1" borderId="62" applyBorder="1" xfId="11648" applyProtection="1" applyAlignment="1">
      <alignment vertical="center"/>
    </xf>
    <xf numFmtId="260" applyNumberFormat="1" fontId="32" applyFont="1" fillId="5" applyFill="1" borderId="62" applyBorder="1" xfId="11648" applyProtection="1" applyAlignment="1">
      <alignment horizontal="center" vertical="center"/>
    </xf>
    <xf numFmtId="260" applyNumberFormat="1" fontId="32" applyFont="1" fillId="5" applyFill="1" borderId="63" applyBorder="1" xfId="11648" applyProtection="1" applyAlignment="1">
      <alignment horizontal="center" vertical="center"/>
    </xf>
    <xf numFmtId="264" applyNumberFormat="1" fontId="32" applyFont="1" fillId="5" applyFill="1" borderId="0" applyBorder="1" xfId="11648" applyProtection="1" applyAlignment="1">
      <alignment vertical="center"/>
    </xf>
    <xf numFmtId="41" applyNumberFormat="1" fontId="32" applyFont="1" fillId="5" applyFill="1" borderId="13" applyBorder="1" xfId="5352" applyProtection="1" applyAlignment="1">
      <alignment vertical="center"/>
      <protection hidden="1"/>
    </xf>
    <xf numFmtId="41" applyNumberFormat="1" fontId="32" applyFont="1" fillId="0" applyFill="1" borderId="18" applyBorder="1" xfId="5352" applyProtection="1" applyAlignment="1">
      <alignment vertical="center"/>
      <protection hidden="1"/>
    </xf>
    <xf numFmtId="41" applyNumberFormat="1" fontId="32" applyFont="1" fillId="0" applyFill="1" borderId="18" applyBorder="1" xfId="11648" applyProtection="1" applyAlignment="1">
      <alignment vertical="center"/>
    </xf>
    <xf numFmtId="260" applyNumberFormat="1" fontId="32" applyFont="1" fillId="5" applyFill="1" borderId="37" applyBorder="1" xfId="11648" applyProtection="1" applyAlignment="1">
      <alignment horizontal="center" vertical="center"/>
    </xf>
    <xf numFmtId="41" applyNumberFormat="1" fontId="32" applyFont="1" fillId="16" applyFill="1" borderId="13" applyBorder="1" xfId="5352" applyProtection="1" applyAlignment="1">
      <alignment vertical="center"/>
      <protection hidden="1"/>
    </xf>
    <xf numFmtId="41" applyNumberFormat="1" fontId="32" applyFont="1" fillId="16" applyFill="1" borderId="13" applyBorder="1" xfId="11648" applyProtection="1" applyAlignment="1">
      <alignment vertical="center"/>
    </xf>
    <xf numFmtId="264" applyNumberFormat="1" fontId="33" applyFont="1" fillId="16" applyFill="1" borderId="13" applyBorder="1" xfId="10462" applyProtection="1" applyAlignment="1">
      <alignment horizontal="center" vertical="center"/>
    </xf>
    <xf numFmtId="260" applyNumberFormat="1" fontId="32" applyFont="1" fillId="16" applyFill="1" borderId="37" applyBorder="1" xfId="11648" applyProtection="1" applyAlignment="1">
      <alignment horizontal="center" vertical="center"/>
    </xf>
    <xf numFmtId="0" applyNumberFormat="1" fontId="32" applyFont="1" fillId="16" applyFill="1" borderId="0" applyBorder="1" xfId="11648" applyProtection="1" applyAlignment="1">
      <alignment vertical="center"/>
    </xf>
    <xf numFmtId="264" applyNumberFormat="1" fontId="32" applyFont="1" fillId="16" applyFill="1" borderId="0" applyBorder="1" xfId="11648" applyProtection="1" applyAlignment="1">
      <alignment vertical="center"/>
    </xf>
    <xf numFmtId="205" applyNumberFormat="1" fontId="32" applyFont="1" fillId="15" applyFill="1" borderId="13" applyBorder="1" xfId="3647" applyProtection="1" applyAlignment="1">
      <alignment vertical="center"/>
    </xf>
    <xf numFmtId="0" applyNumberFormat="1" fontId="32" applyFont="1" fillId="16" applyFill="1" borderId="62" applyBorder="1" xfId="11648" applyProtection="1" applyAlignment="1">
      <alignment horizontal="center" vertical="center"/>
    </xf>
    <xf numFmtId="0" applyNumberFormat="1" fontId="32" applyFont="1" fillId="16" applyFill="1" borderId="62" applyBorder="1" xfId="0" applyProtection="1" applyAlignment="1">
      <alignment horizontal="center" vertical="center"/>
    </xf>
    <xf numFmtId="0" applyNumberFormat="1" fontId="32" applyFont="1" fillId="14" applyFill="1" borderId="35" applyBorder="1" xfId="11648" applyProtection="1" applyAlignment="1">
      <alignment horizontal="center" vertical="center"/>
    </xf>
    <xf numFmtId="0" applyNumberFormat="1" fontId="32" applyFont="1" fillId="14" applyFill="1" borderId="8" applyBorder="1" xfId="0" applyProtection="1" applyAlignment="1">
      <alignment horizontal="center" vertical="center"/>
    </xf>
    <xf numFmtId="205" applyNumberFormat="1" fontId="32" applyFont="1" fillId="14" applyFill="1" borderId="8" applyBorder="1" xfId="3647" applyProtection="1" applyAlignment="1">
      <alignment vertical="center"/>
    </xf>
    <xf numFmtId="205" applyNumberFormat="1" fontId="40" applyFont="1" fillId="16" applyFill="1" borderId="8" applyBorder="1" xfId="5813" applyProtection="1" applyAlignment="1">
      <alignment vertical="center"/>
    </xf>
    <xf numFmtId="205" applyNumberFormat="1" fontId="40" applyFont="1" fillId="16" applyFill="1" borderId="8" applyBorder="1" xfId="5813" applyProtection="1" applyAlignment="1">
      <alignment vertical="center"/>
      <protection hidden="1"/>
    </xf>
    <xf numFmtId="205" applyNumberFormat="1" fontId="40" applyFont="1" fillId="16" applyFill="1" borderId="8" applyBorder="1" xfId="3647" applyProtection="1" applyAlignment="1">
      <alignment vertical="center"/>
    </xf>
    <xf numFmtId="205" applyNumberFormat="1" fontId="40" applyFont="1" fillId="14" applyFill="1" borderId="8" applyBorder="1" xfId="3647" applyProtection="1" applyAlignment="1">
      <alignment vertical="center"/>
      <protection hidden="1"/>
    </xf>
    <xf numFmtId="41" applyNumberFormat="1" fontId="32" applyFont="1" fillId="16" applyFill="1" borderId="8" applyBorder="1" xfId="5352" applyProtection="1" applyAlignment="1">
      <alignment vertical="center"/>
      <protection hidden="1"/>
    </xf>
    <xf numFmtId="41" applyNumberFormat="1" fontId="32" applyFont="1" fillId="16" applyFill="1" borderId="8" applyBorder="1" xfId="11648" applyProtection="1" applyAlignment="1">
      <alignment vertical="center"/>
    </xf>
    <xf numFmtId="205" applyNumberFormat="1" fontId="32" applyFont="1" fillId="16" applyFill="1" borderId="0" applyBorder="1" xfId="0" applyProtection="1" applyAlignment="1">
      <alignment vertical="center"/>
    </xf>
    <xf numFmtId="264" applyNumberFormat="1" fontId="32" applyFont="1" fillId="16" applyFill="1" borderId="0" applyBorder="1" xfId="0" applyProtection="1" applyAlignment="1">
      <alignment vertical="center"/>
    </xf>
    <xf numFmtId="264" applyNumberFormat="1" fontId="33" applyFont="1" fillId="14" applyFill="1" borderId="8" applyBorder="1" xfId="10462" applyProtection="1" applyAlignment="1">
      <alignment horizontal="center" vertical="center"/>
    </xf>
    <xf numFmtId="205" applyNumberFormat="1" fontId="32" applyFont="1" fillId="14" applyFill="1" borderId="0" applyBorder="1" xfId="0" applyProtection="1" applyAlignment="1">
      <alignment vertical="center"/>
    </xf>
    <xf numFmtId="266" applyNumberFormat="1" fontId="32" applyFont="1" fillId="14" applyFill="1" borderId="0" applyBorder="1" xfId="0" applyProtection="1" applyAlignment="1">
      <alignment vertical="center"/>
    </xf>
    <xf numFmtId="205" applyNumberFormat="1" fontId="21" applyFont="1" fillId="0" applyFill="1" borderId="13" applyBorder="1" xfId="3647" applyProtection="1" applyAlignment="1">
      <alignment horizontal="left" vertical="center"/>
    </xf>
    <xf numFmtId="0" applyNumberFormat="1" fontId="0" applyFont="1" fillId="0" applyFill="1" borderId="18" applyBorder="1" xfId="0" applyProtection="1"/>
    <xf numFmtId="263" applyNumberFormat="1" fontId="0" applyFont="1" fillId="0" applyFill="1" borderId="8" applyBorder="1" xfId="3647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8" applyBorder="1" xfId="0" applyProtection="1"/>
    <xf numFmtId="263" applyNumberFormat="1" fontId="0" applyFont="1" fillId="0" applyFill="1" borderId="8" applyBorder="1" xfId="3647" applyProtection="1"/>
    <xf numFmtId="0" applyNumberFormat="1" fontId="0" applyFont="1" fillId="0" applyFill="1" borderId="21" applyBorder="1" xfId="0" applyProtection="1"/>
    <xf numFmtId="0" applyNumberFormat="1" fontId="32" applyFont="1" fillId="0" applyFill="1" borderId="0" applyBorder="1" xfId="0" applyProtection="1" applyAlignment="1">
      <alignment horizontal="center" vertical="center" wrapText="1"/>
    </xf>
    <xf numFmtId="0" applyNumberFormat="1" fontId="40" applyFont="1" fillId="0" applyFill="1" borderId="0" applyBorder="1" xfId="11648" applyProtection="1" applyAlignment="1">
      <alignment vertical="center"/>
    </xf>
    <xf numFmtId="0" applyNumberFormat="1" fontId="40" applyFont="1" fillId="14" applyFill="1" borderId="0" applyBorder="1" xfId="11648" applyProtection="1" applyAlignment="1">
      <alignment vertical="center"/>
    </xf>
    <xf numFmtId="0" applyNumberFormat="1" fontId="32" applyFont="1" fillId="5" applyFill="1" borderId="0" applyBorder="1" xfId="11648" applyProtection="1" applyAlignment="1">
      <alignment vertical="center"/>
    </xf>
    <xf numFmtId="0" applyNumberFormat="1" fontId="40" applyFont="1" fillId="5" applyFill="1" borderId="0" applyBorder="1" xfId="11648" applyProtection="1" applyAlignment="1">
      <alignment vertical="center"/>
    </xf>
    <xf numFmtId="0" applyNumberFormat="1" fontId="40" applyFont="1" fillId="13" applyFill="1" borderId="0" applyBorder="1" xfId="11648" applyProtection="1" applyAlignment="1">
      <alignment vertical="center"/>
    </xf>
    <xf numFmtId="0" applyNumberFormat="1" fontId="40" applyFont="1" fillId="12" applyFill="1" borderId="0" applyBorder="1" xfId="11648" applyProtection="1" applyAlignment="1">
      <alignment vertical="center"/>
    </xf>
    <xf numFmtId="0" applyNumberFormat="1" fontId="32" applyFont="1" fillId="0" applyFill="1" borderId="0" applyBorder="1" xfId="11648" applyProtection="1" applyAlignment="1">
      <alignment horizontal="left" vertical="center"/>
    </xf>
    <xf numFmtId="264" applyNumberFormat="1" fontId="32" applyFont="1" fillId="0" applyFill="1" borderId="0" applyBorder="1" xfId="3647" applyProtection="1" applyAlignment="1">
      <alignment vertical="center"/>
    </xf>
    <xf numFmtId="205" applyNumberFormat="1" fontId="66" applyFont="1" fillId="0" applyFill="1" borderId="0" applyBorder="1" xfId="3647" applyProtection="1" applyAlignment="1">
      <alignment horizontal="left" vertical="center"/>
    </xf>
    <xf numFmtId="0" applyNumberFormat="1" fontId="40" applyFont="1" fillId="0" applyFill="1" borderId="13" applyBorder="1" xfId="11648" applyProtection="1" applyAlignment="1">
      <alignment horizontal="left" vertical="center"/>
    </xf>
    <xf numFmtId="0" applyNumberFormat="1" fontId="72" applyFont="1" fillId="0" applyFill="1" borderId="13" applyBorder="1" xfId="0" applyProtection="1" applyAlignment="1">
      <alignment horizontal="center" vertical="center"/>
    </xf>
    <xf numFmtId="205" applyNumberFormat="1" fontId="32" applyFont="1" fillId="0" applyFill="1" borderId="13" applyBorder="1" xfId="3647" applyProtection="1" applyAlignment="1">
      <alignment horizontal="left" vertical="center"/>
    </xf>
    <xf numFmtId="0" applyNumberFormat="1" fontId="40" applyFont="1" fillId="0" applyFill="1" borderId="13" applyBorder="1" xfId="0" applyProtection="1" applyAlignment="1">
      <alignment horizontal="center" vertical="center"/>
    </xf>
    <xf numFmtId="0" applyNumberFormat="1" fontId="40" applyFont="1" fillId="0" applyFill="1" borderId="18" applyBorder="1" xfId="11648" applyProtection="1" applyAlignment="1">
      <alignment horizontal="left" vertical="center"/>
    </xf>
    <xf numFmtId="0" applyNumberFormat="1" fontId="40" applyFont="1" fillId="0" applyFill="1" borderId="17" applyBorder="1" xfId="0" applyProtection="1" applyAlignment="1">
      <alignment horizontal="center" vertical="center"/>
    </xf>
    <xf numFmtId="0" applyNumberFormat="1" fontId="40" applyFont="1" fillId="0" applyFill="1" borderId="18" applyBorder="1" xfId="0" applyProtection="1" applyAlignment="1">
      <alignment horizontal="center" vertical="center"/>
    </xf>
    <xf numFmtId="205" applyNumberFormat="1" fontId="32" applyFont="1" fillId="0" applyFill="1" borderId="18" applyBorder="1" xfId="3647" applyProtection="1" applyAlignment="1">
      <alignment horizontal="left" vertical="center"/>
    </xf>
    <xf numFmtId="0" applyNumberFormat="1" fontId="40" applyFont="1" fillId="14" applyFill="1" borderId="13" applyBorder="1" xfId="0" applyProtection="1" applyAlignment="1">
      <alignment horizontal="center" vertical="center"/>
    </xf>
    <xf numFmtId="0" applyNumberFormat="1" fontId="72" applyFont="1" fillId="14" applyFill="1" borderId="13" applyBorder="1" xfId="0" applyProtection="1" applyAlignment="1">
      <alignment horizontal="center" vertical="center"/>
    </xf>
    <xf numFmtId="205" applyNumberFormat="1" fontId="32" applyFont="1" fillId="14" applyFill="1" borderId="13" applyBorder="1" xfId="3647" applyProtection="1" applyAlignment="1">
      <alignment horizontal="left" vertical="center"/>
    </xf>
    <xf numFmtId="0" applyNumberFormat="1" fontId="32" applyFont="1" fillId="4" applyFill="1" borderId="0" applyBorder="1" xfId="11648" applyProtection="1" applyAlignment="1">
      <alignment horizontal="center" vertical="center"/>
    </xf>
    <xf numFmtId="205" applyNumberFormat="1" fontId="61" applyFont="1" fillId="5" applyFill="1" borderId="0" applyBorder="1" xfId="3647" applyProtection="1" applyAlignment="1">
      <alignment vertical="center"/>
    </xf>
    <xf numFmtId="0" applyNumberFormat="1" fontId="72" applyFont="1" fillId="17" applyFill="1" borderId="13" applyBorder="1" xfId="0" applyProtection="1" applyAlignment="1">
      <alignment horizontal="center" vertical="center"/>
    </xf>
    <xf numFmtId="0" applyNumberFormat="1" fontId="72" applyFont="1" fillId="17" applyFill="1" borderId="12" applyBorder="1" xfId="0" applyProtection="1" applyAlignment="1">
      <alignment horizontal="center" vertical="center"/>
    </xf>
    <xf numFmtId="0" applyNumberFormat="1" fontId="40" applyFont="1" fillId="5" applyFill="1" borderId="13" applyBorder="1" xfId="11648" applyProtection="1" applyAlignment="1">
      <alignment horizontal="left" vertical="center"/>
    </xf>
    <xf numFmtId="0" applyNumberFormat="1" fontId="40" applyFont="1" fillId="17" applyFill="1" borderId="12" applyBorder="1" xfId="0" applyProtection="1" applyAlignment="1">
      <alignment horizontal="center" vertical="center"/>
    </xf>
    <xf numFmtId="0" applyNumberFormat="1" fontId="40" applyFont="1" fillId="5" applyFill="1" borderId="13" applyBorder="1" xfId="0" applyProtection="1" applyAlignment="1">
      <alignment horizontal="center" vertical="center"/>
    </xf>
    <xf numFmtId="0" applyNumberFormat="1" fontId="40" applyFont="1" fillId="0" applyFill="1" borderId="12" applyBorder="1" xfId="0" applyProtection="1" applyAlignment="1">
      <alignment horizontal="center" vertical="center"/>
    </xf>
    <xf numFmtId="0" applyNumberFormat="1" fontId="40" applyFont="1" fillId="5" applyFill="1" borderId="12" applyBorder="1" xfId="0" applyProtection="1" applyAlignment="1">
      <alignment horizontal="center" vertical="center"/>
    </xf>
    <xf numFmtId="204" applyNumberFormat="1" fontId="40" applyFont="1" fillId="0" applyFill="1" borderId="13" applyBorder="1" xfId="0" applyProtection="1" applyAlignment="1">
      <alignment horizontal="center" vertical="center"/>
    </xf>
    <xf numFmtId="204" applyNumberFormat="1" fontId="40" applyFont="1" fillId="0" applyFill="1" borderId="18" applyBorder="1" xfId="0" applyProtection="1" applyAlignment="1">
      <alignment horizontal="center" vertical="center"/>
    </xf>
    <xf numFmtId="263" applyNumberFormat="1" fontId="32" applyFont="1" fillId="0" applyFill="1" borderId="0" applyBorder="1" xfId="3647" applyProtection="1" applyAlignment="1">
      <alignment vertical="center"/>
    </xf>
    <xf numFmtId="263" applyNumberFormat="1" fontId="32" applyFont="1" fillId="0" applyFill="1" borderId="0" applyBorder="1" xfId="3647" applyProtection="1" applyAlignment="1">
      <alignment vertical="center"/>
    </xf>
    <xf numFmtId="43" applyNumberFormat="1" fontId="32" applyFont="1" fillId="0" applyFill="1" borderId="0" applyBorder="1" xfId="0" applyProtection="1" applyAlignment="1">
      <alignment vertical="center"/>
    </xf>
    <xf numFmtId="41" applyNumberFormat="1" fontId="64" applyFont="1" fillId="9" applyFill="1" borderId="23" applyBorder="1" xfId="10543" applyProtection="1" applyAlignment="1">
      <alignment horizontal="center" vertical="center" wrapText="1"/>
    </xf>
    <xf numFmtId="205" applyNumberFormat="1" fontId="40" applyFont="1" fillId="15" applyFill="1" borderId="18" applyBorder="1" xfId="5813" applyProtection="1" applyAlignment="1">
      <alignment vertical="center"/>
      <protection hidden="1"/>
    </xf>
    <xf numFmtId="205" applyNumberFormat="1" fontId="40" applyFont="1" fillId="14" applyFill="1" borderId="18" applyBorder="1" xfId="5813" applyProtection="1" applyAlignment="1">
      <alignment vertical="center"/>
    </xf>
    <xf numFmtId="43" applyNumberFormat="1" fontId="32" applyFont="1" fillId="0" applyFill="1" borderId="0" applyBorder="1" xfId="0" applyProtection="1" applyAlignment="1">
      <alignment vertical="center"/>
    </xf>
    <xf numFmtId="205" applyNumberFormat="1" fontId="40" applyFont="1" fillId="4" applyFill="1" borderId="13" applyBorder="1" xfId="5813" applyProtection="1" applyAlignment="1">
      <alignment vertical="center"/>
    </xf>
    <xf numFmtId="205" applyNumberFormat="1" fontId="40" applyFont="1" fillId="4" applyFill="1" borderId="13" applyBorder="1" xfId="5813" applyProtection="1" applyAlignment="1">
      <alignment vertical="center"/>
      <protection hidden="1"/>
    </xf>
    <xf numFmtId="205" applyNumberFormat="1" fontId="40" applyFont="1" fillId="5" applyFill="1" borderId="18" applyBorder="1" xfId="5813" applyProtection="1" applyAlignment="1">
      <alignment vertical="center"/>
      <protection hidden="1"/>
    </xf>
    <xf numFmtId="0" applyNumberFormat="1" fontId="64" applyFont="1" fillId="9" applyFill="1" borderId="23" applyBorder="1" xfId="9661" applyProtection="1" applyAlignment="1">
      <alignment horizontal="center" vertical="center" wrapText="1"/>
      <protection hidden="1"/>
    </xf>
    <xf numFmtId="41" applyNumberFormat="1" fontId="39" applyFont="1" fillId="9" applyFill="1" borderId="23" applyBorder="1" xfId="3892" applyProtection="1" applyAlignment="1">
      <alignment horizontal="left" vertical="center" wrapText="1"/>
      <protection hidden="1"/>
    </xf>
    <xf numFmtId="41" applyNumberFormat="1" fontId="39" applyFont="1" fillId="9" applyFill="1" borderId="30" applyBorder="1" xfId="3892" applyProtection="1" applyAlignment="1">
      <alignment horizontal="left" vertical="center" wrapText="1"/>
      <protection hidden="1"/>
    </xf>
    <xf numFmtId="0" applyNumberFormat="1" fontId="32" applyFont="1" fillId="0" applyFill="1" borderId="0" applyBorder="1" xfId="0" applyProtection="1" applyAlignment="1">
      <alignment horizontal="center" vertical="center" wrapText="1"/>
    </xf>
    <xf numFmtId="260" applyNumberFormat="1" fontId="72" applyFont="1" fillId="0" applyFill="1" borderId="13" applyBorder="1" xfId="0" applyProtection="1" applyAlignment="1">
      <alignment horizontal="left" vertical="center"/>
    </xf>
    <xf numFmtId="0" applyNumberFormat="1" fontId="30" applyFont="1" fillId="0" applyFill="1" borderId="0" applyBorder="1" xfId="11648" applyProtection="1" applyAlignment="1">
      <alignment vertical="center"/>
    </xf>
    <xf numFmtId="41" applyNumberFormat="1" fontId="40" applyFont="1" fillId="0" applyFill="1" borderId="13" applyBorder="1" xfId="5352" applyProtection="1" applyAlignment="1">
      <alignment vertical="center"/>
      <protection hidden="1"/>
    </xf>
    <xf numFmtId="41" applyNumberFormat="1" fontId="40" applyFont="1" fillId="0" applyFill="1" borderId="13" applyBorder="1" xfId="11648" applyProtection="1" applyAlignment="1">
      <alignment vertical="center"/>
    </xf>
    <xf numFmtId="0" applyNumberFormat="1" fontId="73" applyFont="1" fillId="0" applyFill="1" borderId="0" applyBorder="1" xfId="11648" applyProtection="1" applyAlignment="1">
      <alignment vertical="center"/>
    </xf>
    <xf numFmtId="41" applyNumberFormat="1" fontId="40" applyFont="1" fillId="0" applyFill="1" borderId="18" applyBorder="1" xfId="5352" applyProtection="1" applyAlignment="1">
      <alignment vertical="center"/>
      <protection hidden="1"/>
    </xf>
    <xf numFmtId="41" applyNumberFormat="1" fontId="40" applyFont="1" fillId="0" applyFill="1" borderId="18" applyBorder="1" xfId="11648" applyProtection="1" applyAlignment="1">
      <alignment vertical="center"/>
    </xf>
    <xf numFmtId="264" applyNumberFormat="1" fontId="40" applyFont="1" fillId="0" applyFill="1" borderId="18" applyBorder="1" xfId="12870" applyProtection="1" applyAlignment="1">
      <alignment horizontal="left" vertical="center"/>
    </xf>
    <xf numFmtId="260" applyNumberFormat="1" fontId="40" applyFont="1" fillId="0" applyFill="1" borderId="48" applyBorder="1" xfId="0" applyProtection="1" applyAlignment="1">
      <alignment horizontal="left" vertical="center"/>
    </xf>
    <xf numFmtId="264" applyNumberFormat="1" fontId="40" applyFont="1" fillId="0" applyFill="1" borderId="13" applyBorder="1" xfId="12870" applyProtection="1" applyAlignment="1">
      <alignment horizontal="left" vertical="center"/>
    </xf>
    <xf numFmtId="205" applyNumberFormat="1" fontId="40" applyFont="1" fillId="14" applyFill="1" borderId="18" applyBorder="1" xfId="5813" applyProtection="1" applyAlignment="1">
      <alignment vertical="center"/>
      <protection hidden="1"/>
    </xf>
    <xf numFmtId="41" applyNumberFormat="1" fontId="40" applyFont="1" fillId="14" applyFill="1" borderId="13" applyBorder="1" xfId="5352" applyProtection="1" applyAlignment="1">
      <alignment vertical="center"/>
      <protection hidden="1"/>
    </xf>
    <xf numFmtId="264" applyNumberFormat="1" fontId="40" applyFont="1" fillId="14" applyFill="1" borderId="13" applyBorder="1" xfId="12870" applyProtection="1" applyAlignment="1">
      <alignment horizontal="left" vertical="center"/>
    </xf>
    <xf numFmtId="260" applyNumberFormat="1" fontId="40" applyFont="1" fillId="14" applyFill="1" borderId="37" applyBorder="1" xfId="0" applyProtection="1" applyAlignment="1">
      <alignment horizontal="left" vertical="center"/>
    </xf>
    <xf numFmtId="41" applyNumberFormat="1" fontId="32" applyFont="1" fillId="4" applyFill="1" borderId="29" applyBorder="1" xfId="11648" applyProtection="1" applyAlignment="1">
      <alignment horizontal="left" vertical="center"/>
    </xf>
    <xf numFmtId="41" applyNumberFormat="1" fontId="32" applyFont="1" fillId="4" applyFill="1" borderId="32" applyBorder="1" xfId="11648" applyProtection="1" applyAlignment="1">
      <alignment horizontal="left" vertical="center"/>
    </xf>
    <xf numFmtId="0" applyNumberFormat="1" fontId="32" applyFont="1" fillId="0" applyFill="1" borderId="0" applyBorder="1" xfId="0" applyProtection="1" applyAlignment="1">
      <alignment horizontal="left" vertical="center"/>
    </xf>
    <xf numFmtId="0" applyNumberFormat="1" fontId="32" applyFont="1" fillId="0" applyFill="1" borderId="0" applyBorder="1" xfId="0" applyProtection="1" applyAlignment="1">
      <alignment vertical="center" wrapText="1"/>
    </xf>
    <xf numFmtId="264" applyNumberFormat="1" fontId="72" applyFont="1" fillId="0" applyFill="1" borderId="13" applyBorder="1" xfId="0" applyProtection="1" applyAlignment="1">
      <alignment horizontal="left" vertical="center"/>
    </xf>
    <xf numFmtId="260" applyNumberFormat="1" fontId="33" applyFont="1" fillId="0" applyFill="1" borderId="37" applyBorder="1" xfId="0" applyProtection="1" applyAlignment="1">
      <alignment horizontal="left" vertical="center"/>
    </xf>
    <xf numFmtId="41" applyNumberFormat="1" fontId="40" applyFont="1" fillId="5" applyFill="1" borderId="13" applyBorder="1" xfId="5352" applyProtection="1" applyAlignment="1">
      <alignment vertical="center"/>
      <protection hidden="1"/>
    </xf>
    <xf numFmtId="260" applyNumberFormat="1" fontId="40" applyFont="1" fillId="0" applyFill="1" borderId="37" applyBorder="1" xfId="0" applyProtection="1" applyAlignment="1">
      <alignment horizontal="left" vertical="center"/>
    </xf>
    <xf numFmtId="264" applyNumberFormat="1" fontId="32" applyFont="1" fillId="0" applyFill="1" borderId="0" applyBorder="1" xfId="0" applyProtection="1" applyAlignment="1">
      <alignment horizontal="center" vertical="center" wrapText="1"/>
    </xf>
    <xf numFmtId="264" applyNumberFormat="1" fontId="32" applyFont="1" fillId="0" applyFill="1" borderId="0" applyBorder="1" xfId="3647" applyProtection="1" applyAlignment="1">
      <alignment horizontal="center" vertical="center" wrapText="1"/>
    </xf>
    <xf numFmtId="0" applyNumberFormat="1" fontId="32" applyFont="1" fillId="14" applyFill="1" borderId="0" applyBorder="1" xfId="11648" applyProtection="1" applyAlignment="1">
      <alignment vertical="center"/>
    </xf>
    <xf numFmtId="0" applyNumberFormat="1" fontId="40" applyFont="1" fillId="5" applyFill="1" borderId="49" applyBorder="1" xfId="11648" applyProtection="1" applyAlignment="1">
      <alignment vertical="center"/>
    </xf>
    <xf numFmtId="264" applyNumberFormat="1" fontId="32" applyFont="1" fillId="0" applyFill="1" borderId="0" applyBorder="1" xfId="0" applyProtection="1" applyAlignment="1">
      <alignment vertical="center" wrapText="1"/>
    </xf>
    <xf numFmtId="264" applyNumberFormat="1" fontId="32" applyFont="1" fillId="0" applyFill="1" borderId="0" applyBorder="1" xfId="3647" applyProtection="1" applyAlignment="1">
      <alignment vertical="center" wrapText="1"/>
    </xf>
    <xf numFmtId="49" applyNumberFormat="1" fontId="32" applyFont="1" fillId="0" applyFill="1" borderId="0" applyBorder="1" xfId="11648" applyProtection="1" applyAlignment="1">
      <alignment horizontal="left" vertical="center"/>
    </xf>
    <xf numFmtId="49" applyNumberFormat="1" fontId="40" applyFont="1" fillId="0" applyFill="1" borderId="0" applyBorder="1" xfId="11648" applyProtection="1" applyAlignment="1">
      <alignment horizontal="left" vertical="center"/>
    </xf>
    <xf numFmtId="49" applyNumberFormat="1" fontId="32" applyFont="1" fillId="0" applyFill="1" borderId="0" applyBorder="1" xfId="11648" applyProtection="1" applyAlignment="1">
      <alignment vertical="center"/>
    </xf>
    <xf numFmtId="49" applyNumberFormat="1" fontId="40" applyFont="1" fillId="0" applyFill="1" borderId="0" applyBorder="1" xfId="11648" applyProtection="1" applyAlignment="1">
      <alignment vertical="center"/>
    </xf>
    <xf numFmtId="267" applyNumberFormat="1" fontId="40" applyFont="1" fillId="0" applyFill="1" borderId="0" applyBorder="1" xfId="11648" applyProtection="1" applyAlignment="1">
      <alignment horizontal="left" vertical="center"/>
    </xf>
    <xf numFmtId="267" applyNumberFormat="1" fontId="40" applyFont="1" fillId="0" applyFill="1" borderId="0" applyBorder="1" xfId="11648" applyProtection="1" applyAlignment="1">
      <alignment vertical="center"/>
    </xf>
    <xf numFmtId="0" applyNumberFormat="1" fontId="40" applyFont="1" fillId="12" applyFill="1" borderId="17" applyBorder="1" xfId="0" applyProtection="1" applyAlignment="1">
      <alignment horizontal="center" vertical="center"/>
    </xf>
    <xf numFmtId="0" applyNumberFormat="1" fontId="40" applyFont="1" fillId="12" applyFill="1" borderId="18" applyBorder="1" xfId="0" applyProtection="1" applyAlignment="1">
      <alignment horizontal="center" vertical="center"/>
    </xf>
    <xf numFmtId="205" applyNumberFormat="1" fontId="32" applyFont="1" fillId="12" applyFill="1" borderId="13" applyBorder="1" xfId="3647" applyProtection="1" applyAlignment="1">
      <alignment horizontal="left" vertical="center"/>
    </xf>
    <xf numFmtId="205" applyNumberFormat="1" fontId="32" applyFont="1" fillId="12" applyFill="1" borderId="18" applyBorder="1" xfId="3647" applyProtection="1" applyAlignment="1">
      <alignment horizontal="left" vertical="center"/>
    </xf>
    <xf numFmtId="0" applyNumberFormat="1" fontId="40" applyFont="1" fillId="12" applyFill="1" borderId="13" applyBorder="1" xfId="0" applyProtection="1" applyAlignment="1">
      <alignment horizontal="center" vertical="center"/>
    </xf>
    <xf numFmtId="204" applyNumberFormat="1" fontId="40" applyFont="1" fillId="14" applyFill="1" borderId="18" applyBorder="1" xfId="0" applyProtection="1" applyAlignment="1">
      <alignment horizontal="center" vertical="center"/>
    </xf>
    <xf numFmtId="0" applyNumberFormat="1" fontId="40" applyFont="1" fillId="14" applyFill="1" borderId="18" applyBorder="1" xfId="11648" applyProtection="1" applyAlignment="1">
      <alignment horizontal="left" vertical="center"/>
    </xf>
    <xf numFmtId="0" applyNumberFormat="1" fontId="40" applyFont="1" fillId="14" applyFill="1" borderId="17" applyBorder="1" xfId="0" applyProtection="1" applyAlignment="1">
      <alignment horizontal="center" vertical="center"/>
    </xf>
    <xf numFmtId="0" applyNumberFormat="1" fontId="40" applyFont="1" fillId="14" applyFill="1" borderId="18" applyBorder="1" xfId="0" applyProtection="1" applyAlignment="1">
      <alignment horizontal="center" vertical="center"/>
    </xf>
    <xf numFmtId="0" applyNumberFormat="1" fontId="40" applyFont="1" fillId="14" applyFill="1" borderId="12" applyBorder="1" xfId="0" applyProtection="1" applyAlignment="1">
      <alignment horizontal="center" vertical="center"/>
    </xf>
    <xf numFmtId="205" applyNumberFormat="1" fontId="40" applyFont="1" fillId="12" applyFill="1" borderId="18" applyBorder="1" xfId="5813" applyProtection="1" applyAlignment="1">
      <alignment vertical="center"/>
    </xf>
    <xf numFmtId="205" applyNumberFormat="1" fontId="40" applyFont="1" fillId="12" applyFill="1" borderId="18" applyBorder="1" xfId="5813" applyProtection="1" applyAlignment="1">
      <alignment vertical="center"/>
      <protection hidden="1"/>
    </xf>
    <xf numFmtId="41" applyNumberFormat="1" fontId="40" applyFont="1" fillId="12" applyFill="1" borderId="18" applyBorder="1" xfId="5352" applyProtection="1" applyAlignment="1">
      <alignment vertical="center"/>
      <protection hidden="1"/>
    </xf>
    <xf numFmtId="264" applyNumberFormat="1" fontId="40" applyFont="1" fillId="12" applyFill="1" borderId="18" applyBorder="1" xfId="12870" applyProtection="1" applyAlignment="1">
      <alignment horizontal="left" vertical="center"/>
    </xf>
    <xf numFmtId="41" applyNumberFormat="1" fontId="40" applyFont="1" fillId="14" applyFill="1" borderId="18" applyBorder="1" xfId="5352" applyProtection="1" applyAlignment="1">
      <alignment vertical="center"/>
      <protection hidden="1"/>
    </xf>
    <xf numFmtId="264" applyNumberFormat="1" fontId="40" applyFont="1" fillId="14" applyFill="1" borderId="18" applyBorder="1" xfId="12870" applyProtection="1" applyAlignment="1">
      <alignment horizontal="left" vertical="center"/>
    </xf>
    <xf numFmtId="260" applyNumberFormat="1" fontId="72" applyFont="1" fillId="14" applyFill="1" borderId="13" applyBorder="1" xfId="0" applyProtection="1" applyAlignment="1">
      <alignment horizontal="left" vertical="center"/>
    </xf>
    <xf numFmtId="41" applyNumberFormat="1" fontId="32" applyFont="1" fillId="4" applyFill="1" borderId="56" applyBorder="1" xfId="11648" applyProtection="1" applyAlignment="1">
      <alignment horizontal="left" vertical="center"/>
    </xf>
    <xf numFmtId="205" applyNumberFormat="1" fontId="37" applyFont="1" fillId="4" applyFill="1" borderId="29" applyBorder="1" xfId="3647" applyProtection="1" applyAlignment="1">
      <alignment horizontal="left" vertical="center"/>
    </xf>
    <xf numFmtId="205" applyNumberFormat="1" fontId="37" applyFont="1" fillId="4" applyFill="1" borderId="32" applyBorder="1" xfId="3647" applyProtection="1" applyAlignment="1">
      <alignment horizontal="left" vertical="center"/>
    </xf>
    <xf numFmtId="0" applyNumberFormat="1" fontId="32" applyFont="1" fillId="12" applyFill="1" borderId="0" applyBorder="1" xfId="11648" applyProtection="1" applyAlignment="1">
      <alignment vertical="center"/>
    </xf>
    <xf numFmtId="49" applyNumberFormat="1" fontId="40" applyFont="1" fillId="12" applyFill="1" borderId="0" applyBorder="1" xfId="11648" applyProtection="1" applyAlignment="1">
      <alignment horizontal="left" vertical="center"/>
    </xf>
    <xf numFmtId="49" applyNumberFormat="1" fontId="40" applyFont="1" fillId="12" applyFill="1" borderId="0" applyBorder="1" xfId="11648" applyProtection="1" applyAlignment="1">
      <alignment vertical="center"/>
    </xf>
    <xf numFmtId="0" applyNumberFormat="1" fontId="40" applyFont="1" fillId="14" applyFill="1" borderId="13" applyBorder="1" xfId="11648" applyProtection="1" applyAlignment="1">
      <alignment vertical="center"/>
    </xf>
    <xf numFmtId="49" applyNumberFormat="1" fontId="40" applyFont="1" fillId="14" applyFill="1" borderId="0" applyBorder="1" xfId="11648" applyProtection="1" applyAlignment="1">
      <alignment horizontal="left" vertical="center"/>
    </xf>
    <xf numFmtId="49" applyNumberFormat="1" fontId="40" applyFont="1" fillId="14" applyFill="1" borderId="0" applyBorder="1" xfId="11648" applyProtection="1" applyAlignment="1">
      <alignment vertical="center"/>
    </xf>
    <xf numFmtId="264" applyNumberFormat="1" fontId="32" applyFont="1" fillId="14" applyFill="1" borderId="0" applyBorder="1" xfId="11648" applyProtection="1" applyAlignment="1">
      <alignment vertical="center"/>
    </xf>
    <xf numFmtId="205" applyNumberFormat="1" fontId="13" applyFont="1" fillId="5" applyFill="1" borderId="17" applyBorder="1" xfId="5726" applyProtection="1"/>
    <xf numFmtId="205" applyNumberFormat="1" fontId="0" applyFont="1" fillId="5" applyFill="1" borderId="0" applyBorder="1" xfId="5726" applyProtection="1"/>
    <xf numFmtId="43" applyNumberFormat="1" fontId="0" applyFont="1" fillId="5" applyFill="1" borderId="0" applyBorder="1" xfId="0" applyProtection="1"/>
    <xf numFmtId="205" applyNumberFormat="1" fontId="13" applyFont="1" fillId="5" applyFill="1" borderId="7" applyBorder="1" xfId="5726" applyProtection="1"/>
    <xf numFmtId="205" applyNumberFormat="1" fontId="13" applyFont="1" fillId="5" applyFill="1" borderId="17" applyBorder="1" xfId="3647" applyProtection="1"/>
    <xf numFmtId="205" applyNumberFormat="1" fontId="13" applyFont="1" fillId="5" applyFill="1" borderId="7" applyBorder="1" xfId="3647" applyProtection="1"/>
    <xf numFmtId="205" applyNumberFormat="1" fontId="0" applyFont="1" fillId="5" applyFill="1" borderId="17" applyBorder="1" xfId="5726" applyProtection="1"/>
    <xf numFmtId="205" applyNumberFormat="1" fontId="0" applyFont="1" fillId="5" applyFill="1" borderId="7" applyBorder="1" xfId="5726" applyProtection="1"/>
    <xf numFmtId="205" applyNumberFormat="1" fontId="0" applyFont="1" fillId="5" applyFill="1" borderId="0" applyBorder="1" xfId="0" applyProtection="1"/>
    <xf numFmtId="0" applyNumberFormat="1" fontId="32" applyFont="1" fillId="16" applyFill="1" borderId="0" applyBorder="1" xfId="11648" applyProtection="1" applyAlignment="1">
      <alignment vertical="center"/>
    </xf>
    <xf numFmtId="264" applyNumberFormat="1" fontId="32" applyFont="1" fillId="0" applyFill="1" borderId="0" applyBorder="1" xfId="11648" applyProtection="1" applyAlignment="1">
      <alignment horizontal="left" vertical="center"/>
    </xf>
    <xf numFmtId="205" applyNumberFormat="1" fontId="70" applyFont="1" fillId="0" applyFill="1" borderId="0" applyBorder="1" xfId="3647" applyProtection="1" applyAlignment="1">
      <alignment vertical="center"/>
    </xf>
    <xf numFmtId="0" applyNumberFormat="1" fontId="40" applyFont="1" fillId="0" applyFill="1" borderId="24" applyBorder="1" xfId="11648" applyProtection="1" applyAlignment="1">
      <alignment horizontal="center" vertical="center"/>
    </xf>
    <xf numFmtId="0" applyNumberFormat="1" fontId="40" applyFont="1" fillId="0" applyFill="1" borderId="13" applyBorder="1" xfId="9356" applyProtection="1" applyAlignment="1">
      <alignment horizontal="left" vertical="center"/>
    </xf>
    <xf numFmtId="0" applyNumberFormat="1" fontId="40" applyFont="1" fillId="0" applyFill="1" borderId="13" applyBorder="1" xfId="0" applyProtection="1" applyAlignment="1">
      <alignment horizontal="left" vertical="center"/>
    </xf>
    <xf numFmtId="205" applyNumberFormat="1" fontId="32" applyFont="1" fillId="5" applyFill="1" borderId="13" applyBorder="1" xfId="3647" applyProtection="1" applyAlignment="1">
      <alignment horizontal="left" vertical="center"/>
    </xf>
    <xf numFmtId="205" applyNumberFormat="1" fontId="32" applyFont="1" fillId="5" applyFill="1" borderId="8" applyBorder="1" xfId="3647" applyProtection="1" applyAlignment="1">
      <alignment horizontal="left" vertical="center"/>
    </xf>
    <xf numFmtId="0" applyNumberFormat="1" fontId="40" applyFont="1" fillId="16" applyFill="1" borderId="24" applyBorder="1" xfId="11648" applyProtection="1" applyAlignment="1">
      <alignment horizontal="center" vertical="center"/>
    </xf>
    <xf numFmtId="0" applyNumberFormat="1" fontId="40" applyFont="1" fillId="16" applyFill="1" borderId="13" applyBorder="1" xfId="11648" applyProtection="1" applyAlignment="1">
      <alignment horizontal="left" vertical="center"/>
    </xf>
    <xf numFmtId="205" applyNumberFormat="1" fontId="32" applyFont="1" fillId="16" applyFill="1" borderId="13" applyBorder="1" xfId="3647" applyProtection="1" applyAlignment="1">
      <alignment horizontal="left" vertical="center"/>
    </xf>
    <xf numFmtId="205" applyNumberFormat="1" fontId="32" applyFont="1" fillId="16" applyFill="1" borderId="8" applyBorder="1" xfId="3647" applyProtection="1" applyAlignment="1">
      <alignment horizontal="left" vertical="center"/>
    </xf>
    <xf numFmtId="0" applyNumberFormat="1" fontId="39" applyFont="1" fillId="7" applyFill="1" borderId="67" applyBorder="1" xfId="7905" applyProtection="1" applyAlignment="1">
      <alignment horizontal="center" vertical="center" wrapText="1"/>
      <protection hidden="1"/>
    </xf>
    <xf numFmtId="0" applyNumberFormat="1" fontId="39" applyFont="1" fillId="7" applyFill="1" borderId="68" applyBorder="1" xfId="7905" applyProtection="1" applyAlignment="1">
      <alignment horizontal="center" vertical="center" wrapText="1"/>
      <protection hidden="1"/>
    </xf>
    <xf numFmtId="49" applyNumberFormat="1" fontId="39" applyFont="1" fillId="7" applyFill="1" borderId="68" applyBorder="1" xfId="7905" applyProtection="1" applyAlignment="1">
      <alignment horizontal="center" vertical="center" wrapText="1"/>
      <protection hidden="1"/>
    </xf>
    <xf numFmtId="205" applyNumberFormat="1" fontId="39" applyFont="1" fillId="7" applyFill="1" borderId="68" applyBorder="1" xfId="3647" applyProtection="1" applyAlignment="1">
      <alignment horizontal="center" vertical="center" wrapText="1"/>
      <protection hidden="1"/>
    </xf>
    <xf numFmtId="0" applyNumberFormat="1" fontId="32" applyFont="1" fillId="5" applyFill="1" borderId="8" applyBorder="1" xfId="0" applyProtection="1" applyAlignment="1">
      <alignment horizontal="center" vertical="center"/>
    </xf>
    <xf numFmtId="0" applyNumberFormat="1" fontId="40" applyFont="1" fillId="0" applyFill="1" borderId="8" applyBorder="1" xfId="9356" applyProtection="1" applyAlignment="1">
      <alignment horizontal="left" vertical="center"/>
    </xf>
    <xf numFmtId="205" applyNumberFormat="1" fontId="32" applyFont="1" fillId="0" applyFill="1" borderId="8" applyBorder="1" xfId="3647" applyProtection="1" applyAlignment="1">
      <alignment horizontal="left" vertical="center"/>
    </xf>
    <xf numFmtId="0" applyNumberFormat="1" fontId="32" applyFont="1" fillId="5" applyFill="1" borderId="13" applyBorder="1" xfId="0" applyProtection="1" applyAlignment="1">
      <alignment horizontal="center" vertical="center"/>
    </xf>
    <xf numFmtId="0" applyNumberFormat="1" fontId="40" applyFont="1" fillId="5" applyFill="1" borderId="13" applyBorder="1" xfId="0" applyProtection="1" applyAlignment="1">
      <alignment horizontal="left" vertical="center"/>
    </xf>
    <xf numFmtId="0" applyNumberFormat="1" fontId="72" applyFont="1" fillId="5" applyFill="1" borderId="13" applyBorder="1" xfId="0" applyProtection="1" applyAlignment="1">
      <alignment horizontal="center" vertical="center"/>
    </xf>
    <xf numFmtId="205" applyNumberFormat="1" fontId="40" applyFont="1" fillId="16" applyFill="1" borderId="18" applyBorder="1" xfId="5813" applyProtection="1" applyAlignment="1">
      <alignment vertical="center"/>
      <protection hidden="1"/>
    </xf>
    <xf numFmtId="0" applyNumberFormat="1" fontId="39" applyFont="1" fillId="7" applyFill="1" borderId="68" applyBorder="1" xfId="10625" applyProtection="1" applyAlignment="1">
      <alignment horizontal="center" vertical="center" wrapText="1"/>
    </xf>
    <xf numFmtId="0" applyNumberFormat="1" fontId="39" applyFont="1" fillId="9" applyFill="1" borderId="68" applyBorder="1" xfId="12238" applyProtection="1" applyAlignment="1">
      <alignment horizontal="center" vertical="center" wrapText="1"/>
      <protection hidden="1"/>
    </xf>
    <xf numFmtId="41" applyNumberFormat="1" fontId="39" applyFont="1" fillId="7" applyFill="1" borderId="68" applyBorder="1" xfId="10625" applyProtection="1" applyAlignment="1">
      <alignment horizontal="center" vertical="center" wrapText="1"/>
    </xf>
    <xf numFmtId="0" applyNumberFormat="1" fontId="39" applyFont="1" fillId="9" applyFill="1" borderId="68" applyBorder="1" xfId="10543" applyProtection="1" applyAlignment="1">
      <alignment horizontal="center" vertical="center" wrapText="1"/>
    </xf>
    <xf numFmtId="41" applyNumberFormat="1" fontId="64" applyFont="1" fillId="9" applyFill="1" borderId="68" applyBorder="1" xfId="10543" applyProtection="1" applyAlignment="1">
      <alignment horizontal="center" vertical="center"/>
    </xf>
    <xf numFmtId="0" applyNumberFormat="1" fontId="64" applyFont="1" fillId="9" applyFill="1" borderId="68" applyBorder="1" xfId="9661" applyProtection="1" applyAlignment="1">
      <alignment horizontal="center" vertical="center" wrapText="1"/>
      <protection hidden="1"/>
    </xf>
    <xf numFmtId="264" applyNumberFormat="1" fontId="33" applyFont="1" fillId="0" applyFill="1" borderId="13" applyBorder="1" xfId="9356" applyProtection="1" applyAlignment="1">
      <alignment horizontal="center" vertical="center"/>
    </xf>
    <xf numFmtId="260" applyNumberFormat="1" fontId="33" applyFont="1" fillId="0" applyFill="1" borderId="37" applyBorder="1" xfId="0" applyProtection="1" applyAlignment="1">
      <alignment horizontal="center" vertical="center"/>
    </xf>
    <xf numFmtId="205" applyNumberFormat="1" fontId="32" applyFont="1" fillId="0" applyFill="1" borderId="0" applyBorder="1" xfId="11648" applyProtection="1" applyAlignment="1">
      <alignment horizontal="left" vertical="center"/>
    </xf>
    <xf numFmtId="264" applyNumberFormat="1" fontId="33" applyFont="1" fillId="5" applyFill="1" borderId="13" applyBorder="1" xfId="9356" applyProtection="1" applyAlignment="1">
      <alignment horizontal="center" vertical="center"/>
    </xf>
    <xf numFmtId="260" applyNumberFormat="1" fontId="32" applyFont="1" fillId="0" applyFill="1" borderId="0" applyBorder="1" xfId="11648" applyProtection="1" applyAlignment="1">
      <alignment vertical="center"/>
    </xf>
    <xf numFmtId="205" applyNumberFormat="1" fontId="40" applyFont="1" fillId="16" applyFill="1" borderId="18" applyBorder="1" xfId="3647" applyProtection="1" applyAlignment="1">
      <alignment vertical="center"/>
      <protection hidden="1"/>
    </xf>
    <xf numFmtId="264" applyNumberFormat="1" fontId="33" applyFont="1" fillId="16" applyFill="1" borderId="13" applyBorder="1" xfId="9356" applyProtection="1" applyAlignment="1">
      <alignment horizontal="center" vertical="center"/>
    </xf>
    <xf numFmtId="260" applyNumberFormat="1" fontId="33" applyFont="1" fillId="16" applyFill="1" borderId="37" applyBorder="1" xfId="0" applyProtection="1" applyAlignment="1">
      <alignment horizontal="center" vertical="center"/>
    </xf>
    <xf numFmtId="260" applyNumberFormat="1" fontId="32" applyFont="1" fillId="16" applyFill="1" borderId="0" applyBorder="1" xfId="11648" applyProtection="1" applyAlignment="1">
      <alignment vertical="center"/>
    </xf>
    <xf numFmtId="205" applyNumberFormat="1" fontId="32" applyFont="1" fillId="16" applyFill="1" borderId="0" applyBorder="1" xfId="11648" applyProtection="1" applyAlignment="1">
      <alignment horizontal="left" vertical="center"/>
    </xf>
    <xf numFmtId="41" applyNumberFormat="1" fontId="37" applyFont="1" fillId="4" applyFill="1" borderId="29" applyBorder="1" xfId="3647" applyProtection="1" applyAlignment="1">
      <alignment vertical="center"/>
    </xf>
    <xf numFmtId="9" applyNumberFormat="1" fontId="39" applyFont="1" fillId="7" applyFill="1" borderId="68" applyBorder="1" xfId="4951" applyProtection="1" applyAlignment="1">
      <alignment horizontal="center" vertical="center" wrapText="1"/>
    </xf>
    <xf numFmtId="41" applyNumberFormat="1" fontId="39" applyFont="1" fillId="7" applyFill="1" borderId="68" applyBorder="1" xfId="3892" applyProtection="1" applyAlignment="1">
      <alignment horizontal="center" vertical="center" wrapText="1"/>
      <protection hidden="1"/>
    </xf>
    <xf numFmtId="260" applyNumberFormat="1" fontId="72" applyFont="1" fillId="0" applyFill="1" borderId="13" applyBorder="1" xfId="0" applyProtection="1" applyAlignment="1">
      <alignment horizontal="center" vertical="center"/>
    </xf>
    <xf numFmtId="260" applyNumberFormat="1" fontId="72" applyFont="1" fillId="0" applyFill="1" borderId="37" applyBorder="1" xfId="0" applyProtection="1" applyAlignment="1">
      <alignment horizontal="center" vertical="center"/>
    </xf>
    <xf numFmtId="260" applyNumberFormat="1" fontId="72" applyFont="1" fillId="0" applyFill="1" borderId="69" applyBorder="1" xfId="0" applyProtection="1" applyAlignment="1">
      <alignment horizontal="center" vertical="center"/>
    </xf>
    <xf numFmtId="260" applyNumberFormat="1" fontId="72" applyFont="1" fillId="0" applyFill="1" borderId="70" applyBorder="1" xfId="0" applyProtection="1" applyAlignment="1">
      <alignment horizontal="center" vertical="center"/>
    </xf>
    <xf numFmtId="264" applyNumberFormat="1" fontId="33" applyFont="1" fillId="0" applyFill="1" borderId="69" applyBorder="1" xfId="9356" applyProtection="1" applyAlignment="1">
      <alignment horizontal="center" vertical="center"/>
    </xf>
    <xf numFmtId="260" applyNumberFormat="1" fontId="33" applyFont="1" fillId="0" applyFill="1" borderId="69" applyBorder="1" xfId="0" applyProtection="1" applyAlignment="1">
      <alignment horizontal="center" vertical="center"/>
    </xf>
    <xf numFmtId="264" applyNumberFormat="1" fontId="33" applyFont="1" fillId="5" applyFill="1" borderId="69" applyBorder="1" xfId="9356" applyProtection="1" applyAlignment="1">
      <alignment horizontal="center" vertical="center"/>
    </xf>
    <xf numFmtId="260" applyNumberFormat="1" fontId="33" applyFont="1" fillId="5" applyFill="1" borderId="69" applyBorder="1" xfId="0" applyProtection="1" applyAlignment="1">
      <alignment horizontal="center" vertical="center"/>
    </xf>
    <xf numFmtId="264" applyNumberFormat="1" fontId="32" applyFont="1" fillId="0" applyFill="1" borderId="0" applyBorder="1" xfId="0" applyProtection="1" applyAlignment="1">
      <alignment horizontal="left" vertical="center"/>
    </xf>
    <xf numFmtId="264" applyNumberFormat="1" fontId="32" applyFont="1" fillId="0" applyFill="1" borderId="0" applyBorder="1" xfId="0" applyProtection="1" applyAlignment="1">
      <alignment horizontal="left" vertical="center" wrapText="1"/>
    </xf>
    <xf numFmtId="0" applyNumberFormat="1" fontId="32" applyFont="1" fillId="0" applyFill="1" borderId="0" applyBorder="1" xfId="0" applyProtection="1" applyAlignment="1">
      <alignment horizontal="left" vertical="center" wrapText="1"/>
    </xf>
    <xf numFmtId="0" applyNumberFormat="1" fontId="32" applyFont="1" fillId="16" applyFill="1" borderId="0" applyBorder="1" xfId="11648" applyProtection="1" applyAlignment="1">
      <alignment horizontal="left" vertical="center"/>
    </xf>
    <xf numFmtId="0" applyNumberFormat="1" fontId="40" applyFont="1" fillId="12" applyFill="1" borderId="13" applyBorder="1" xfId="11648" applyProtection="1" applyAlignment="1">
      <alignment horizontal="left" vertical="center"/>
    </xf>
    <xf numFmtId="205" applyNumberFormat="1" fontId="32" applyFont="1" fillId="12" applyFill="1" borderId="8" applyBorder="1" xfId="3647" applyProtection="1" applyAlignment="1">
      <alignment horizontal="left" vertical="center"/>
    </xf>
    <xf numFmtId="205" applyNumberFormat="1" fontId="32" applyFont="1" fillId="14" applyFill="1" borderId="8" applyBorder="1" xfId="3647" applyProtection="1" applyAlignment="1">
      <alignment horizontal="left" vertical="center"/>
    </xf>
    <xf numFmtId="0" applyNumberFormat="1" fontId="37" applyFont="1" fillId="5" applyFill="1" borderId="28" applyBorder="1" xfId="11648" applyProtection="1" applyAlignment="1">
      <alignment horizontal="center" vertical="center"/>
    </xf>
    <xf numFmtId="205" applyNumberFormat="1" fontId="37" applyFont="1" fillId="5" applyFill="1" borderId="29" applyBorder="1" xfId="3647" applyProtection="1" applyAlignment="1">
      <alignment vertical="center"/>
    </xf>
    <xf numFmtId="0" applyNumberFormat="1" fontId="32" applyFont="1" fillId="0" applyFill="1" borderId="27" applyBorder="1" xfId="0" applyProtection="1" applyAlignment="1">
      <alignment vertical="center"/>
    </xf>
    <xf numFmtId="0" applyNumberFormat="1" fontId="32" applyFont="1" fillId="0" applyFill="1" borderId="27" applyBorder="1" xfId="0" applyProtection="1" applyAlignment="1">
      <alignment horizontal="center" vertical="center"/>
    </xf>
    <xf numFmtId="0" applyNumberFormat="1" fontId="32" applyFont="1" fillId="4" applyFill="1" borderId="27" applyBorder="1" xfId="11648" applyProtection="1" applyAlignment="1">
      <alignment horizontal="left" vertical="center"/>
    </xf>
    <xf numFmtId="0" applyNumberFormat="1" fontId="32" applyFont="1" fillId="4" applyFill="1" borderId="27" applyBorder="1" xfId="11648" applyProtection="1" applyAlignment="1">
      <alignment horizontal="center" vertical="center"/>
    </xf>
    <xf numFmtId="205" applyNumberFormat="1" fontId="32" applyFont="1" fillId="4" applyFill="1" borderId="27" applyBorder="1" xfId="3647" applyProtection="1" applyAlignment="1">
      <alignment vertical="center"/>
    </xf>
    <xf numFmtId="0" applyNumberFormat="1" fontId="37" applyFont="1" fillId="0" applyFill="1" borderId="0" applyBorder="1" xfId="11648" applyProtection="1" applyAlignment="1">
      <alignment horizontal="center" vertical="center"/>
    </xf>
    <xf numFmtId="0" applyNumberFormat="1" fontId="37" applyFont="1" fillId="0" applyFill="1" borderId="0" applyBorder="1" xfId="11648" applyProtection="1" applyAlignment="1">
      <alignment horizontal="left" vertical="center"/>
    </xf>
    <xf numFmtId="205" applyNumberFormat="1" fontId="37" applyFont="1" fillId="0" applyFill="1" borderId="0" applyBorder="1" xfId="3647" applyProtection="1" applyAlignment="1">
      <alignment vertical="center"/>
    </xf>
    <xf numFmtId="205" applyNumberFormat="1" fontId="32" applyFont="1" fillId="0" applyFill="1" borderId="0" applyBorder="1" xfId="11648" applyProtection="1" applyAlignment="1">
      <alignment horizontal="center" vertical="center"/>
    </xf>
    <xf numFmtId="41" applyNumberFormat="1" fontId="32" applyFont="1" fillId="5" applyFill="1" borderId="18" applyBorder="1" xfId="5352" applyProtection="1" applyAlignment="1">
      <alignment vertical="center"/>
      <protection hidden="1"/>
    </xf>
    <xf numFmtId="41" applyNumberFormat="1" fontId="32" applyFont="1" fillId="0" applyFill="1" borderId="71" applyBorder="1" xfId="11648" applyProtection="1" applyAlignment="1">
      <alignment vertical="center"/>
    </xf>
    <xf numFmtId="264" applyNumberFormat="1" fontId="33" applyFont="1" fillId="0" applyFill="1" borderId="72" applyBorder="1" xfId="9356" applyProtection="1" applyAlignment="1">
      <alignment horizontal="center" vertical="center"/>
    </xf>
    <xf numFmtId="260" applyNumberFormat="1" fontId="33" applyFont="1" fillId="0" applyFill="1" borderId="73" applyBorder="1" xfId="0" applyProtection="1" applyAlignment="1">
      <alignment horizontal="center" vertical="center"/>
    </xf>
    <xf numFmtId="205" applyNumberFormat="1" fontId="40" applyFont="1" fillId="0" applyFill="1" borderId="18" applyBorder="1" xfId="3647" applyProtection="1" applyAlignment="1">
      <alignment vertical="center"/>
      <protection hidden="1"/>
    </xf>
    <xf numFmtId="264" applyNumberFormat="1" fontId="33" applyFont="1" fillId="12" applyFill="1" borderId="13" applyBorder="1" xfId="9356" applyProtection="1" applyAlignment="1">
      <alignment horizontal="center" vertical="center"/>
    </xf>
    <xf numFmtId="260" applyNumberFormat="1" fontId="33" applyFont="1" fillId="12" applyFill="1" borderId="37" applyBorder="1" xfId="0" applyProtection="1" applyAlignment="1">
      <alignment horizontal="center" vertical="center"/>
    </xf>
    <xf numFmtId="264" applyNumberFormat="1" fontId="33" applyFont="1" fillId="14" applyFill="1" borderId="13" applyBorder="1" xfId="9356" applyProtection="1" applyAlignment="1">
      <alignment horizontal="center" vertical="center"/>
    </xf>
    <xf numFmtId="260" applyNumberFormat="1" fontId="33" applyFont="1" fillId="14" applyFill="1" borderId="37" applyBorder="1" xfId="0" applyProtection="1" applyAlignment="1">
      <alignment horizontal="center" vertical="center"/>
    </xf>
    <xf numFmtId="41" applyNumberFormat="1" fontId="32" applyFont="1" fillId="5" applyFill="1" borderId="29" applyBorder="1" xfId="11648" applyProtection="1" applyAlignment="1">
      <alignment horizontal="center" vertical="center"/>
    </xf>
    <xf numFmtId="41" applyNumberFormat="1" fontId="32" applyFont="1" fillId="5" applyFill="1" borderId="32" applyBorder="1" xfId="11648" applyProtection="1" applyAlignment="1">
      <alignment horizontal="center" vertical="center"/>
    </xf>
    <xf numFmtId="205" applyNumberFormat="1" fontId="37" applyFont="1" fillId="0" applyFill="1" borderId="0" applyBorder="1" xfId="3647" applyProtection="1" applyAlignment="1">
      <alignment horizontal="center" vertical="center"/>
    </xf>
    <xf numFmtId="263" applyNumberFormat="1" fontId="32" applyFont="1" fillId="0" applyFill="1" borderId="0" applyBorder="1" xfId="3647" applyProtection="1" applyAlignment="1">
      <alignment horizontal="center" vertical="center"/>
    </xf>
    <xf numFmtId="205" applyNumberFormat="1" fontId="32" applyFont="1" fillId="12" applyFill="1" borderId="0" applyBorder="1" xfId="11648" applyProtection="1" applyAlignment="1">
      <alignment horizontal="left" vertical="center"/>
    </xf>
    <xf numFmtId="264" applyNumberFormat="1" fontId="32" applyFont="1" fillId="12" applyFill="1" borderId="0" applyBorder="1" xfId="11648" applyProtection="1" applyAlignment="1">
      <alignment horizontal="left" vertical="center"/>
    </xf>
    <xf numFmtId="0" applyNumberFormat="1" fontId="32" applyFont="1" fillId="14" applyFill="1" borderId="0" applyBorder="1" xfId="11648" applyProtection="1" applyAlignment="1">
      <alignment horizontal="left" vertical="center"/>
    </xf>
    <xf numFmtId="264" applyNumberFormat="1" fontId="32" applyFont="1" fillId="14" applyFill="1" borderId="0" applyBorder="1" xfId="11648" applyProtection="1" applyAlignment="1">
      <alignment horizontal="left" vertical="center"/>
    </xf>
    <xf numFmtId="0" applyNumberFormat="1" fontId="40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5" applyFill="1" borderId="8" applyBorder="1" xfId="0" quotePrefix="1" applyProtection="1" applyAlignment="1">
      <alignment horizontal="center" vertical="center"/>
    </xf>
    <xf numFmtId="0" applyNumberFormat="1" fontId="32" applyFont="1" fillId="5" applyFill="1" borderId="13" applyBorder="1" xfId="0" quotePrefix="1" applyProtection="1" applyAlignment="1">
      <alignment horizontal="center" vertical="center"/>
    </xf>
    <xf numFmtId="0" applyNumberFormat="1" fontId="32" applyFont="1" fillId="5" applyFill="1" borderId="20" applyBorder="1" xfId="0" quotePrefix="1" applyProtection="1" applyAlignment="1">
      <alignment horizontal="center" vertical="center"/>
    </xf>
    <xf numFmtId="0" applyNumberFormat="1" fontId="32" applyFont="1" fillId="5" applyFill="1" borderId="66" applyBorder="1" xfId="0" quotePrefix="1" applyProtection="1" applyAlignment="1">
      <alignment horizontal="center" vertical="center"/>
    </xf>
    <xf numFmtId="0" applyNumberFormat="1" fontId="32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0" applyFill="1" borderId="0" applyBorder="1" xfId="0" quotePrefix="1" applyProtection="1" applyAlignment="1">
      <alignment horizontal="center" vertical="center"/>
    </xf>
    <xf numFmtId="0" applyNumberFormat="1" fontId="32" applyFont="1" fillId="0" applyFill="1" borderId="18" applyBorder="1" xfId="0" quotePrefix="1" applyProtection="1" applyAlignment="1">
      <alignment horizontal="center" vertical="center"/>
    </xf>
    <xf numFmtId="0" applyNumberFormat="1" fontId="40" applyFont="1" fillId="0" applyFill="1" borderId="18" applyBorder="1" xfId="0" quotePrefix="1" applyProtection="1" applyAlignment="1">
      <alignment horizontal="center" vertical="center"/>
    </xf>
    <xf numFmtId="204" applyNumberFormat="1" fontId="32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5" applyFill="1" borderId="13" applyBorder="1" xfId="0" quotePrefix="1" applyProtection="1" applyAlignment="1">
      <alignment horizontal="center" vertical="center"/>
    </xf>
    <xf numFmtId="204" applyNumberFormat="1" fontId="32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0" applyFill="1" borderId="13" applyBorder="1" xfId="0" quotePrefix="1" applyProtection="1" applyAlignment="1">
      <alignment horizontal="center" vertical="center"/>
    </xf>
    <xf numFmtId="267" applyNumberFormat="1" fontId="40" applyFont="1" fillId="0" applyFill="1" borderId="13" applyBorder="1" xfId="0" quotePrefix="1" applyProtection="1" applyAlignment="1">
      <alignment horizontal="center" vertical="center"/>
    </xf>
    <xf numFmtId="204" applyNumberFormat="1" fontId="40" applyFont="1" fillId="0" applyFill="1" borderId="18" applyBorder="1" xfId="0" quotePrefix="1" applyProtection="1" applyAlignment="1">
      <alignment horizontal="center" vertical="center"/>
    </xf>
    <xf numFmtId="0" applyNumberFormat="1" fontId="21" applyFont="1" fillId="5" applyFill="1" borderId="18" applyBorder="1" xfId="0" quotePrefix="1" applyProtection="1" applyAlignment="1">
      <alignment horizontal="center"/>
    </xf>
    <xf numFmtId="0" applyNumberFormat="1" fontId="32" applyFont="1" fillId="5" applyFill="1" borderId="8" applyBorder="1" xfId="0" quotePrefix="1" applyProtection="1" applyAlignment="1">
      <alignment horizontal="center"/>
    </xf>
    <xf numFmtId="0" applyNumberFormat="1" fontId="32" applyFont="1" fillId="5" applyFill="1" borderId="62" applyBorder="1" xfId="0" quotePrefix="1" applyProtection="1" applyAlignment="1">
      <alignment horizontal="center" vertical="center"/>
    </xf>
    <xf numFmtId="0" applyNumberFormat="1" fontId="32" applyFont="1" fillId="0" applyFill="1" borderId="49" applyBorder="1" xfId="0" quotePrefix="1" applyProtection="1" applyAlignment="1">
      <alignment horizontal="center" vertical="center"/>
    </xf>
    <xf numFmtId="0" applyNumberFormat="1" fontId="30" applyFont="1" fillId="0" applyFill="1" borderId="13" applyBorder="1" xfId="0" quotePrefix="1" applyProtection="1" applyAlignment="1">
      <alignment horizontal="center" vertical="center"/>
    </xf>
    <xf numFmtId="0" applyNumberFormat="1" fontId="30" applyFont="1" fillId="5" applyFill="1" borderId="13" applyBorder="1" xfId="0" quotePrefix="1" applyProtection="1" applyAlignment="1">
      <alignment horizontal="center" vertical="center"/>
    </xf>
    <xf numFmtId="0" applyNumberFormat="1" fontId="30" applyFont="1" fillId="0" applyFill="1" borderId="13" applyBorder="1" xfId="0" quotePrefix="1" applyProtection="1" applyAlignment="1">
      <alignment horizontal="center" vertical="center"/>
    </xf>
    <xf numFmtId="0" applyNumberFormat="1" fontId="30" applyFont="1" fillId="0" applyFill="1" borderId="20" applyBorder="1" xfId="0" quotePrefix="1" applyProtection="1" applyAlignment="1">
      <alignment horizontal="center" vertical="center"/>
    </xf>
    <xf numFmtId="0" applyNumberFormat="1" fontId="32" applyFont="1" fillId="0" applyFill="1" borderId="13" applyBorder="1" xfId="0" quotePrefix="1" applyProtection="1" applyAlignment="1">
      <alignment horizontal="center" vertical="center"/>
    </xf>
    <xf numFmtId="0" applyNumberFormat="1" fontId="32" applyFont="1" fillId="0" applyFill="1" borderId="18" applyBorder="1" xfId="0" quotePrefix="1" applyProtection="1" applyAlignment="1">
      <alignment horizontal="center" vertical="center"/>
    </xf>
    <xf numFmtId="0" applyNumberFormat="1" fontId="21" applyFont="1" fillId="0" applyFill="1" borderId="13" applyBorder="1" xfId="0" quotePrefix="1" applyProtection="1" applyAlignment="1">
      <alignment horizontal="center" vertical="center"/>
    </xf>
    <xf numFmtId="0" applyNumberFormat="1" fontId="21" applyFont="1" fillId="12" applyFill="1" borderId="8" applyBorder="1" xfId="0" quotePrefix="1" applyProtection="1" applyAlignment="1">
      <alignment horizontal="center" vertical="center"/>
    </xf>
    <xf numFmtId="0" applyNumberFormat="1" fontId="42" applyFont="1" fillId="0" applyFill="1" borderId="13" applyBorder="1" xfId="9356" quotePrefix="1" applyProtection="1" applyAlignment="1">
      <alignment horizontal="center" vertical="center"/>
    </xf>
    <xf numFmtId="4" applyNumberFormat="1" fontId="19" applyFont="1" fillId="0" applyFill="1" borderId="13" applyBorder="1" xfId="8653" quotePrefix="1" applyProtection="1" applyAlignment="1">
      <alignment horizontal="left"/>
    </xf>
    <xf numFmtId="205" applyNumberFormat="1" fontId="26" applyFont="1" fillId="0" applyFill="1" borderId="0" applyBorder="1" xfId="3647" quotePrefix="1" applyProtection="1"/>
    <xf numFmtId="4" applyNumberFormat="1" fontId="19" applyFont="1" fillId="0" applyFill="1" borderId="13" applyBorder="1" xfId="8654" quotePrefix="1" applyProtection="1" applyAlignment="1">
      <alignment horizontal="left"/>
    </xf>
    <xf numFmtId="0" applyNumberFormat="1" fontId="40" applyFont="1" fillId="43" applyFill="1" borderId="24" applyBorder="1" xfId="11648" applyProtection="1" applyAlignment="1">
      <alignment horizontal="center" vertical="center"/>
    </xf>
    <xf numFmtId="0" applyNumberFormat="1" fontId="32" applyFont="1" fillId="43" applyFill="1" borderId="13" applyBorder="1" xfId="0" applyProtection="1" applyAlignment="1">
      <alignment horizontal="center" vertical="center"/>
    </xf>
    <xf numFmtId="0" applyNumberFormat="1" fontId="40" applyFont="1" fillId="43" applyFill="1" borderId="13" applyBorder="1" xfId="11648" applyProtection="1" applyAlignment="1">
      <alignment horizontal="left" vertical="center"/>
    </xf>
    <xf numFmtId="205" applyNumberFormat="1" fontId="32" applyFont="1" fillId="43" applyFill="1" borderId="13" applyBorder="1" xfId="3647" applyProtection="1" applyAlignment="1">
      <alignment horizontal="left" vertical="center"/>
    </xf>
    <xf numFmtId="205" applyNumberFormat="1" fontId="32" applyFont="1" fillId="43" applyFill="1" borderId="8" applyBorder="1" xfId="3647" applyProtection="1" applyAlignment="1">
      <alignment horizontal="left" vertical="center"/>
    </xf>
    <xf numFmtId="205" applyNumberFormat="1" fontId="40" applyFont="1" fillId="43" applyFill="1" borderId="8" applyBorder="1" xfId="5813" applyProtection="1" applyAlignment="1">
      <alignment vertical="center"/>
    </xf>
    <xf numFmtId="205" applyNumberFormat="1" fontId="40" applyFont="1" fillId="43" applyFill="1" borderId="13" applyBorder="1" xfId="5813" applyProtection="1" applyAlignment="1">
      <alignment vertical="center"/>
    </xf>
    <xf numFmtId="205" applyNumberFormat="1" fontId="40" applyFont="1" fillId="43" applyFill="1" borderId="18" applyBorder="1" xfId="5813" applyProtection="1" applyAlignment="1">
      <alignment vertical="center"/>
      <protection hidden="1"/>
    </xf>
    <xf numFmtId="205" applyNumberFormat="1" fontId="40" applyFont="1" fillId="43" applyFill="1" borderId="13" applyBorder="1" xfId="5813" applyProtection="1" applyAlignment="1">
      <alignment vertical="center"/>
      <protection hidden="1"/>
    </xf>
    <xf numFmtId="205" applyNumberFormat="1" fontId="40" applyFont="1" fillId="43" applyFill="1" borderId="8" applyBorder="1" xfId="5813" applyProtection="1" applyAlignment="1">
      <alignment vertical="center"/>
      <protection hidden="1"/>
    </xf>
    <xf numFmtId="205" applyNumberFormat="1" fontId="40" applyFont="1" fillId="43" applyFill="1" borderId="18" applyBorder="1" xfId="3647" applyProtection="1" applyAlignment="1">
      <alignment vertical="center"/>
      <protection hidden="1"/>
    </xf>
    <xf numFmtId="41" applyNumberFormat="1" fontId="32" applyFont="1" fillId="43" applyFill="1" borderId="8" applyBorder="1" xfId="5352" applyProtection="1" applyAlignment="1">
      <alignment vertical="center"/>
      <protection hidden="1"/>
    </xf>
    <xf numFmtId="41" applyNumberFormat="1" fontId="32" applyFont="1" fillId="43" applyFill="1" borderId="13" applyBorder="1" xfId="5352" applyProtection="1" applyAlignment="1">
      <alignment vertical="center"/>
      <protection hidden="1"/>
    </xf>
    <xf numFmtId="41" applyNumberFormat="1" fontId="32" applyFont="1" fillId="43" applyFill="1" borderId="8" applyBorder="1" xfId="11648" applyProtection="1" applyAlignment="1">
      <alignment vertical="center"/>
    </xf>
    <xf numFmtId="264" applyNumberFormat="1" fontId="33" applyFont="1" fillId="43" applyFill="1" borderId="13" applyBorder="1" xfId="9356" applyProtection="1" applyAlignment="1">
      <alignment horizontal="center" vertical="center"/>
    </xf>
    <xf numFmtId="260" applyNumberFormat="1" fontId="33" applyFont="1" fillId="43" applyFill="1" borderId="37" applyBorder="1" xfId="0" applyProtection="1" applyAlignment="1">
      <alignment horizontal="center" vertical="center"/>
    </xf>
    <xf numFmtId="260" applyNumberFormat="1" fontId="32" applyFont="1" fillId="43" applyFill="1" borderId="0" applyBorder="1" xfId="11648" applyProtection="1" applyAlignment="1">
      <alignment vertical="center"/>
    </xf>
    <xf numFmtId="205" applyNumberFormat="1" fontId="32" applyFont="1" fillId="43" applyFill="1" borderId="0" applyBorder="1" xfId="11648" applyProtection="1" applyAlignment="1">
      <alignment horizontal="left" vertical="center"/>
    </xf>
    <xf numFmtId="0" applyNumberFormat="1" fontId="32" applyFont="1" fillId="43" applyFill="1" borderId="0" applyBorder="1" xfId="11648" applyProtection="1" applyAlignment="1">
      <alignment horizontal="left" vertical="center"/>
    </xf>
    <xf numFmtId="0" applyNumberFormat="1" fontId="32" applyFont="1" fillId="43" applyFill="1" borderId="0" applyBorder="1" xfId="11648" applyProtection="1" applyAlignment="1">
      <alignment vertical="center"/>
    </xf>
    <xf numFmtId="205" applyNumberFormat="1" fontId="21" applyFont="1" fillId="0" applyFill="1" borderId="7" applyBorder="1" xfId="5548" applyProtection="1" applyAlignment="1">
      <alignment horizontal="left" vertical="center"/>
    </xf>
    <xf numFmtId="205" applyNumberFormat="1" fontId="258" applyFont="1" fillId="7" applyFill="1" borderId="23" applyBorder="1" xfId="3647" applyProtection="1" applyAlignment="1">
      <alignment horizontal="center" vertical="center" wrapText="1"/>
      <protection hidden="1"/>
    </xf>
    <xf numFmtId="205" applyNumberFormat="1" fontId="21" applyFont="1" fillId="0" applyFill="1" borderId="46" applyBorder="1" xfId="5548" applyProtection="1" applyAlignment="1">
      <alignment horizontal="left" vertical="center"/>
    </xf>
    <xf numFmtId="205" applyNumberFormat="1" fontId="21" applyFont="1" fillId="12" applyFill="1" borderId="7" applyBorder="1" xfId="5548" applyProtection="1" applyAlignment="1">
      <alignment horizontal="left" vertical="center"/>
    </xf>
    <xf numFmtId="205" applyNumberFormat="1" fontId="258" applyFont="1" fillId="9" applyFill="1" borderId="23" applyBorder="1" xfId="3647" applyProtection="1" applyAlignment="1">
      <alignment horizontal="center" vertical="center" wrapText="1"/>
      <protection hidden="1"/>
    </xf>
    <xf numFmtId="264" applyNumberFormat="1" fontId="32" applyFont="1" fillId="43" applyFill="1" borderId="0" applyBorder="1" xfId="11648" applyProtection="1" applyAlignment="1">
      <alignment horizontal="left" vertical="center"/>
    </xf>
    <xf numFmtId="0" applyNumberFormat="1" fontId="73" applyFont="1" fillId="0" applyFill="1" borderId="13" applyBorder="1" xfId="0" applyProtection="1" applyAlignment="1">
      <alignment horizontal="center" vertical="center"/>
    </xf>
    <xf numFmtId="0" applyNumberFormat="1" fontId="30" applyFont="1" fillId="16" applyFill="1" borderId="13" applyBorder="1" xfId="0" applyProtection="1" applyAlignment="1">
      <alignment horizontal="center" vertical="center"/>
    </xf>
    <xf numFmtId="0" applyNumberFormat="1" fontId="30" applyFont="1" fillId="43" applyFill="1" borderId="13" applyBorder="1" xfId="0" applyProtection="1" applyAlignment="1">
      <alignment horizontal="center" vertical="center"/>
    </xf>
    <xf numFmtId="205" applyNumberFormat="1" fontId="32" applyFont="1" fillId="43" applyFill="1" borderId="18" applyBorder="1" xfId="3647" applyProtection="1" applyAlignment="1">
      <alignment horizontal="left" vertical="center"/>
    </xf>
    <xf numFmtId="260" applyNumberFormat="1" fontId="72" applyFont="1" fillId="0" applyFill="1" borderId="37" applyBorder="1" xfId="0" applyProtection="1" applyAlignment="1">
      <alignment horizontal="left" vertical="center"/>
    </xf>
    <xf numFmtId="260" applyNumberFormat="1" fontId="40" applyFont="1" fillId="12" applyFill="1" borderId="37" applyBorder="1" xfId="0" applyProtection="1" applyAlignment="1">
      <alignment horizontal="left" vertical="center"/>
    </xf>
    <xf numFmtId="260" applyNumberFormat="1" fontId="72" applyFont="1" fillId="14" applyFill="1" borderId="37" applyBorder="1" xfId="0" applyProtection="1" applyAlignment="1">
      <alignment horizontal="left" vertical="center"/>
    </xf>
    <xf numFmtId="205" applyNumberFormat="1" fontId="40" applyFont="1" fillId="16" applyFill="1" borderId="13" applyBorder="1" xfId="3647" applyProtection="1" applyAlignment="1">
      <alignment vertical="center"/>
    </xf>
    <xf numFmtId="205" applyNumberFormat="1" fontId="40" applyFont="1" fillId="12" applyFill="1" borderId="13" applyBorder="1" xfId="3647" applyProtection="1" applyAlignment="1">
      <alignment vertical="center"/>
    </xf>
    <xf numFmtId="0" applyNumberFormat="1" fontId="32" applyFont="1" fillId="43" applyFill="1" borderId="24" applyBorder="1" xfId="11648" applyProtection="1" applyAlignment="1">
      <alignment horizontal="center" vertical="center"/>
    </xf>
    <xf numFmtId="0" applyNumberFormat="1" fontId="32" applyFont="1" fillId="43" applyFill="1" borderId="18" applyBorder="1" xfId="11648" applyProtection="1" applyAlignment="1">
      <alignment horizontal="center" vertical="center"/>
    </xf>
    <xf numFmtId="0" applyNumberFormat="1" fontId="32" applyFont="1" fillId="43" applyFill="1" borderId="13" applyBorder="1" xfId="11648" applyProtection="1" applyAlignment="1">
      <alignment horizontal="center" vertical="center"/>
    </xf>
    <xf numFmtId="205" applyNumberFormat="1" fontId="32" applyFont="1" fillId="43" applyFill="1" borderId="13" applyBorder="1" xfId="3647" applyProtection="1" applyAlignment="1">
      <alignment vertical="center"/>
    </xf>
    <xf numFmtId="205" applyNumberFormat="1" fontId="40" applyFont="1" fillId="43" applyFill="1" borderId="13" applyBorder="1" xfId="3647" applyProtection="1" applyAlignment="1">
      <alignment vertical="center"/>
      <protection hidden="1"/>
    </xf>
    <xf numFmtId="41" applyNumberFormat="1" fontId="32" applyFont="1" fillId="43" applyFill="1" borderId="13" applyBorder="1" xfId="11648" applyProtection="1" applyAlignment="1">
      <alignment vertical="center"/>
    </xf>
    <xf numFmtId="264" applyNumberFormat="1" fontId="33" applyFont="1" fillId="43" applyFill="1" borderId="16" applyBorder="1" xfId="10462" applyProtection="1" applyAlignment="1">
      <alignment horizontal="center" vertical="center"/>
    </xf>
    <xf numFmtId="260" applyNumberFormat="1" fontId="32" applyFont="1" fillId="43" applyFill="1" borderId="48" applyBorder="1" xfId="11648" applyProtection="1" applyAlignment="1">
      <alignment horizontal="center" vertical="center"/>
    </xf>
    <xf numFmtId="205" applyNumberFormat="1" fontId="32" applyFont="1" fillId="43" applyFill="1" borderId="0" applyBorder="1" xfId="0" applyProtection="1" applyAlignment="1">
      <alignment vertical="center"/>
    </xf>
    <xf numFmtId="264" applyNumberFormat="1" fontId="32" applyFont="1" fillId="43" applyFill="1" borderId="0" applyBorder="1" xfId="0" applyProtection="1" applyAlignment="1">
      <alignment vertical="center"/>
    </xf>
    <xf numFmtId="0" applyNumberFormat="1" fontId="32" applyFont="1" fillId="43" applyFill="1" borderId="0" applyBorder="1" xfId="0" applyProtection="1" applyAlignment="1">
      <alignment vertical="center"/>
    </xf>
    <xf numFmtId="0" applyNumberFormat="1" fontId="30" applyFont="1" fillId="0" applyFill="1" borderId="62" applyBorder="1" xfId="0" applyProtection="1" applyAlignment="1">
      <alignment horizontal="center" vertical="center"/>
    </xf>
    <xf numFmtId="0" applyNumberFormat="1" fontId="32" applyFont="1" fillId="0" applyFill="1" borderId="62" applyBorder="1" xfId="11648" applyProtection="1" applyAlignment="1">
      <alignment horizontal="left" vertical="center"/>
    </xf>
    <xf numFmtId="205" applyNumberFormat="1" fontId="32" applyFont="1" fillId="0" applyFill="1" borderId="62" applyBorder="1" xfId="5548" applyProtection="1" applyAlignment="1">
      <alignment horizontal="center" vertical="center"/>
    </xf>
    <xf numFmtId="205" applyNumberFormat="1" fontId="40" applyFont="1" fillId="0" applyFill="1" borderId="62" applyBorder="1" xfId="5813" applyProtection="1" applyAlignment="1">
      <alignment horizontal="center" vertical="center"/>
    </xf>
    <xf numFmtId="205" applyNumberFormat="1" fontId="40" applyFont="1" fillId="0" applyFill="1" borderId="62" applyBorder="1" xfId="5813" applyProtection="1" applyAlignment="1">
      <alignment horizontal="center" vertical="center"/>
      <protection hidden="1"/>
    </xf>
    <xf numFmtId="205" applyNumberFormat="1" fontId="21" applyFont="1" fillId="5" applyFill="1" borderId="62" applyBorder="1" xfId="3647" applyProtection="1" applyAlignment="1">
      <alignment vertical="center"/>
    </xf>
    <xf numFmtId="41" applyNumberFormat="1" fontId="32" applyFont="1" fillId="0" applyFill="1" borderId="62" applyBorder="1" xfId="5352" applyProtection="1" applyAlignment="1">
      <alignment horizontal="center" vertical="center"/>
      <protection hidden="1"/>
    </xf>
    <xf numFmtId="41" applyNumberFormat="1" fontId="32" applyFont="1" fillId="0" applyFill="1" borderId="62" applyBorder="1" xfId="11648" applyProtection="1" applyAlignment="1">
      <alignment horizontal="center" vertical="center"/>
    </xf>
    <xf numFmtId="205" applyNumberFormat="1" fontId="37" applyFont="1" fillId="0" applyFill="1" borderId="44" applyBorder="1" xfId="3647" applyProtection="1" applyAlignment="1">
      <alignment vertical="center"/>
    </xf>
    <xf numFmtId="0" applyNumberFormat="1" fontId="32" applyFont="1" fillId="43" applyFill="1" borderId="35" applyBorder="1" xfId="11648" applyProtection="1" applyAlignment="1">
      <alignment horizontal="center" vertical="center"/>
    </xf>
    <xf numFmtId="0" applyNumberFormat="1" fontId="32" applyFont="1" fillId="43" applyFill="1" borderId="8" applyBorder="1" xfId="11648" applyProtection="1" applyAlignment="1">
      <alignment horizontal="center" vertical="center"/>
    </xf>
    <xf numFmtId="0" applyNumberFormat="1" fontId="32" applyFont="1" fillId="43" applyFill="1" borderId="49" applyBorder="1" xfId="11648" applyProtection="1" applyAlignment="1">
      <alignment horizontal="center" vertical="center"/>
    </xf>
    <xf numFmtId="205" applyNumberFormat="1" fontId="21" applyFont="1" fillId="43" applyFill="1" borderId="13" applyBorder="1" xfId="5548" applyProtection="1" applyAlignment="1">
      <alignment horizontal="left" vertical="center"/>
    </xf>
    <xf numFmtId="205" applyNumberFormat="1" fontId="21" applyFont="1" fillId="43" applyFill="1" borderId="7" applyBorder="1" xfId="5548" applyProtection="1" applyAlignment="1">
      <alignment horizontal="left" vertical="center"/>
    </xf>
    <xf numFmtId="205" applyNumberFormat="1" fontId="40" applyFont="1" fillId="43" applyFill="1" borderId="7" applyBorder="1" xfId="5813" applyProtection="1" applyAlignment="1">
      <alignment vertical="center"/>
    </xf>
    <xf numFmtId="205" applyNumberFormat="1" fontId="21" applyFont="1" fillId="43" applyFill="1" borderId="13" applyBorder="1" xfId="3647" applyProtection="1" applyAlignment="1">
      <alignment vertical="center"/>
    </xf>
    <xf numFmtId="260" applyNumberFormat="1" fontId="32" applyFont="1" fillId="43" applyFill="1" borderId="8" applyBorder="1" xfId="11648" applyProtection="1" applyAlignment="1">
      <alignment horizontal="center" vertical="center"/>
    </xf>
    <xf numFmtId="260" applyNumberFormat="1" fontId="32" applyFont="1" fillId="43" applyFill="1" borderId="31" applyBorder="1" xfId="11648" applyProtection="1" applyAlignment="1">
      <alignment horizontal="center" vertical="center"/>
    </xf>
    <xf numFmtId="0" applyNumberFormat="1" fontId="32" applyFont="1" fillId="43" applyFill="1" borderId="0" applyBorder="1" xfId="11648" applyProtection="1" applyAlignment="1">
      <alignment vertical="center"/>
    </xf>
    <xf numFmtId="264" applyNumberFormat="1" fontId="32" applyFont="1" fillId="43" applyFill="1" borderId="0" applyBorder="1" xfId="11648" applyProtection="1" applyAlignment="1">
      <alignment vertical="center"/>
    </xf>
    <xf numFmtId="0" applyNumberFormat="1" fontId="60" applyFont="1" fillId="4" applyFill="1" borderId="50" applyBorder="1" xfId="11648" applyProtection="1" applyAlignment="1">
      <alignment horizontal="center" vertical="center"/>
    </xf>
    <xf numFmtId="0" applyNumberFormat="1" fontId="60" applyFont="1" fillId="4" applyFill="1" borderId="29" applyBorder="1" xfId="11648" applyProtection="1" applyAlignment="1">
      <alignment horizontal="center" vertical="center"/>
    </xf>
    <xf numFmtId="0" applyNumberFormat="1" fontId="37" applyFont="1" fillId="5" applyFill="1" borderId="26" applyBorder="1" xfId="11648" applyProtection="1" applyAlignment="1">
      <alignment horizontal="center" vertical="center"/>
    </xf>
    <xf numFmtId="0" applyNumberFormat="1" fontId="37" applyFont="1" fillId="5" applyFill="1" borderId="27" applyBorder="1" xfId="11648" applyProtection="1" applyAlignment="1">
      <alignment horizontal="center" vertical="center"/>
    </xf>
    <xf numFmtId="0" applyNumberFormat="1" fontId="37" applyFont="1" fillId="4" applyFill="1" borderId="26" applyBorder="1" xfId="11648" applyProtection="1" applyAlignment="1">
      <alignment horizontal="center" vertical="center"/>
    </xf>
    <xf numFmtId="0" applyNumberFormat="1" fontId="37" applyFont="1" fillId="4" applyFill="1" borderId="27" applyBorder="1" xfId="11648" applyProtection="1" applyAlignment="1">
      <alignment horizontal="center" vertical="center"/>
    </xf>
    <xf numFmtId="0" applyNumberFormat="1" fontId="0" applyFont="1" fillId="0" applyFill="1" borderId="46" applyBorder="1" xfId="0" applyProtection="1" applyAlignment="1">
      <alignment horizontal="center"/>
    </xf>
    <xf numFmtId="0" applyNumberFormat="1" fontId="0" applyFont="1" fillId="5" applyFill="1" borderId="46" applyBorder="1" xfId="0" applyProtection="1" applyAlignment="1">
      <alignment horizontal="center"/>
    </xf>
    <xf numFmtId="0" applyNumberFormat="1" fontId="0" applyFont="1" fillId="0" applyFill="1" borderId="18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71" applyFont="1" fillId="5" applyFill="1" borderId="18" applyBorder="1" xfId="9356" applyProtection="1" applyAlignment="1">
      <alignment horizontal="center"/>
    </xf>
    <xf numFmtId="0" applyNumberFormat="1" fontId="71" applyFont="1" fillId="5" applyFill="1" borderId="8" applyBorder="1" xfId="9356" applyProtection="1" applyAlignment="1">
      <alignment horizontal="center"/>
    </xf>
    <xf numFmtId="0" applyNumberFormat="1" fontId="71" applyFont="1" fillId="5" applyFill="1" borderId="18" applyBorder="1" xfId="11649" applyProtection="1" applyAlignment="1">
      <alignment horizontal="center"/>
    </xf>
    <xf numFmtId="0" applyNumberFormat="1" fontId="71" applyFont="1" fillId="5" applyFill="1" borderId="8" applyBorder="1" xfId="11649" applyProtection="1" applyAlignment="1">
      <alignment horizontal="center"/>
    </xf>
    <xf numFmtId="0" applyNumberFormat="1" fontId="74" applyFont="1" fillId="17" applyFill="1" borderId="18" applyBorder="1" xfId="0" applyProtection="1" applyAlignment="1">
      <alignment horizontal="center"/>
    </xf>
    <xf numFmtId="0" applyNumberFormat="1" fontId="74" applyFont="1" fillId="17" applyFill="1" borderId="8" applyBorder="1" xfId="0" applyProtection="1" applyAlignment="1">
      <alignment horizontal="center"/>
    </xf>
    <xf numFmtId="0" applyNumberFormat="1" fontId="30" applyFont="1" fillId="5" applyFill="1" borderId="21" applyBorder="1" xfId="0" quotePrefix="1" applyProtection="1" applyAlignment="1">
      <alignment horizontal="center"/>
    </xf>
    <xf numFmtId="0" applyNumberFormat="1" fontId="30" applyFont="1" fillId="5" applyFill="1" borderId="8" applyBorder="1" xfId="0" applyProtection="1" applyAlignment="1">
      <alignment horizontal="center"/>
    </xf>
    <xf numFmtId="0" applyNumberFormat="1" fontId="30" applyFont="1" fillId="5" applyFill="1" borderId="18" applyBorder="1" xfId="0" quotePrefix="1" applyProtection="1" applyAlignment="1">
      <alignment horizontal="center"/>
    </xf>
    <xf numFmtId="0" applyNumberFormat="1" fontId="30" applyFont="1" fillId="5" applyFill="1" borderId="66" applyBorder="1" xfId="0" quotePrefix="1" applyProtection="1" applyAlignment="1">
      <alignment horizontal="center"/>
    </xf>
    <xf numFmtId="0" applyNumberFormat="1" fontId="30" applyFont="1" fillId="5" applyFill="1" borderId="49" applyBorder="1" xfId="0" applyProtection="1" applyAlignment="1">
      <alignment horizontal="center"/>
    </xf>
    <xf numFmtId="0" applyNumberFormat="1" fontId="30" applyFont="1" fillId="5" applyFill="1" borderId="13" applyBorder="1" xfId="0" quotePrefix="1" applyProtection="1" applyAlignment="1">
      <alignment horizontal="center"/>
    </xf>
    <xf numFmtId="0" applyNumberFormat="1" fontId="30" applyFont="1" fillId="5" applyFill="1" borderId="13" applyBorder="1" xfId="0" applyProtection="1" applyAlignment="1">
      <alignment horizontal="center"/>
    </xf>
    <xf numFmtId="0" applyNumberFormat="1" fontId="11" applyFont="1" fillId="5" applyFill="1" borderId="18" applyBorder="1" xfId="0" quotePrefix="1" applyProtection="1" applyAlignment="1">
      <alignment horizontal="center"/>
    </xf>
    <xf numFmtId="0" applyNumberFormat="1" fontId="11" applyFont="1" fillId="5" applyFill="1" borderId="8" applyBorder="1" xfId="0" applyProtection="1" applyAlignment="1">
      <alignment horizontal="center"/>
    </xf>
    <xf numFmtId="0" applyNumberFormat="1" fontId="11" applyFont="1" fillId="5" applyFill="1" borderId="18" applyBorder="1" xfId="0" applyProtection="1" applyAlignment="1">
      <alignment horizontal="center"/>
    </xf>
    <xf numFmtId="0" applyNumberFormat="1" fontId="0" applyFont="1" fillId="0" applyFill="1" borderId="13" applyBorder="1" xfId="0" quotePrefix="1" applyProtection="1" applyAlignment="1">
      <alignment horizontal="center"/>
    </xf>
    <xf numFmtId="0" applyNumberFormat="1" fontId="0" applyFont="1" fillId="0" applyFill="1" borderId="13" applyBorder="1" xfId="0" applyProtection="1" applyAlignment="1">
      <alignment horizont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74" applyFont="1" fillId="17" applyFill="1" borderId="13" applyBorder="1" xfId="0" applyProtection="1" applyAlignment="1">
      <alignment horizontal="center"/>
    </xf>
    <xf numFmtId="0" applyNumberFormat="1" fontId="37" applyFont="1" fillId="4" applyFill="1" borderId="28" applyBorder="1" xfId="11648" applyProtection="1" applyAlignment="1">
      <alignment horizontal="center" vertical="center"/>
    </xf>
    <xf numFmtId="0" applyNumberFormat="1" fontId="30" applyFont="1" fillId="5" applyFill="1" borderId="21" applyBorder="1" xfId="0" applyProtection="1" applyAlignment="1">
      <alignment horizontal="center"/>
    </xf>
    <xf numFmtId="0" applyNumberFormat="1" fontId="0" applyFont="1" fillId="5" applyFill="1" borderId="13" applyBorder="1" xfId="0" applyProtection="1" applyAlignment="1">
      <alignment horizontal="center"/>
    </xf>
    <xf numFmtId="0" applyNumberFormat="1" fontId="37" applyFont="1" fillId="4" applyFill="1" borderId="53" applyBorder="1" xfId="11648" applyProtection="1" applyAlignment="1">
      <alignment horizontal="center" vertical="center"/>
    </xf>
    <xf numFmtId="0" applyNumberFormat="1" fontId="37" applyFont="1" fillId="4" applyFill="1" borderId="54" applyBorder="1" xfId="11648" applyProtection="1" applyAlignment="1">
      <alignment horizontal="center" vertical="center"/>
    </xf>
    <xf numFmtId="0" applyNumberFormat="1" fontId="37" applyFont="1" fillId="4" applyFill="1" borderId="36" applyBorder="1" xfId="11648" applyProtection="1" applyAlignment="1">
      <alignment horizontal="center" vertical="center"/>
    </xf>
    <xf numFmtId="0" applyNumberFormat="1" fontId="37" applyFont="1" fillId="4" applyFill="1" borderId="50" applyBorder="1" xfId="11648" applyProtection="1" applyAlignment="1">
      <alignment horizontal="center" vertical="center"/>
    </xf>
    <xf numFmtId="0" applyNumberFormat="1" fontId="37" applyFont="1" fillId="4" applyFill="1" borderId="29" applyBorder="1" xfId="11648" applyProtection="1" applyAlignment="1">
      <alignment horizontal="center" vertical="center"/>
    </xf>
    <xf numFmtId="0" applyNumberFormat="1" fontId="37" applyFont="1" fillId="5" applyFill="1" borderId="40" applyBorder="1" xfId="11648" applyProtection="1" applyAlignment="1">
      <alignment horizontal="center" vertical="center"/>
    </xf>
    <xf numFmtId="0" applyNumberFormat="1" fontId="37" applyFont="1" fillId="5" applyFill="1" borderId="41" applyBorder="1" xfId="11648" applyProtection="1" applyAlignment="1">
      <alignment horizontal="center" vertical="center"/>
    </xf>
    <xf numFmtId="0" applyNumberFormat="1" fontId="37" applyFont="1" fillId="4" applyFill="1" borderId="40" applyBorder="1" xfId="11648" applyProtection="1" applyAlignment="1">
      <alignment horizontal="center" vertical="center"/>
    </xf>
    <xf numFmtId="0" applyNumberFormat="1" fontId="37" applyFont="1" fillId="4" applyFill="1" borderId="41" applyBorder="1" xfId="11648" applyProtection="1" applyAlignment="1">
      <alignment horizontal="center" vertical="center"/>
    </xf>
    <xf numFmtId="0" applyNumberFormat="1" fontId="37" applyFont="1" fillId="4" applyFill="1" borderId="1" applyBorder="1" xfId="11648" applyProtection="1" applyAlignment="1">
      <alignment horizontal="center" vertical="center"/>
    </xf>
    <xf numFmtId="0" applyNumberFormat="1" fontId="37" applyFont="1" fillId="4" applyFill="1" borderId="2" applyBorder="1" xfId="11648" applyProtection="1" applyAlignment="1">
      <alignment horizontal="center" vertical="center"/>
    </xf>
    <xf numFmtId="0" applyNumberFormat="1" fontId="37" applyFont="1" fillId="4" applyFill="1" borderId="3" applyBorder="1" xfId="11648" applyProtection="1" applyAlignment="1">
      <alignment horizontal="center" vertical="center"/>
    </xf>
    <xf numFmtId="0" applyNumberFormat="1" fontId="21" applyFont="1" fillId="0" applyFill="1" borderId="18" applyBorder="1" xfId="0" applyProtection="1" applyAlignment="1">
      <alignment horizontal="center"/>
    </xf>
    <xf numFmtId="0" applyNumberFormat="1" fontId="21" applyFont="1" fillId="0" applyFill="1" borderId="8" applyBorder="1" xfId="0" applyProtection="1" applyAlignment="1">
      <alignment horizontal="center"/>
    </xf>
    <xf numFmtId="0" applyNumberFormat="1" fontId="21" applyFont="1" fillId="0" applyFill="1" borderId="18" applyBorder="1" xfId="0" applyProtection="1" applyAlignment="1">
      <alignment horizontal="left"/>
    </xf>
    <xf numFmtId="0" applyNumberFormat="1" fontId="21" applyFont="1" fillId="0" applyFill="1" borderId="8" applyBorder="1" xfId="0" applyProtection="1" applyAlignment="1">
      <alignment horizontal="left"/>
    </xf>
    <xf numFmtId="0" applyNumberFormat="1" fontId="37" applyFont="1" fillId="4" applyFill="1" borderId="47" applyBorder="1" xfId="11648" applyProtection="1" applyAlignment="1">
      <alignment horizontal="center" vertical="center"/>
    </xf>
    <xf numFmtId="0" applyNumberFormat="1" fontId="17" applyFont="1" fillId="11" applyFill="1" borderId="33" applyBorder="1" xfId="9356" applyProtection="1" applyAlignment="1">
      <alignment horizontal="center" vertical="center"/>
    </xf>
    <xf numFmtId="0" applyNumberFormat="1" fontId="17" applyFont="1" fillId="11" applyFill="1" borderId="34" applyBorder="1" xfId="9356" applyProtection="1" applyAlignment="1">
      <alignment horizontal="center" vertical="center"/>
    </xf>
    <xf numFmtId="0" applyNumberFormat="1" fontId="47" applyFont="1" fillId="11" applyFill="1" borderId="33" applyBorder="1" xfId="9356" applyProtection="1" applyAlignment="1">
      <alignment horizontal="center" vertical="center"/>
    </xf>
    <xf numFmtId="0" applyNumberFormat="1" fontId="47" applyFont="1" fillId="11" applyFill="1" borderId="34" applyBorder="1" xfId="9356" applyProtection="1" applyAlignment="1">
      <alignment horizontal="center" vertical="center"/>
    </xf>
    <xf numFmtId="0" applyNumberFormat="1" fontId="48" applyFont="1" fillId="10" applyFill="1" borderId="18" applyBorder="1" xfId="9356" applyProtection="1" applyAlignment="1">
      <alignment horizontal="center" vertical="center" textRotation="255"/>
    </xf>
    <xf numFmtId="0" applyNumberFormat="1" fontId="48" applyFont="1" fillId="10" applyFill="1" borderId="21" applyBorder="1" xfId="9356" applyProtection="1" applyAlignment="1">
      <alignment horizontal="center" vertical="center" textRotation="255"/>
    </xf>
    <xf numFmtId="0" applyNumberFormat="1" fontId="48" applyFont="1" fillId="10" applyFill="1" borderId="8" applyBorder="1" xfId="9356" applyProtection="1" applyAlignment="1">
      <alignment horizontal="center" vertical="center" textRotation="255"/>
    </xf>
    <xf numFmtId="0" applyNumberFormat="1" fontId="49" applyFont="1" fillId="10" applyFill="1" borderId="18" applyBorder="1" xfId="9356" applyProtection="1" applyAlignment="1">
      <alignment horizontal="center" vertical="center" textRotation="255"/>
    </xf>
    <xf numFmtId="0" applyNumberFormat="1" fontId="49" applyFont="1" fillId="10" applyFill="1" borderId="21" applyBorder="1" xfId="9356" applyProtection="1" applyAlignment="1">
      <alignment horizontal="center" vertical="center" textRotation="255"/>
    </xf>
    <xf numFmtId="0" applyNumberFormat="1" fontId="49" applyFont="1" fillId="10" applyFill="1" borderId="8" applyBorder="1" xfId="9356" applyProtection="1" applyAlignment="1">
      <alignment horizontal="center" vertical="center" textRotation="255"/>
    </xf>
    <xf numFmtId="0" applyNumberFormat="1" fontId="51" applyFont="1" fillId="10" applyFill="1" borderId="21" applyBorder="1" xfId="9356" applyProtection="1" applyAlignment="1">
      <alignment horizontal="center" vertical="center" textRotation="255"/>
    </xf>
    <xf numFmtId="0" applyNumberFormat="1" fontId="52" applyFont="1" fillId="10" applyFill="1" borderId="21" applyBorder="1" xfId="9356" applyProtection="1" applyAlignment="1">
      <alignment horizontal="center" vertical="center" textRotation="255"/>
    </xf>
    <xf numFmtId="0" applyNumberFormat="1" fontId="53" applyFont="1" fillId="10" applyFill="1" borderId="21" applyBorder="1" xfId="9356" applyProtection="1" applyAlignment="1">
      <alignment horizontal="center" vertical="center" textRotation="255"/>
    </xf>
    <xf numFmtId="0" applyNumberFormat="1" fontId="54" applyFont="1" fillId="10" applyFill="1" borderId="21" applyBorder="1" xfId="9356" applyProtection="1" applyAlignment="1">
      <alignment horizontal="center" vertical="center" textRotation="255"/>
    </xf>
    <xf numFmtId="0" applyNumberFormat="1" fontId="54" applyFont="1" fillId="0" applyFill="1" borderId="21" applyBorder="1" xfId="9356" applyProtection="1" applyAlignment="1">
      <alignment horizontal="center" vertical="center" textRotation="255"/>
    </xf>
    <xf numFmtId="260" applyNumberFormat="1" fontId="5" applyFont="1" fillId="0" applyFill="1" borderId="0" applyBorder="1" xfId="8653" applyProtection="1" applyAlignment="1">
      <alignment horizontal="left"/>
    </xf>
    <xf numFmtId="0" applyNumberFormat="1" fontId="5" applyFont="1" fillId="3" applyFill="1" borderId="13" applyBorder="1" xfId="8653" applyProtection="1" applyAlignment="1">
      <alignment horizontal="center"/>
    </xf>
    <xf numFmtId="205" applyNumberFormat="1" fontId="5" applyFont="1" fillId="3" applyFill="1" borderId="13" applyBorder="1" xfId="1574" applyProtection="1" applyAlignment="1">
      <alignment horizontal="center"/>
    </xf>
    <xf numFmtId="0" applyNumberFormat="1" fontId="18" applyFont="1" fillId="0" applyFill="1" borderId="20" applyBorder="1" xfId="8653" applyProtection="1" applyAlignment="1">
      <alignment horizontal="center"/>
    </xf>
    <xf numFmtId="0" applyNumberFormat="1" fontId="18" applyFont="1" fillId="0" applyFill="1" borderId="11" applyBorder="1" xfId="8653" applyProtection="1" applyAlignment="1">
      <alignment horizontal="center"/>
    </xf>
    <xf numFmtId="0" applyNumberFormat="1" fontId="18" applyFont="1" fillId="0" applyFill="1" borderId="12" applyBorder="1" xfId="8653" applyProtection="1" applyAlignment="1">
      <alignment horizontal="center"/>
    </xf>
    <xf numFmtId="0" applyNumberFormat="1" fontId="17" applyFont="1" fillId="4" applyFill="1" borderId="20" applyBorder="1" xfId="8653" applyProtection="1" applyAlignment="1">
      <alignment horizontal="center"/>
    </xf>
    <xf numFmtId="0" applyNumberFormat="1" fontId="17" applyFont="1" fillId="4" applyFill="1" borderId="11" applyBorder="1" xfId="8653" applyProtection="1" applyAlignment="1">
      <alignment horizontal="center"/>
    </xf>
    <xf numFmtId="0" applyNumberFormat="1" fontId="17" applyFont="1" fillId="4" applyFill="1" borderId="12" applyBorder="1" xfId="8653" applyProtection="1"/>
    <xf numFmtId="0" applyNumberFormat="1" fontId="17" applyFont="1" fillId="3" applyFill="1" borderId="13" applyBorder="1" xfId="8653" applyProtection="1" applyAlignment="1">
      <alignment horizontal="center"/>
    </xf>
    <xf numFmtId="205" applyNumberFormat="1" fontId="17" applyFont="1" fillId="3" applyFill="1" borderId="13" applyBorder="1" xfId="1574" applyProtection="1" applyAlignment="1">
      <alignment horizontal="center"/>
    </xf>
    <xf numFmtId="0" applyNumberFormat="1" fontId="15" applyFont="1" fillId="4" applyFill="1" borderId="20" applyBorder="1" xfId="8653" applyProtection="1" applyAlignment="1">
      <alignment horizontal="center"/>
    </xf>
    <xf numFmtId="0" applyNumberFormat="1" fontId="15" applyFont="1" fillId="4" applyFill="1" borderId="11" applyBorder="1" xfId="8653" applyProtection="1" applyAlignment="1">
      <alignment horizontal="center"/>
    </xf>
    <xf numFmtId="0" applyNumberFormat="1" fontId="15" applyFont="1" fillId="4" applyFill="1" borderId="12" applyBorder="1" xfId="8653" applyProtection="1"/>
    <xf numFmtId="0" applyNumberFormat="1" fontId="23" applyFont="1" fillId="0" applyFill="1" borderId="0" applyBorder="1" xfId="7735" applyProtection="1" applyAlignment="1">
      <alignment horizontal="center" vertical="center"/>
    </xf>
    <xf numFmtId="205" applyNumberFormat="1" fontId="23" applyFont="1" fillId="0" applyFill="1" borderId="0" applyBorder="1" xfId="3647" applyProtection="1" applyAlignment="1">
      <alignment horizontal="center" vertical="center"/>
    </xf>
    <xf numFmtId="0" applyNumberFormat="1" fontId="24" applyFont="1" fillId="0" applyFill="1" borderId="0" applyBorder="1" xfId="7735" applyProtection="1" applyAlignment="1">
      <alignment horizontal="center" vertical="center"/>
    </xf>
    <xf numFmtId="205" applyNumberFormat="1" fontId="24" applyFont="1" fillId="0" applyFill="1" borderId="0" applyBorder="1" xfId="3647" applyProtection="1" applyAlignment="1">
      <alignment horizontal="center" vertical="center"/>
    </xf>
    <xf numFmtId="0" applyNumberFormat="1" fontId="25" applyFont="1" fillId="0" applyFill="1" borderId="0" applyBorder="1" xfId="7735" applyProtection="1" applyAlignment="1">
      <alignment horizontal="center" vertical="center"/>
    </xf>
    <xf numFmtId="205" applyNumberFormat="1" fontId="25" applyFont="1" fillId="0" applyFill="1" borderId="0" applyBorder="1" xfId="3647" applyProtection="1" applyAlignment="1">
      <alignment horizontal="center" vertical="center"/>
    </xf>
    <xf numFmtId="0" applyNumberFormat="1" fontId="6" applyFont="1" fillId="0" applyFill="1" borderId="0" applyBorder="1" xfId="9359" applyProtection="1" applyAlignment="1">
      <alignment horizontal="center"/>
    </xf>
    <xf numFmtId="205" applyNumberFormat="1" fontId="6" applyFont="1" fillId="0" applyFill="1" borderId="0" applyBorder="1" xfId="3647" applyProtection="1" applyAlignment="1">
      <alignment horizontal="center"/>
    </xf>
    <xf numFmtId="205" applyNumberFormat="1" fontId="6" applyFont="1" fillId="0" applyFill="1" borderId="0" applyBorder="1" xfId="3647" applyProtection="1" applyAlignment="1">
      <alignment horizontal="center"/>
    </xf>
    <xf numFmtId="0" applyNumberFormat="1" fontId="26" applyFont="1" fillId="0" applyFill="1" borderId="13" applyBorder="1" xfId="9359" applyProtection="1" applyAlignment="1">
      <alignment horizontal="center"/>
    </xf>
    <xf numFmtId="0" applyNumberFormat="1" fontId="27" applyFont="1" fillId="0" applyFill="1" borderId="13" applyBorder="1" xfId="9359" applyProtection="1" applyAlignment="1">
      <alignment horizontal="center" vertical="center" wrapText="1"/>
    </xf>
    <xf numFmtId="205" applyNumberFormat="1" fontId="27" applyFont="1" fillId="0" applyFill="1" borderId="13" applyBorder="1" xfId="3647" applyProtection="1" applyAlignment="1">
      <alignment horizontal="center" vertical="center" wrapText="1"/>
    </xf>
    <xf numFmtId="0" applyNumberFormat="1" fontId="27" applyFont="1" fillId="0" applyFill="1" borderId="18" applyBorder="1" xfId="9359" applyProtection="1" applyAlignment="1">
      <alignment horizontal="center" vertical="center"/>
    </xf>
    <xf numFmtId="0" applyNumberFormat="1" fontId="27" applyFont="1" fillId="0" applyFill="1" borderId="21" applyBorder="1" xfId="9359" applyProtection="1" applyAlignment="1">
      <alignment horizontal="center" vertical="center"/>
    </xf>
    <xf numFmtId="0" applyNumberFormat="1" fontId="27" applyFont="1" fillId="0" applyFill="1" borderId="8" applyBorder="1" xfId="9359" applyProtection="1" applyAlignment="1">
      <alignment horizontal="center" vertical="center"/>
    </xf>
    <xf numFmtId="0" applyNumberFormat="1" fontId="27" applyFont="1" fillId="0" applyFill="1" borderId="13" applyBorder="1" xfId="9359" applyProtection="1" applyAlignment="1">
      <alignment horizontal="center" vertical="center"/>
    </xf>
    <xf numFmtId="0" applyNumberFormat="1" fontId="27" applyFont="1" fillId="0" applyFill="1" borderId="20" applyBorder="1" xfId="9359" applyProtection="1" applyAlignment="1">
      <alignment horizontal="center"/>
    </xf>
    <xf numFmtId="0" applyNumberFormat="1" fontId="27" applyFont="1" fillId="0" applyFill="1" borderId="11" applyBorder="1" xfId="9359" applyProtection="1" applyAlignment="1">
      <alignment horizontal="center"/>
    </xf>
    <xf numFmtId="0" applyNumberFormat="1" fontId="17" applyFont="1" fillId="3" applyFill="1" borderId="1" applyBorder="1" xfId="8654" applyProtection="1" applyAlignment="1">
      <alignment horizontal="center"/>
    </xf>
    <xf numFmtId="0" applyNumberFormat="1" fontId="17" applyFont="1" fillId="3" applyFill="1" borderId="2" applyBorder="1" xfId="8654" applyProtection="1" applyAlignment="1">
      <alignment horizontal="center"/>
    </xf>
    <xf numFmtId="0" applyNumberFormat="1" fontId="17" applyFont="1" fillId="3" applyFill="1" borderId="3" applyBorder="1" xfId="8654" applyProtection="1" applyAlignment="1">
      <alignment horizontal="center"/>
    </xf>
    <xf numFmtId="0" applyNumberFormat="1" fontId="18" applyFont="1" fillId="0" applyFill="1" borderId="5" applyBorder="1" xfId="8654" applyProtection="1" applyAlignment="1">
      <alignment horizontal="center"/>
    </xf>
    <xf numFmtId="0" applyNumberFormat="1" fontId="18" applyFont="1" fillId="0" applyFill="1" borderId="6" applyBorder="1" xfId="8654" applyProtection="1" applyAlignment="1">
      <alignment horizontal="center"/>
    </xf>
    <xf numFmtId="0" applyNumberFormat="1" fontId="18" applyFont="1" fillId="0" applyFill="1" borderId="7" applyBorder="1" xfId="8654" applyProtection="1" applyAlignment="1">
      <alignment horizontal="center"/>
    </xf>
    <xf numFmtId="0" applyNumberFormat="1" fontId="18" applyFont="1" fillId="0" applyFill="1" borderId="10" applyBorder="1" xfId="8654" applyProtection="1" applyAlignment="1">
      <alignment horizontal="center"/>
    </xf>
    <xf numFmtId="0" applyNumberFormat="1" fontId="18" applyFont="1" fillId="0" applyFill="1" borderId="11" applyBorder="1" xfId="8654" applyProtection="1" applyAlignment="1">
      <alignment horizontal="center"/>
    </xf>
    <xf numFmtId="0" applyNumberFormat="1" fontId="18" applyFont="1" fillId="0" applyFill="1" borderId="12" applyBorder="1" xfId="8654" applyProtection="1" applyAlignment="1">
      <alignment horizontal="center"/>
    </xf>
    <xf numFmtId="0" applyNumberFormat="1" fontId="17" applyFont="1" fillId="4" applyFill="1" borderId="20" applyBorder="1" xfId="8654" applyProtection="1" applyAlignment="1">
      <alignment horizontal="center"/>
    </xf>
    <xf numFmtId="0" applyNumberFormat="1" fontId="17" applyFont="1" fillId="4" applyFill="1" borderId="11" applyBorder="1" xfId="8654" applyProtection="1" applyAlignment="1">
      <alignment horizontal="center"/>
    </xf>
    <xf numFmtId="0" applyNumberFormat="1" fontId="17" applyFont="1" fillId="4" applyFill="1" borderId="12" applyBorder="1" xfId="8654" applyProtection="1"/>
    <xf numFmtId="0" applyNumberFormat="1" fontId="18" applyFont="1" fillId="0" applyFill="1" borderId="15" applyBorder="1" xfId="8654" applyProtection="1" applyAlignment="1">
      <alignment horizontal="center"/>
    </xf>
    <xf numFmtId="0" applyNumberFormat="1" fontId="18" applyFont="1" fillId="0" applyFill="1" borderId="16" applyBorder="1" xfId="8654" applyProtection="1" applyAlignment="1">
      <alignment horizontal="center"/>
    </xf>
    <xf numFmtId="0" applyNumberFormat="1" fontId="18" applyFont="1" fillId="0" applyFill="1" borderId="17" applyBorder="1" xfId="8654" applyProtection="1" applyAlignment="1">
      <alignment horizontal="center"/>
    </xf>
    <xf numFmtId="0" applyNumberFormat="1" fontId="17" applyFont="1" fillId="4" applyFill="1" borderId="1" applyBorder="1" xfId="8654" applyProtection="1" applyAlignment="1">
      <alignment horizontal="center"/>
    </xf>
    <xf numFmtId="0" applyNumberFormat="1" fontId="17" applyFont="1" fillId="4" applyFill="1" borderId="2" applyBorder="1" xfId="8654" applyProtection="1" applyAlignment="1">
      <alignment horizontal="center"/>
    </xf>
    <xf numFmtId="0" applyNumberFormat="1" fontId="17" applyFont="1" fillId="4" applyFill="1" borderId="3" applyBorder="1" xfId="8654" applyProtection="1"/>
    <xf numFmtId="0" applyNumberFormat="1" fontId="15" applyFont="1" fillId="4" applyFill="1" borderId="20" applyBorder="1" xfId="8654" applyProtection="1" applyAlignment="1">
      <alignment horizontal="center"/>
    </xf>
    <xf numFmtId="0" applyNumberFormat="1" fontId="15" applyFont="1" fillId="4" applyFill="1" borderId="11" applyBorder="1" xfId="8654" applyProtection="1" applyAlignment="1">
      <alignment horizontal="center"/>
    </xf>
    <xf numFmtId="0" applyNumberFormat="1" fontId="15" applyFont="1" fillId="4" applyFill="1" borderId="12" applyBorder="1" xfId="8654" applyProtection="1"/>
    <xf numFmtId="0" applyNumberFormat="1" fontId="32" applyFont="1" fillId="77" applyFill="1" borderId="13" applyBorder="1" xfId="0" applyProtection="1" applyAlignment="1">
      <alignment horizontal="center" vertical="center"/>
    </xf>
    <xf numFmtId="0" applyNumberFormat="1" fontId="32" applyFont="1" fillId="78" applyFill="1" borderId="13" applyBorder="1" xfId="0" applyProtection="1" applyAlignment="1">
      <alignment horizontal="center" vertical="center"/>
    </xf>
    <xf numFmtId="0" applyNumberFormat="1" fontId="60" applyFont="1" fillId="10" applyFill="1" borderId="29" applyBorder="1" xfId="11648" applyProtection="1" applyAlignment="1">
      <alignment horizontal="center" vertical="center"/>
    </xf>
    <xf numFmtId="0" applyNumberFormat="1" fontId="32" applyFont="1" fillId="79" applyFill="1" borderId="0" applyBorder="1" xfId="0" applyProtection="1" applyAlignment="1">
      <alignment horizontal="center" vertical="center"/>
    </xf>
    <xf numFmtId="0" applyNumberFormat="1" fontId="39" applyFont="1" fillId="10" applyFill="1" borderId="68" applyBorder="1" xfId="7905" applyProtection="1" applyAlignment="1">
      <alignment horizontal="center" vertical="center" wrapText="1"/>
      <protection hidden="1"/>
    </xf>
    <xf numFmtId="0" applyNumberFormat="1" fontId="32" applyFont="1" fillId="79" applyFill="1" borderId="13" applyBorder="1" xfId="0" applyProtection="1" applyAlignment="1">
      <alignment horizontal="center" vertical="center"/>
    </xf>
    <xf numFmtId="0" applyNumberFormat="1" fontId="40" applyFont="1" fillId="79" applyFill="1" borderId="13" applyBorder="1" xfId="11648" applyProtection="1" applyAlignment="1">
      <alignment horizontal="left" vertical="center"/>
    </xf>
    <xf numFmtId="0" applyNumberFormat="1" fontId="32" applyFont="1" fillId="80" applyFill="1" borderId="13" applyBorder="1" xfId="0" applyProtection="1" applyAlignment="1">
      <alignment horizontal="center" vertical="center"/>
    </xf>
    <xf numFmtId="0" applyNumberFormat="1" fontId="40" applyFont="1" fillId="80" applyFill="1" borderId="13" applyBorder="1" xfId="11648" applyProtection="1" applyAlignment="1">
      <alignment horizontal="left" vertical="center"/>
    </xf>
    <xf numFmtId="0" applyNumberFormat="1" fontId="40" applyFont="1" fillId="78" applyFill="1" borderId="13" applyBorder="1" xfId="11648" applyProtection="1" applyAlignment="1">
      <alignment horizontal="left" vertical="center"/>
    </xf>
    <xf numFmtId="0" applyNumberFormat="1" fontId="32" applyFont="1" fillId="78" applyFill="1" borderId="13" applyBorder="1" xfId="0" quotePrefix="1" applyProtection="1" applyAlignment="1">
      <alignment horizontal="center" vertical="center"/>
    </xf>
    <xf numFmtId="0" applyNumberFormat="1" fontId="37" applyFont="1" fillId="81" applyFill="1" borderId="27" applyBorder="1" xfId="11648" applyProtection="1" applyAlignment="1">
      <alignment horizontal="center" vertical="center"/>
    </xf>
    <xf numFmtId="0" applyNumberFormat="1" fontId="32" applyFont="1" fillId="79" applyFill="1" borderId="27" applyBorder="1" xfId="0" applyProtection="1" applyAlignment="1">
      <alignment horizontal="center" vertical="center"/>
    </xf>
    <xf numFmtId="0" applyNumberFormat="1" fontId="37" applyFont="1" fillId="10" applyFill="1" borderId="27" applyBorder="1" xfId="11648" applyProtection="1" applyAlignment="1">
      <alignment horizontal="center" vertical="center"/>
    </xf>
    <xf numFmtId="0" applyNumberFormat="1" fontId="37" applyFont="1" fillId="79" applyFill="1" borderId="0" applyBorder="1" xfId="11648" applyProtection="1" applyAlignment="1">
      <alignment horizontal="center" vertical="center"/>
    </xf>
    <xf numFmtId="0" applyNumberFormat="1" fontId="32" applyFont="1" fillId="79" applyFill="1" borderId="0" applyBorder="1" xfId="11648" applyProtection="1" applyAlignment="1">
      <alignment vertical="center"/>
    </xf>
    <xf numFmtId="0" applyNumberFormat="1" fontId="32" applyFont="1" fillId="79" applyFill="1" borderId="0" applyBorder="1" xfId="11648" applyProtection="1" applyAlignment="1">
      <alignment horizontal="center" vertical="center"/>
    </xf>
    <xf numFmtId="205" applyNumberFormat="1" fontId="30" applyFont="1" fillId="79" applyFill="1" borderId="0" applyBorder="1" xfId="3647" applyProtection="1"/>
    <xf numFmtId="0" applyNumberFormat="1" fontId="32" applyFont="1" fillId="79" applyFill="1" borderId="13" applyBorder="1" xfId="0" quotePrefix="1" applyProtection="1" applyAlignment="1">
      <alignment horizontal="center" vertical="center"/>
    </xf>
    <xf numFmtId="0" applyNumberFormat="1" fontId="40" applyFont="1" fillId="79" applyFill="1" borderId="18" applyBorder="1" xfId="0" applyProtection="1" applyAlignment="1">
      <alignment horizontal="center" vertical="center"/>
    </xf>
    <xf numFmtId="0" applyNumberFormat="1" fontId="40" applyFont="1" fillId="79" applyFill="1" borderId="18" applyBorder="1" xfId="11648" applyProtection="1" applyAlignment="1">
      <alignment horizontal="left" vertical="center"/>
    </xf>
    <xf numFmtId="0" applyNumberFormat="1" fontId="40" applyFont="1" fillId="78" applyFill="1" borderId="13" applyBorder="1" xfId="0" applyProtection="1" applyAlignment="1">
      <alignment horizontal="center" vertical="center"/>
    </xf>
    <xf numFmtId="0" applyNumberFormat="1" fontId="39" applyFont="1" fillId="82" applyFill="1" borderId="23" applyBorder="1" xfId="7905" applyProtection="1" applyAlignment="1">
      <alignment horizontal="center" vertical="center" wrapText="1"/>
      <protection hidden="1"/>
    </xf>
    <xf numFmtId="204" applyNumberFormat="1" fontId="40" applyFont="1" fillId="79" applyFill="1" borderId="13" applyBorder="1" xfId="0" applyProtection="1" applyAlignment="1">
      <alignment horizontal="center" vertical="center"/>
    </xf>
    <xf numFmtId="204" applyNumberFormat="1" fontId="40" applyFont="1" fillId="79" applyFill="1" borderId="18" applyBorder="1" xfId="0" applyProtection="1" applyAlignment="1">
      <alignment horizontal="center" vertical="center"/>
    </xf>
    <xf numFmtId="0" applyNumberFormat="1" fontId="32" applyFont="1" fillId="80" applyFill="1" borderId="13" applyBorder="1" xfId="0" quotePrefix="1" applyProtection="1" applyAlignment="1">
      <alignment horizontal="center" vertical="center"/>
    </xf>
    <xf numFmtId="0" applyNumberFormat="1" fontId="33" applyFont="1" fillId="80" applyFill="1" borderId="13" applyBorder="1" xfId="0" applyProtection="1" applyAlignment="1">
      <alignment vertical="center"/>
    </xf>
    <xf numFmtId="0" applyNumberFormat="1" fontId="40" applyFont="1" fillId="80" applyFill="1" borderId="13" applyBorder="1" xfId="0" applyProtection="1" applyAlignment="1">
      <alignment horizontal="left" vertical="center"/>
    </xf>
    <xf numFmtId="0" applyNumberFormat="1" fontId="40" applyFont="1" fillId="80" applyFill="1" borderId="13" applyBorder="1" xfId="0" applyProtection="1" applyAlignment="1">
      <alignment horizontal="center" vertical="center"/>
    </xf>
    <xf numFmtId="0" applyNumberFormat="1" fontId="72" applyFont="1" fillId="80" applyFill="1" borderId="13" applyBorder="1" xfId="12557" applyProtection="1" applyAlignment="1">
      <alignment vertical="center"/>
    </xf>
    <xf numFmtId="0" applyNumberFormat="1" fontId="33" applyFont="1" fillId="80" applyFill="1" borderId="13" applyBorder="1" xfId="0" applyProtection="1" applyAlignment="1">
      <alignment horizontal="left" vertical="center"/>
    </xf>
    <xf numFmtId="204" applyNumberFormat="1" fontId="40" applyFont="1" fillId="78" applyFill="1" borderId="18" applyBorder="1" xfId="0" applyProtection="1" applyAlignment="1">
      <alignment horizontal="center" vertical="center"/>
    </xf>
    <xf numFmtId="0" applyNumberFormat="1" fontId="40" applyFont="1" fillId="78" applyFill="1" borderId="18" applyBorder="1" xfId="11648" applyProtection="1" applyAlignment="1">
      <alignment horizontal="left" vertical="center"/>
    </xf>
    <xf numFmtId="204" applyNumberFormat="1" fontId="40" applyFont="1" fillId="78" applyFill="1" borderId="13" applyBorder="1" xfId="0" applyProtection="1" applyAlignment="1">
      <alignment horizontal="center" vertical="center"/>
    </xf>
    <xf numFmtId="0" applyNumberFormat="1" fontId="32" applyFont="1" fillId="77" applyFill="1" borderId="8" applyBorder="1" xfId="0" applyProtection="1" applyAlignment="1">
      <alignment horizontal="center" vertical="center"/>
    </xf>
    <xf numFmtId="0" applyNumberFormat="1" fontId="33" applyFont="1" fillId="77" applyFill="1" borderId="8" applyBorder="1" xfId="0" applyProtection="1" applyAlignment="1">
      <alignment vertical="center"/>
    </xf>
    <xf numFmtId="0" applyNumberFormat="1" fontId="32" applyFont="1" fillId="78" applyFill="1" borderId="8" applyBorder="1" xfId="0" applyProtection="1" applyAlignment="1">
      <alignment horizontal="center" vertical="center"/>
    </xf>
    <xf numFmtId="0" applyNumberFormat="1" fontId="33" applyFont="1" fillId="78" applyFill="1" borderId="8" applyBorder="1" xfId="0" applyProtection="1" applyAlignment="1">
      <alignment vertical="center"/>
    </xf>
    <xf numFmtId="0" applyNumberFormat="1" fontId="37" applyFont="1" fillId="10" applyFill="1" borderId="54" applyBorder="1" xfId="11648" applyProtection="1" applyAlignment="1">
      <alignment horizontal="center" vertical="center"/>
    </xf>
    <xf numFmtId="0" applyNumberFormat="1" fontId="33" applyFont="1" fillId="79" applyFill="1" borderId="13" applyBorder="1" xfId="0" applyProtection="1" applyAlignment="1">
      <alignment vertical="center"/>
    </xf>
    <xf numFmtId="0" applyNumberFormat="1" fontId="33" applyFont="1" fillId="77" applyFill="1" borderId="13" applyBorder="1" xfId="0" applyProtection="1" applyAlignment="1">
      <alignment vertical="center"/>
    </xf>
    <xf numFmtId="0" applyNumberFormat="1" fontId="32" applyFont="1" fillId="80" applyFill="1" borderId="38" applyBorder="1" xfId="0" applyProtection="1" applyAlignment="1">
      <alignment horizontal="center" vertical="center"/>
    </xf>
    <xf numFmtId="0" applyNumberFormat="1" fontId="37" applyFont="1" fillId="10" applyFill="1" borderId="29" applyBorder="1" xfId="11648" applyProtection="1" applyAlignment="1">
      <alignment horizontal="center" vertical="center"/>
    </xf>
    <xf numFmtId="0" applyNumberFormat="1" fontId="32" applyFont="1" fillId="79" applyFill="1" borderId="62" applyBorder="1" xfId="0" quotePrefix="1" applyProtection="1" applyAlignment="1">
      <alignment horizontal="center" vertical="center"/>
    </xf>
    <xf numFmtId="0" applyNumberFormat="1" fontId="33" applyFont="1" fillId="79" applyFill="1" borderId="62" applyBorder="1" xfId="10490" applyProtection="1" applyAlignment="1">
      <alignment horizontal="left" vertical="center"/>
    </xf>
    <xf numFmtId="0" applyNumberFormat="1" fontId="33" applyFont="1" fillId="78" applyFill="1" borderId="13" applyBorder="1" xfId="0" applyProtection="1" applyAlignment="1">
      <alignment vertical="center"/>
    </xf>
    <xf numFmtId="0" applyNumberFormat="1" fontId="37" applyFont="1" fillId="81" applyFill="1" borderId="41" applyBorder="1" xfId="11648" applyProtection="1" applyAlignment="1">
      <alignment horizontal="center" vertical="center"/>
    </xf>
    <xf numFmtId="0" applyNumberFormat="1" fontId="37" applyFont="1" fillId="10" applyFill="1" borderId="41" applyBorder="1" xfId="11648" applyProtection="1" applyAlignment="1">
      <alignment horizontal="center" vertical="center"/>
    </xf>
    <xf numFmtId="0" applyNumberFormat="1" fontId="60" applyFont="1" fillId="79" applyFill="1" borderId="0" applyBorder="1" xfId="7905" applyProtection="1" applyAlignment="1">
      <alignment horizontal="center" vertical="center"/>
      <protection hidden="1"/>
    </xf>
    <xf numFmtId="0" applyNumberFormat="1" fontId="39" applyFont="1" fillId="10" applyFill="1" borderId="52" applyBorder="1" xfId="7905" applyProtection="1" applyAlignment="1">
      <alignment horizontal="center" vertical="center" wrapText="1"/>
      <protection hidden="1"/>
    </xf>
    <xf numFmtId="0" applyNumberFormat="1" fontId="30" applyFont="1" fillId="79" applyFill="1" borderId="13" applyBorder="1" xfId="0" applyProtection="1" applyAlignment="1">
      <alignment horizontal="center" vertical="center"/>
    </xf>
    <xf numFmtId="0" applyNumberFormat="1" fontId="32" applyFont="1" fillId="79" applyFill="1" borderId="13" applyBorder="1" xfId="11648" applyProtection="1" applyAlignment="1">
      <alignment horizontal="left" vertical="center"/>
    </xf>
    <xf numFmtId="0" applyNumberFormat="1" fontId="37" applyFont="1" fillId="10" applyFill="1" borderId="2" applyBorder="1" xfId="11648" applyProtection="1" applyAlignment="1">
      <alignment horizontal="center" vertical="center"/>
    </xf>
    <xf numFmtId="0" applyNumberFormat="1" fontId="30" applyFont="1" fillId="80" applyFill="1" borderId="8" applyBorder="1" xfId="0" applyProtection="1" applyAlignment="1">
      <alignment horizontal="center" vertical="center"/>
    </xf>
    <xf numFmtId="0" applyNumberFormat="1" fontId="32" applyFont="1" fillId="80" applyFill="1" borderId="6" applyBorder="1" xfId="11648" applyProtection="1" applyAlignment="1">
      <alignment horizontal="left" vertical="center"/>
    </xf>
    <xf numFmtId="0" applyNumberFormat="1" fontId="30" applyFont="1" fillId="79" applyFill="1" borderId="8" applyBorder="1" xfId="0" applyProtection="1" applyAlignment="1">
      <alignment horizontal="center" vertical="center"/>
    </xf>
    <xf numFmtId="0" applyNumberFormat="1" fontId="32" applyFont="1" fillId="79" applyFill="1" borderId="6" applyBorder="1" xfId="11648" applyProtection="1" applyAlignment="1">
      <alignment horizontal="left" vertical="center"/>
    </xf>
    <xf numFmtId="0" applyNumberFormat="1" fontId="30" applyFont="1" fillId="79" applyFill="1" borderId="13" applyBorder="1" xfId="0" quotePrefix="1" applyProtection="1" applyAlignment="1">
      <alignment horizontal="center" vertical="center"/>
    </xf>
    <xf numFmtId="0" applyNumberFormat="1" fontId="59" applyFont="1" fillId="79" applyFill="1" borderId="13" applyBorder="1" xfId="11648" applyProtection="1" applyAlignment="1">
      <alignment horizontal="left" vertical="center"/>
    </xf>
    <xf numFmtId="0" applyNumberFormat="1" fontId="21" applyFont="1" fillId="81" applyFill="1" borderId="29" applyBorder="1" xfId="0" applyProtection="1" applyAlignment="1">
      <alignment horizontal="center" vertical="center"/>
    </xf>
    <xf numFmtId="0" applyNumberFormat="1" fontId="60" applyFont="1" fillId="81" applyFill="1" borderId="0" applyBorder="1" xfId="7905" applyProtection="1" applyAlignment="1">
      <alignment horizontal="center" vertical="center"/>
      <protection hidden="1"/>
    </xf>
    <xf numFmtId="0" applyNumberFormat="1" fontId="30" applyFont="1" fillId="80" applyFill="1" borderId="13" applyBorder="1" xfId="0" applyProtection="1" applyAlignment="1">
      <alignment horizontal="center" vertical="center"/>
    </xf>
    <xf numFmtId="0" applyNumberFormat="1" fontId="59" applyFont="1" fillId="80" applyFill="1" borderId="13" applyBorder="1" xfId="11648" applyProtection="1" applyAlignment="1">
      <alignment horizontal="left" vertical="center"/>
    </xf>
    <xf numFmtId="0" applyNumberFormat="1" fontId="30" applyFont="1" fillId="78" applyFill="1" borderId="13" applyBorder="1" xfId="0" quotePrefix="1" applyProtection="1" applyAlignment="1">
      <alignment horizontal="center" vertical="center"/>
    </xf>
    <xf numFmtId="0" applyNumberFormat="1" fontId="59" applyFont="1" fillId="78" applyFill="1" borderId="13" applyBorder="1" xfId="11648" applyProtection="1" applyAlignment="1">
      <alignment horizontal="left" vertical="center"/>
    </xf>
    <xf numFmtId="0" applyNumberFormat="1" fontId="30" applyFont="1" fillId="78" applyFill="1" borderId="13" applyBorder="1" xfId="0" applyProtection="1" applyAlignment="1">
      <alignment horizontal="center" vertical="center"/>
    </xf>
    <xf numFmtId="0" applyNumberFormat="1" fontId="30" applyFont="1" fillId="80" applyFill="1" borderId="13" applyBorder="1" xfId="0" quotePrefix="1" applyProtection="1" applyAlignment="1">
      <alignment horizontal="center" vertical="center"/>
    </xf>
    <xf numFmtId="0" applyNumberFormat="1" fontId="33" applyFont="1" fillId="79" applyFill="1" borderId="13" applyBorder="1" xfId="11648" applyProtection="1" applyAlignment="1">
      <alignment horizontal="left" vertical="center"/>
    </xf>
    <xf numFmtId="0" applyNumberFormat="1" fontId="39" applyFont="1" fillId="10" applyFill="1" borderId="23" applyBorder="1" xfId="7905" applyProtection="1" applyAlignment="1">
      <alignment horizontal="center" vertical="center" wrapText="1"/>
      <protection hidden="1"/>
    </xf>
    <xf numFmtId="0" applyNumberFormat="1" fontId="33" applyFont="1" fillId="80" applyFill="1" borderId="13" applyBorder="1" xfId="11648" applyProtection="1" applyAlignment="1">
      <alignment horizontal="left" vertical="center"/>
    </xf>
    <xf numFmtId="0" applyNumberFormat="1" fontId="33" applyFont="1" fillId="78" applyFill="1" borderId="13" applyBorder="1" xfId="11648" applyProtection="1" applyAlignment="1">
      <alignment horizontal="left" vertical="center"/>
    </xf>
    <xf numFmtId="0" applyNumberFormat="1" fontId="37" applyFont="1" fillId="10" applyFill="1" borderId="43" applyBorder="1" xfId="11648" applyProtection="1" applyAlignment="1">
      <alignment horizontal="center" vertical="center"/>
    </xf>
    <xf numFmtId="0" applyNumberFormat="1" fontId="21" applyFont="1" fillId="79" applyFill="1" borderId="13" applyBorder="1" xfId="0" applyProtection="1" applyAlignment="1">
      <alignment vertical="center"/>
    </xf>
    <xf numFmtId="205" applyNumberFormat="1" fontId="32" applyFont="1" fillId="79" applyFill="1" borderId="0" applyBorder="1" xfId="3647" applyProtection="1" applyAlignment="1">
      <alignment vertical="center"/>
    </xf>
    <xf numFmtId="0" applyNumberFormat="1" fontId="21" applyFont="1" fillId="80" applyFill="1" borderId="13" applyBorder="1" xfId="0" applyProtection="1" applyAlignment="1">
      <alignment vertical="center"/>
    </xf>
    <xf numFmtId="205" applyNumberFormat="1" fontId="32" applyFont="1" fillId="79" applyFill="1" borderId="0" applyBorder="1" xfId="0" applyProtection="1" applyAlignment="1">
      <alignment vertical="center"/>
    </xf>
    <xf numFmtId="0" applyNumberFormat="1" fontId="21" applyFont="1" fillId="80" applyFill="1" borderId="13" applyBorder="1" xfId="0" applyProtection="1" applyAlignment="1">
      <alignment horizontal="center" vertical="center"/>
    </xf>
    <xf numFmtId="0" applyNumberFormat="1" fontId="21" applyFont="1" fillId="79" applyFill="1" borderId="13" applyBorder="1" xfId="0" applyProtection="1" applyAlignment="1">
      <alignment horizontal="center" vertical="center"/>
    </xf>
    <xf numFmtId="0" applyNumberFormat="1" fontId="42" applyFont="1" fillId="79" applyFill="1" borderId="0" applyBorder="1" xfId="9356" applyProtection="1"/>
    <xf numFmtId="0" applyNumberFormat="1" fontId="21" applyFont="1" fillId="79" applyFill="1" borderId="13" applyBorder="1" xfId="0" quotePrefix="1" applyProtection="1" applyAlignment="1">
      <alignment horizontal="center" vertical="center"/>
    </xf>
    <xf numFmtId="205" applyNumberFormat="1" fontId="0" applyFont="1" fillId="79" applyFill="1" borderId="0" applyBorder="1" xfId="1574" applyProtection="1"/>
    <xf numFmtId="0" applyNumberFormat="1" fontId="23" applyFont="1" fillId="79" applyFill="1" borderId="0" applyBorder="1" xfId="7735" applyProtection="1" applyAlignment="1">
      <alignment horizontal="center" vertical="center"/>
    </xf>
    <xf numFmtId="205" applyNumberFormat="1" fontId="3" applyFont="1" fillId="10" applyFill="1" borderId="0" applyBorder="1" xfId="1574" applyProtection="1" applyAlignment="1">
      <alignment horizontal="center" textRotation="15"/>
    </xf>
  </cellXfs>
  <cellStyles count="14679">
    <cellStyle name="_x0001_" xfId="1"/>
    <cellStyle name="､@ｯ・Cefiro" xfId="2"/>
    <cellStyle name="､@ｯ・M" xfId="3"/>
    <cellStyle name="､@ｯ・M segment" xfId="4"/>
    <cellStyle name="､@ｯ・S" xfId="5"/>
    <cellStyle name="､@ｯ・S segment" xfId="6"/>
    <cellStyle name="､@ｯ・SS" xfId="7"/>
    <cellStyle name="､d､ﾀｦ・0]_Cefiro" xfId="8"/>
    <cellStyle name="､d､ﾀｦ・Cefiro" xfId="9"/>
    <cellStyle name="､d､ﾀｦ・M segment" xfId="10"/>
    <cellStyle name="､d､ﾀｦ・S segment" xfId="11"/>
    <cellStyle name="." xfId="12"/>
    <cellStyle name="??" xfId="13"/>
    <cellStyle name="?? [0.00]_????(?) " xfId="14"/>
    <cellStyle name="?? [0]" xfId="15"/>
    <cellStyle name="???? [0.00]_??4-3 ???????Format?" xfId="16"/>
    <cellStyle name="???????" xfId="17"/>
    <cellStyle name="????????????" xfId="18"/>
    <cellStyle name="???????????? Change1.5.1" xfId="19"/>
    <cellStyle name="????????????_L42C Expense Comparison Other Models version 3 axo mod 20060424 for a3a" xfId="20"/>
    <cellStyle name="????????????-21-2002 fro" xfId="21"/>
    <cellStyle name="????????????AT" xfId="22"/>
    <cellStyle name="????????????B)h1_1artsry" xfId="23"/>
    <cellStyle name="????????????esolume 02A3" xfId="24"/>
    <cellStyle name="????????????ge Details1c" xfId="25"/>
    <cellStyle name="????????????KC GLntKC GL" xfId="26"/>
    <cellStyle name="????????????le" xfId="27"/>
    <cellStyle name="????????????NOTEWINNOTET" xfId="28"/>
    <cellStyle name="????????????VC (2))VC (2" xfId="29"/>
    <cellStyle name="????????????VC (2)PVC (2" xfId="30"/>
    <cellStyle name="????????????ycountNNOTEW" xfId="31"/>
    <cellStyle name="?????????WINNO" xfId="32"/>
    <cellStyle name="????????ÀWINNO" xfId="33"/>
    <cellStyle name="????????ﾀWINNO" xfId="34"/>
    <cellStyle name="???????_A34-V42" xfId="35"/>
    <cellStyle name="???????rrentKC" xfId="36"/>
    <cellStyle name="???????uscodes" xfId="37"/>
    <cellStyle name="???????usmixes" xfId="38"/>
    <cellStyle name="???????XX vs a" xfId="39"/>
    <cellStyle name="?????_?????" xfId="40"/>
    <cellStyle name="????_??? " xfId="41"/>
    <cellStyle name="???[0]_Book1" xfId="42"/>
    <cellStyle name="???_???" xfId="43"/>
    <cellStyle name="???F [0.00]_Book2mix1" xfId="44"/>
    <cellStyle name="???F_Book2]_Bo" xfId="45"/>
    <cellStyle name="??_(????)??????" xfId="46"/>
    <cellStyle name="??a??e [0.00]_?K?,T?I?xlsTE" xfId="47"/>
    <cellStyle name="??a??e_?K?,T?I?xlsytionssTE" xfId="48"/>
    <cellStyle name="?@?·Cefiro" xfId="49"/>
    <cellStyle name="?@?·M" xfId="50"/>
    <cellStyle name="?@?·M segment" xfId="51"/>
    <cellStyle name="?@?·S" xfId="52"/>
    <cellStyle name="?@?·S segment" xfId="53"/>
    <cellStyle name="?@?·SS" xfId="54"/>
    <cellStyle name="?\??·?????n?C?p????“?N" xfId="55"/>
    <cellStyle name="?\??・?????n?C?pー???“?N" xfId="56"/>
    <cellStyle name="?\??E?????n?C?p[???g?N" xfId="57"/>
    <cellStyle name="?·? [0]_????l" xfId="58"/>
    <cellStyle name="?·?_???_?" xfId="59"/>
    <cellStyle name="?·a??e [0.00]_Ladder Report3(" xfId="60"/>
    <cellStyle name="?·a??e_Ladder Report R" xfId="61"/>
    <cellStyle name="?・a??e [0.00]_Ladder Report3(" xfId="62"/>
    <cellStyle name="?・a??e_Ladder Report R" xfId="63"/>
    <cellStyle name="?…??・?? [0.00]_currentKC GL" xfId="64"/>
    <cellStyle name="?…??・??_currentKC GL" xfId="65"/>
    <cellStyle name="?…?a??e [0.00]_currentKC GLOT" xfId="66"/>
    <cellStyle name="?…?a??e_currentKC GLnt" xfId="67"/>
    <cellStyle name="?…?a唇?e [0.00]_currentKC GL" xfId="68"/>
    <cellStyle name="?…?a唇?e_currentKC GL" xfId="69"/>
    <cellStyle name="?c??E?? [0.00]_currentKC GL" xfId="70"/>
    <cellStyle name="?c??E??_currentKC GL" xfId="71"/>
    <cellStyle name="?c?aO?e [0.00]_currentKC GL" xfId="72"/>
    <cellStyle name="?c?aO?e_currentKC GL" xfId="73"/>
    <cellStyle name="?d???·0]_Cefiro" xfId="74"/>
    <cellStyle name="?d???·Cefiro" xfId="75"/>
    <cellStyle name="?d???·M segment" xfId="76"/>
    <cellStyle name="?d???·S segment" xfId="77"/>
    <cellStyle name="?f??Cefiro" xfId="78"/>
    <cellStyle name="?f??Cefiro 2" xfId="79"/>
    <cellStyle name="?f??Cefiro 3" xfId="80"/>
    <cellStyle name="?f??M segment" xfId="81"/>
    <cellStyle name="?f??M segment 2" xfId="82"/>
    <cellStyle name="?f??M segment 3" xfId="83"/>
    <cellStyle name="?f??S segment" xfId="84"/>
    <cellStyle name="?f??S segment 2" xfId="85"/>
    <cellStyle name="?f??S segment 3" xfId="86"/>
    <cellStyle name="?f?·[0]_Cefiro" xfId="87"/>
    <cellStyle name="?n?C?p????“?N" xfId="88"/>
    <cellStyle name="?n?C?p[???g?N" xfId="89"/>
    <cellStyle name="?n?C?pー???“?N" xfId="90"/>
    <cellStyle name="?W?_?K?,T?I?xlsonsroio" xfId="91"/>
    <cellStyle name="?W·_Attach34_X61B_US_(2)" xfId="92"/>
    <cellStyle name="?W・_5.Commnet-NISSAN" xfId="93"/>
    <cellStyle name="?W?_5.Commnet-NISSAN" xfId="94"/>
    <cellStyle name="?WE_a(SD) Expence Info" xfId="95"/>
    <cellStyle name="?Wｷ_Ladder Report" xfId="96"/>
    <cellStyle name="?ｷa??e [0.00]_?K?,T?I?xlsTE" xfId="97"/>
    <cellStyle name="?ｷa??e_?K?,T?I?xlsytionssTE" xfId="98"/>
    <cellStyle name="_06 Laporan Stock Pool MKS 2008 Juni" xfId="99"/>
    <cellStyle name="_06 Laporan Stock Pool MKS 2008 Juni 2" xfId="100"/>
    <cellStyle name="_06 Laporan Stock Pool MKS 2008 Juni_AP Logistic 2010 Konsolidasi (091110)" xfId="101"/>
    <cellStyle name="_06 Laporan Stock Pool MKS 2008 Juni_AP Logistic 2010 Konsolidasi (091111) 1830" xfId="102"/>
    <cellStyle name="_06 Laporan Stock Pool MKS 2008 Juni_AP Logistic 2010 Konsolidasi (091111) 2230" xfId="103"/>
    <cellStyle name="_06 Laporan Stock Pool MKS 2008 Juni_AP Logistic 2010 Konsolidasi (091115) 1830" xfId="104"/>
    <cellStyle name="_06 Laporan Stock Pool MKS 2008 Juni_AP Logistic 2010 Konsolidasi (091116) 1340" xfId="105"/>
    <cellStyle name="_06 Laporan Stock Pool MKS 2008 Juni_AP Logistic 2010 Konsolidasi (091116) 1700" xfId="106"/>
    <cellStyle name="_06 Laporan Stock Pool MKS 2008 Juni_FINAL - Buku Saku3" xfId="107"/>
    <cellStyle name="_06 Laporan Stock Pool MKS 2008 Juni_Laporan Harian Dispatcher_2010_Heavy Truck" xfId="108"/>
    <cellStyle name="_06 Laporan Stock Pool MKS 2008 Juni_Laporan Harian Dispatcher_2010_Heavy Truck2" xfId="109"/>
    <cellStyle name="_06 Laporan Stock Pool MKS 2008 Juni_Laporan Harian Dispatcher_2010_Light Truck" xfId="110"/>
    <cellStyle name="_06 Laporan Stock Pool MKS 2008 Juni_Laporan Harian Dispatcher_2010_Light Truck_LHD" xfId="111"/>
    <cellStyle name="_06 Laporan Stock Pool MKS 2008 Juni_Laporan Harian Dispatcher_2010-11_Heavy Truck" xfId="112"/>
    <cellStyle name="_06 Laporan Stock Pool MKS 2008 Juni_Laporan Harian Dispatcher_2010-11_Light Truck" xfId="113"/>
    <cellStyle name="_06 Laporan Stock Pool MKS 2008 Juni_Laporan Harian Dispatcher_2010-11_Light Truck_LHD" xfId="114"/>
    <cellStyle name="_06 Laporan Stock Pool MKS 2008 Juni_LHD" xfId="115"/>
    <cellStyle name="_06 Laporan Stock Pool MKS 2008 Juni_LHD_2010-12_Heavy Truck" xfId="116"/>
    <cellStyle name="_06 Laporan Stock Pool MKS 2008 Juni_LHD_2010-12_Light Truck" xfId="117"/>
    <cellStyle name="_06 Laporan Stock Pool MKS 2008 Juni_LHD_2010-12_Light Truck_LHD" xfId="118"/>
    <cellStyle name="_06 Laporan Stock Pool MKS 2008 Juni_LHD_Heavy Truck 2011-01" xfId="119"/>
    <cellStyle name="_06 Laporan Stock Pool MKS 2008 Juni_Performance Review 091112" xfId="120"/>
    <cellStyle name="_06 Laporan Stock Pool MKS 2008 Juni_PL Oktober" xfId="121"/>
    <cellStyle name="_2008" xfId="122"/>
    <cellStyle name="_2008 07 - BSE YTJul Actual (QPR3)" xfId="123"/>
    <cellStyle name="_2008&amp;9 Budget_Enable" xfId="124"/>
    <cellStyle name="_3rd Land Area 26.11.2010" xfId="125"/>
    <cellStyle name="_4. Reminder Service Pontianak" xfId="126"/>
    <cellStyle name="_4. Reminder Service Pontianak_LHD" xfId="127"/>
    <cellStyle name="_5. Reminder Service Samarinda" xfId="128"/>
    <cellStyle name="_5. Reminder Service Samarinda 2" xfId="129"/>
    <cellStyle name="_5. Reminder Service Samarinda 3" xfId="130"/>
    <cellStyle name="_5. Reminder Service Samarinda 4" xfId="131"/>
    <cellStyle name="_5. Reminder Service Samarinda 5" xfId="132"/>
    <cellStyle name="_5. Reminder Service Samarinda 6" xfId="133"/>
    <cellStyle name="_5. Reminder Service Samarinda 7" xfId="134"/>
    <cellStyle name="_5. Reminder Service Samarinda 8" xfId="135"/>
    <cellStyle name="_5. Reminder Service Samarinda_LHD" xfId="136"/>
    <cellStyle name="_Bidding Transport Darat BaNus" xfId="137"/>
    <cellStyle name="_Bidding Transport Darat Karawang" xfId="138"/>
    <cellStyle name="_Bidding Transport Darat SbyPandaan" xfId="139"/>
    <cellStyle name="_Book1" xfId="140"/>
    <cellStyle name="_Book1 (2)" xfId="141"/>
    <cellStyle name="_Book1 (2) 2" xfId="142"/>
    <cellStyle name="_Book1 (2) 3" xfId="143"/>
    <cellStyle name="_Book1 (2) 4" xfId="144"/>
    <cellStyle name="_Book1 (2) 5" xfId="145"/>
    <cellStyle name="_Book1 (2) 6" xfId="146"/>
    <cellStyle name="_Book1 (2) 7" xfId="147"/>
    <cellStyle name="_Book1 (2) 8" xfId="148"/>
    <cellStyle name="_Book1 (2)_LHD" xfId="149"/>
    <cellStyle name="_Book1 10" xfId="150"/>
    <cellStyle name="_Book1 2" xfId="151"/>
    <cellStyle name="_Book1 3" xfId="152"/>
    <cellStyle name="_Book1 4" xfId="153"/>
    <cellStyle name="_Book1 5" xfId="154"/>
    <cellStyle name="_Book1 6" xfId="155"/>
    <cellStyle name="_Book1 7" xfId="156"/>
    <cellStyle name="_Book1 8" xfId="157"/>
    <cellStyle name="_Book1 9" xfId="158"/>
    <cellStyle name="_Book1_1" xfId="159"/>
    <cellStyle name="_Book1_12 Laporan Stock Pool MKS Desember 2008 (2)" xfId="160"/>
    <cellStyle name="_Book1_12 Laporan Stock Pool MKS Desember 2008 (2)_AP Logistic 2010 Konsolidasi (091110)" xfId="161"/>
    <cellStyle name="_Book1_12 Laporan Stock Pool MKS Desember 2008 (2)_AP Logistic 2010 Konsolidasi (091111) 1830" xfId="162"/>
    <cellStyle name="_Book1_12 Laporan Stock Pool MKS Desember 2008 (2)_AP Logistic 2010 Konsolidasi (091111) 2230" xfId="163"/>
    <cellStyle name="_Book1_12 Laporan Stock Pool MKS Desember 2008 (2)_AP Logistic 2010 Konsolidasi (091115) 1830" xfId="164"/>
    <cellStyle name="_Book1_12 Laporan Stock Pool MKS Desember 2008 (2)_AP Logistic 2010 Konsolidasi (091116) 1340" xfId="165"/>
    <cellStyle name="_Book1_12 Laporan Stock Pool MKS Desember 2008 (2)_AP Logistic 2010 Konsolidasi (091116) 1700" xfId="166"/>
    <cellStyle name="_Book1_12 Laporan Stock Pool MKS Desember 2008 (2)_LHD" xfId="167"/>
    <cellStyle name="_Book1_12 Laporan Stock Pool MKS Desember 2008 (2)_Performance Review 091112" xfId="168"/>
    <cellStyle name="_Book1_5. Reminder Service Samarinda" xfId="169"/>
    <cellStyle name="_Book1_5. Reminder Service Samarinda 2" xfId="170"/>
    <cellStyle name="_Book1_5. Reminder Service Samarinda 3" xfId="171"/>
    <cellStyle name="_Book1_5. Reminder Service Samarinda 4" xfId="172"/>
    <cellStyle name="_Book1_5. Reminder Service Samarinda 5" xfId="173"/>
    <cellStyle name="_Book1_5. Reminder Service Samarinda 6" xfId="174"/>
    <cellStyle name="_Book1_5. Reminder Service Samarinda 7" xfId="175"/>
    <cellStyle name="_Book1_5. Reminder Service Samarinda 8" xfId="176"/>
    <cellStyle name="_Book1_5. Reminder Service Samarinda_LHD" xfId="177"/>
    <cellStyle name="_Book1_5. Reminder Service Samarinda_Reimburst HO" xfId="178"/>
    <cellStyle name="_Book1_5. Reminder Service Samarinda_Reimburst HO 2" xfId="179"/>
    <cellStyle name="_Book1_5. Reminder Service Samarinda_Reimburst HO 3" xfId="180"/>
    <cellStyle name="_Book1_5. Reminder Service Samarinda_Reimburst HO 4" xfId="181"/>
    <cellStyle name="_Book1_5. Reminder Service Samarinda_Reimburst HO 5" xfId="182"/>
    <cellStyle name="_Book1_5. Reminder Service Samarinda_Reimburst HO 6" xfId="183"/>
    <cellStyle name="_Book1_5. Reminder Service Samarinda_Reimburst HO 7" xfId="184"/>
    <cellStyle name="_Book1_5. Reminder Service Samarinda_Reimburst HO 8" xfId="185"/>
    <cellStyle name="_Book1_5. Reminder Service Samarinda_Reimburst HO_LHD" xfId="186"/>
    <cellStyle name="_Book1_AP Logistic 2010 Konsolidasi (091110)" xfId="187"/>
    <cellStyle name="_Book1_AP Logistic 2010 Konsolidasi (091111) 1830" xfId="188"/>
    <cellStyle name="_Book1_AP Logistic 2010 Konsolidasi (091111) 2230" xfId="189"/>
    <cellStyle name="_Book1_AP Logistic 2010 Konsolidasi (091115) 1830" xfId="190"/>
    <cellStyle name="_Book1_AP Logistic 2010 Konsolidasi (091116) 1340" xfId="191"/>
    <cellStyle name="_Book1_AP Logistic 2010 Konsolidasi (091116) 1700" xfId="192"/>
    <cellStyle name="_Book1_BC-QT-WB-dthao" xfId="193"/>
    <cellStyle name="_Book1_Intimex-2007" xfId="194"/>
    <cellStyle name="_Book1_lap  SerPo PNTK Des  08 (2)" xfId="195"/>
    <cellStyle name="_Book1_lap  SerPo PNTK Des  08 (3)" xfId="196"/>
    <cellStyle name="_Book1_lap  SerPo PNTK November  08" xfId="197"/>
    <cellStyle name="_Book1_LAP. STOCK MEI  2010" xfId="198"/>
    <cellStyle name="_Book1_LHD" xfId="199"/>
    <cellStyle name="_Book1_LS Alvin" xfId="200"/>
    <cellStyle name="_Book1_LSP Bali - November 2008 (5)" xfId="201"/>
    <cellStyle name="_Book1_LSP Bali - November 2008 (5)_AP Logistic 2010 Konsolidasi (091110)" xfId="202"/>
    <cellStyle name="_Book1_LSP Bali - November 2008 (5)_AP Logistic 2010 Konsolidasi (091111) 1830" xfId="203"/>
    <cellStyle name="_Book1_LSP Bali - November 2008 (5)_AP Logistic 2010 Konsolidasi (091111) 2230" xfId="204"/>
    <cellStyle name="_Book1_LSP Bali - November 2008 (5)_AP Logistic 2010 Konsolidasi (091115) 1830" xfId="205"/>
    <cellStyle name="_Book1_LSP Bali - November 2008 (5)_AP Logistic 2010 Konsolidasi (091116) 1340" xfId="206"/>
    <cellStyle name="_Book1_LSP Bali - November 2008 (5)_AP Logistic 2010 Konsolidasi (091116) 1700" xfId="207"/>
    <cellStyle name="_Book1_LSP Bali - November 2008 (5)_LHD" xfId="208"/>
    <cellStyle name="_Book1_LSP Bali - November 2008 (5)_Performance Review 091112" xfId="209"/>
    <cellStyle name="_Book1_Performance Review 091112" xfId="210"/>
    <cellStyle name="_Book1_Reimburst HO" xfId="211"/>
    <cellStyle name="_Book1_Reimburst HO 2" xfId="212"/>
    <cellStyle name="_Book1_Reimburst HO 3" xfId="213"/>
    <cellStyle name="_Book1_Reimburst HO 4" xfId="214"/>
    <cellStyle name="_Book1_Reimburst HO 5" xfId="215"/>
    <cellStyle name="_Book1_Reimburst HO 6" xfId="216"/>
    <cellStyle name="_Book1_Reimburst HO 7" xfId="217"/>
    <cellStyle name="_Book1_Reimburst HO 8" xfId="218"/>
    <cellStyle name="_Book1_Reimburst HO_LHD" xfId="219"/>
    <cellStyle name="_Boůk1" xfId="220"/>
    <cellStyle name="_Boůk1_AP Logistic 2010 Konsolidasi (091110)" xfId="221"/>
    <cellStyle name="_Boůk1_AP Logistic 2010 Konsolidasi (091111) 1830" xfId="222"/>
    <cellStyle name="_Boůk1_AP Logistic 2010 Konsolidasi (091111) 2230" xfId="223"/>
    <cellStyle name="_Boůk1_AP Logistic 2010 Konsolidasi (091115) 1830" xfId="224"/>
    <cellStyle name="_Boůk1_AP Logistic 2010 Konsolidasi (091116) 1340" xfId="225"/>
    <cellStyle name="_Boůk1_AP Logistic 2010 Konsolidasi (091116) 1700" xfId="226"/>
    <cellStyle name="_Boůk1_LHD" xfId="227"/>
    <cellStyle name="_Boůk1_Performance Review 091112" xfId="228"/>
    <cellStyle name="_Cabang Mks - IBT  Agustus 2006" xfId="229"/>
    <cellStyle name="_Cabang Mks - IBT  Agustus 2006 2" xfId="230"/>
    <cellStyle name="_Cabang Mks - IBT  Agustus 2006_AP Logistic 2010 Konsolidasi (091110)" xfId="231"/>
    <cellStyle name="_Cabang Mks - IBT  Agustus 2006_AP Logistic 2010 Konsolidasi (091111) 1830" xfId="232"/>
    <cellStyle name="_Cabang Mks - IBT  Agustus 2006_AP Logistic 2010 Konsolidasi (091111) 2230" xfId="233"/>
    <cellStyle name="_Cabang Mks - IBT  Agustus 2006_AP Logistic 2010 Konsolidasi (091115) 1830" xfId="234"/>
    <cellStyle name="_Cabang Mks - IBT  Agustus 2006_AP Logistic 2010 Konsolidasi (091116) 1340" xfId="235"/>
    <cellStyle name="_Cabang Mks - IBT  Agustus 2006_AP Logistic 2010 Konsolidasi (091116) 1700" xfId="236"/>
    <cellStyle name="_Cabang Mks - IBT  Agustus 2006_FINAL - Buku Saku3" xfId="237"/>
    <cellStyle name="_Cabang Mks - IBT  Agustus 2006_Laporan Harian Dispatcher_2010_Heavy Truck" xfId="238"/>
    <cellStyle name="_Cabang Mks - IBT  Agustus 2006_Laporan Harian Dispatcher_2010_Heavy Truck2" xfId="239"/>
    <cellStyle name="_Cabang Mks - IBT  Agustus 2006_Laporan Harian Dispatcher_2010_Light Truck" xfId="240"/>
    <cellStyle name="_Cabang Mks - IBT  Agustus 2006_Laporan Harian Dispatcher_2010_Light Truck_LHD" xfId="241"/>
    <cellStyle name="_Cabang Mks - IBT  Agustus 2006_Laporan Harian Dispatcher_2010-11_Heavy Truck" xfId="242"/>
    <cellStyle name="_Cabang Mks - IBT  Agustus 2006_Laporan Harian Dispatcher_2010-11_Light Truck" xfId="243"/>
    <cellStyle name="_Cabang Mks - IBT  Agustus 2006_Laporan Harian Dispatcher_2010-11_Light Truck_LHD" xfId="244"/>
    <cellStyle name="_Cabang Mks - IBT  Agustus 2006_LHD" xfId="245"/>
    <cellStyle name="_Cabang Mks - IBT  Agustus 2006_LHD_2010-12_Heavy Truck" xfId="246"/>
    <cellStyle name="_Cabang Mks - IBT  Agustus 2006_LHD_2010-12_Light Truck" xfId="247"/>
    <cellStyle name="_Cabang Mks - IBT  Agustus 2006_LHD_2010-12_Light Truck_LHD" xfId="248"/>
    <cellStyle name="_Cabang Mks - IBT  Agustus 2006_LHD_Heavy Truck 2011-01" xfId="249"/>
    <cellStyle name="_Cabang Mks - IBT  Agustus 2006_Performance Review 091112" xfId="250"/>
    <cellStyle name="_Cabang Mks - IBT  Agustus 2006_PL Oktober" xfId="251"/>
    <cellStyle name="_CMD Report" xfId="252"/>
    <cellStyle name="_CMD Report_Untuk TSA,CRO Isi" xfId="253"/>
    <cellStyle name="_CMD Report_Untuk TSA,CRO Isi_AP Logistic 2010 Konsolidasi (091110)" xfId="254"/>
    <cellStyle name="_CMD Report_Untuk TSA,CRO Isi_AP Logistic 2010 Konsolidasi (091111) 1830" xfId="255"/>
    <cellStyle name="_CMD Report_Untuk TSA,CRO Isi_AP Logistic 2010 Konsolidasi (091111) 2230" xfId="256"/>
    <cellStyle name="_CMD Report_Untuk TSA,CRO Isi_AP Logistic 2010 Konsolidasi (091115) 1830" xfId="257"/>
    <cellStyle name="_CMD Report_Untuk TSA,CRO Isi_AP Logistic 2010 Konsolidasi (091116) 1340" xfId="258"/>
    <cellStyle name="_CMD Report_Untuk TSA,CRO Isi_AP Logistic 2010 Konsolidasi (091116) 1700" xfId="259"/>
    <cellStyle name="_CMD Report_Untuk TSA,CRO Isi_LHD" xfId="260"/>
    <cellStyle name="_CMD Report_Untuk TSA,CRO Isi_Performance Review 091112" xfId="261"/>
    <cellStyle name="_DPS" xfId="262"/>
    <cellStyle name="_DPS 2" xfId="263"/>
    <cellStyle name="_DPS 3" xfId="264"/>
    <cellStyle name="_DPS 4" xfId="265"/>
    <cellStyle name="_DPS 5" xfId="266"/>
    <cellStyle name="_DPS 6" xfId="267"/>
    <cellStyle name="_DPS 7" xfId="268"/>
    <cellStyle name="_DPS 8" xfId="269"/>
    <cellStyle name="_DPS_12 Laporan Stock Pool MKS Desember 2008 (2)" xfId="270"/>
    <cellStyle name="_DPS_12 Laporan Stock Pool MKS Desember 2008 (2)_AP Logistic 2010 Konsolidasi (091110)" xfId="271"/>
    <cellStyle name="_DPS_12 Laporan Stock Pool MKS Desember 2008 (2)_AP Logistic 2010 Konsolidasi (091111) 1830" xfId="272"/>
    <cellStyle name="_DPS_12 Laporan Stock Pool MKS Desember 2008 (2)_AP Logistic 2010 Konsolidasi (091111) 2230" xfId="273"/>
    <cellStyle name="_DPS_12 Laporan Stock Pool MKS Desember 2008 (2)_AP Logistic 2010 Konsolidasi (091115) 1830" xfId="274"/>
    <cellStyle name="_DPS_12 Laporan Stock Pool MKS Desember 2008 (2)_AP Logistic 2010 Konsolidasi (091116) 1340" xfId="275"/>
    <cellStyle name="_DPS_12 Laporan Stock Pool MKS Desember 2008 (2)_AP Logistic 2010 Konsolidasi (091116) 1700" xfId="276"/>
    <cellStyle name="_DPS_12 Laporan Stock Pool MKS Desember 2008 (2)_LHD" xfId="277"/>
    <cellStyle name="_DPS_12 Laporan Stock Pool MKS Desember 2008 (2)_Performance Review 091112" xfId="278"/>
    <cellStyle name="_DPS_AP Logistic 2010 Konsolidasi (091110)" xfId="279"/>
    <cellStyle name="_DPS_AP Logistic 2010 Konsolidasi (091111) 1830" xfId="280"/>
    <cellStyle name="_DPS_AP Logistic 2010 Konsolidasi (091111) 2230" xfId="281"/>
    <cellStyle name="_DPS_AP Logistic 2010 Konsolidasi (091115) 1830" xfId="282"/>
    <cellStyle name="_DPS_AP Logistic 2010 Konsolidasi (091116) 1340" xfId="283"/>
    <cellStyle name="_DPS_AP Logistic 2010 Konsolidasi (091116) 1700" xfId="284"/>
    <cellStyle name="_DPS_Book1" xfId="285"/>
    <cellStyle name="_DPS_lap  SerPo PNTK Des  08 (2)" xfId="286"/>
    <cellStyle name="_DPS_lap  SerPo PNTK Des  08 (3)" xfId="287"/>
    <cellStyle name="_DPS_lap  SerPo PNTK November  08" xfId="288"/>
    <cellStyle name="_DPS_LHD" xfId="289"/>
    <cellStyle name="_DPS_Performance Review 091112" xfId="290"/>
    <cellStyle name="_DPS_Reimburst HO" xfId="291"/>
    <cellStyle name="_DPS_Reimburst HO 2" xfId="292"/>
    <cellStyle name="_DPS_Reimburst HO 3" xfId="293"/>
    <cellStyle name="_DPS_Reimburst HO 4" xfId="294"/>
    <cellStyle name="_DPS_Reimburst HO 5" xfId="295"/>
    <cellStyle name="_DPS_Reimburst HO 6" xfId="296"/>
    <cellStyle name="_DPS_Reimburst HO 7" xfId="297"/>
    <cellStyle name="_DPS_Reimburst HO 8" xfId="298"/>
    <cellStyle name="_DPS_Reimburst HO_LHD" xfId="299"/>
    <cellStyle name="_EAA Sensitivity _Aug07 V2" xfId="300"/>
    <cellStyle name="_FORMAT   LHP  AGUSTUS (4)" xfId="301"/>
    <cellStyle name="_FORMAT   LHP  AGUSTUS (4)_12 Laporan Stock Pool MKS Desember 2008 (2)" xfId="302"/>
    <cellStyle name="_FORMAT   LHP  AGUSTUS (4)_12 Laporan Stock Pool MKS Desember 2008 (2)_AP Logistic 2010 Konsolidasi (091110)" xfId="303"/>
    <cellStyle name="_FORMAT   LHP  AGUSTUS (4)_12 Laporan Stock Pool MKS Desember 2008 (2)_AP Logistic 2010 Konsolidasi (091111) 1830" xfId="304"/>
    <cellStyle name="_FORMAT   LHP  AGUSTUS (4)_12 Laporan Stock Pool MKS Desember 2008 (2)_AP Logistic 2010 Konsolidasi (091111) 2230" xfId="305"/>
    <cellStyle name="_FORMAT   LHP  AGUSTUS (4)_12 Laporan Stock Pool MKS Desember 2008 (2)_AP Logistic 2010 Konsolidasi (091115) 1830" xfId="306"/>
    <cellStyle name="_FORMAT   LHP  AGUSTUS (4)_12 Laporan Stock Pool MKS Desember 2008 (2)_AP Logistic 2010 Konsolidasi (091116) 1340" xfId="307"/>
    <cellStyle name="_FORMAT   LHP  AGUSTUS (4)_12 Laporan Stock Pool MKS Desember 2008 (2)_AP Logistic 2010 Konsolidasi (091116) 1700" xfId="308"/>
    <cellStyle name="_FORMAT   LHP  AGUSTUS (4)_12 Laporan Stock Pool MKS Desember 2008 (2)_LHD" xfId="309"/>
    <cellStyle name="_FORMAT   LHP  AGUSTUS (4)_12 Laporan Stock Pool MKS Desember 2008 (2)_Performance Review 091112" xfId="310"/>
    <cellStyle name="_FORMAT   LHP  AGUSTUS (4)_AP Logistic 2010 Konsolidasi (091110)" xfId="311"/>
    <cellStyle name="_FORMAT   LHP  AGUSTUS (4)_AP Logistic 2010 Konsolidasi (091111) 1830" xfId="312"/>
    <cellStyle name="_FORMAT   LHP  AGUSTUS (4)_AP Logistic 2010 Konsolidasi (091111) 2230" xfId="313"/>
    <cellStyle name="_FORMAT   LHP  AGUSTUS (4)_AP Logistic 2010 Konsolidasi (091115) 1830" xfId="314"/>
    <cellStyle name="_FORMAT   LHP  AGUSTUS (4)_AP Logistic 2010 Konsolidasi (091116) 1340" xfId="315"/>
    <cellStyle name="_FORMAT   LHP  AGUSTUS (4)_AP Logistic 2010 Konsolidasi (091116) 1700" xfId="316"/>
    <cellStyle name="_FORMAT   LHP  AGUSTUS (4)_LAP. STOCK MEI  2010" xfId="317"/>
    <cellStyle name="_FORMAT   LHP  AGUSTUS (4)_LHD" xfId="318"/>
    <cellStyle name="_FORMAT   LHP  AGUSTUS (4)_LS Alvin" xfId="319"/>
    <cellStyle name="_FORMAT   LHP  AGUSTUS (4)_Performance Review 091112" xfId="320"/>
    <cellStyle name="_FORMAT   LHP  JULI" xfId="321"/>
    <cellStyle name="_FORMAT   LHP  JULI_12 Laporan Stock Pool MKS Desember 2008 (2)" xfId="322"/>
    <cellStyle name="_FORMAT   LHP  JULI_12 Laporan Stock Pool MKS Desember 2008 (2)_AP Logistic 2010 Konsolidasi (091110)" xfId="323"/>
    <cellStyle name="_FORMAT   LHP  JULI_12 Laporan Stock Pool MKS Desember 2008 (2)_AP Logistic 2010 Konsolidasi (091111) 1830" xfId="324"/>
    <cellStyle name="_FORMAT   LHP  JULI_12 Laporan Stock Pool MKS Desember 2008 (2)_AP Logistic 2010 Konsolidasi (091111) 2230" xfId="325"/>
    <cellStyle name="_FORMAT   LHP  JULI_12 Laporan Stock Pool MKS Desember 2008 (2)_AP Logistic 2010 Konsolidasi (091115) 1830" xfId="326"/>
    <cellStyle name="_FORMAT   LHP  JULI_12 Laporan Stock Pool MKS Desember 2008 (2)_AP Logistic 2010 Konsolidasi (091116) 1340" xfId="327"/>
    <cellStyle name="_FORMAT   LHP  JULI_12 Laporan Stock Pool MKS Desember 2008 (2)_AP Logistic 2010 Konsolidasi (091116) 1700" xfId="328"/>
    <cellStyle name="_FORMAT   LHP  JULI_12 Laporan Stock Pool MKS Desember 2008 (2)_LHD" xfId="329"/>
    <cellStyle name="_FORMAT   LHP  JULI_12 Laporan Stock Pool MKS Desember 2008 (2)_Performance Review 091112" xfId="330"/>
    <cellStyle name="_FORMAT   LHP  JULI_AP Logistic 2010 Konsolidasi (091110)" xfId="331"/>
    <cellStyle name="_FORMAT   LHP  JULI_AP Logistic 2010 Konsolidasi (091111) 1830" xfId="332"/>
    <cellStyle name="_FORMAT   LHP  JULI_AP Logistic 2010 Konsolidasi (091111) 2230" xfId="333"/>
    <cellStyle name="_FORMAT   LHP  JULI_AP Logistic 2010 Konsolidasi (091115) 1830" xfId="334"/>
    <cellStyle name="_FORMAT   LHP  JULI_AP Logistic 2010 Konsolidasi (091116) 1340" xfId="335"/>
    <cellStyle name="_FORMAT   LHP  JULI_AP Logistic 2010 Konsolidasi (091116) 1700" xfId="336"/>
    <cellStyle name="_FORMAT   LHP  JULI_LAP. STOCK MEI  2010" xfId="337"/>
    <cellStyle name="_FORMAT   LHP  JULI_LHD" xfId="338"/>
    <cellStyle name="_FORMAT   LHP  JULI_LS Alvin" xfId="339"/>
    <cellStyle name="_FORMAT   LHP  JULI_Performance Review 091112" xfId="340"/>
    <cellStyle name="_FORMAT   LHP  SEPTEMBER" xfId="341"/>
    <cellStyle name="_FORMAT   LHP  SEPTEMBER (2)" xfId="342"/>
    <cellStyle name="_FORMAT   LHP  SEPTEMBER (2)_12 Laporan Stock Pool MKS Desember 2008 (2)" xfId="343"/>
    <cellStyle name="_FORMAT   LHP  SEPTEMBER (2)_12 Laporan Stock Pool MKS Desember 2008 (2)_AP Logistic 2010 Konsolidasi (091110)" xfId="344"/>
    <cellStyle name="_FORMAT   LHP  SEPTEMBER (2)_12 Laporan Stock Pool MKS Desember 2008 (2)_AP Logistic 2010 Konsolidasi (091111) 1830" xfId="345"/>
    <cellStyle name="_FORMAT   LHP  SEPTEMBER (2)_12 Laporan Stock Pool MKS Desember 2008 (2)_AP Logistic 2010 Konsolidasi (091111) 2230" xfId="346"/>
    <cellStyle name="_FORMAT   LHP  SEPTEMBER (2)_12 Laporan Stock Pool MKS Desember 2008 (2)_AP Logistic 2010 Konsolidasi (091115) 1830" xfId="347"/>
    <cellStyle name="_FORMAT   LHP  SEPTEMBER (2)_12 Laporan Stock Pool MKS Desember 2008 (2)_AP Logistic 2010 Konsolidasi (091116) 1340" xfId="348"/>
    <cellStyle name="_FORMAT   LHP  SEPTEMBER (2)_12 Laporan Stock Pool MKS Desember 2008 (2)_AP Logistic 2010 Konsolidasi (091116) 1700" xfId="349"/>
    <cellStyle name="_FORMAT   LHP  SEPTEMBER (2)_12 Laporan Stock Pool MKS Desember 2008 (2)_LHD" xfId="350"/>
    <cellStyle name="_FORMAT   LHP  SEPTEMBER (2)_12 Laporan Stock Pool MKS Desember 2008 (2)_Performance Review 091112" xfId="351"/>
    <cellStyle name="_FORMAT   LHP  SEPTEMBER (2)_AP Logistic 2010 Konsolidasi (091110)" xfId="352"/>
    <cellStyle name="_FORMAT   LHP  SEPTEMBER (2)_AP Logistic 2010 Konsolidasi (091111) 1830" xfId="353"/>
    <cellStyle name="_FORMAT   LHP  SEPTEMBER (2)_AP Logistic 2010 Konsolidasi (091111) 2230" xfId="354"/>
    <cellStyle name="_FORMAT   LHP  SEPTEMBER (2)_AP Logistic 2010 Konsolidasi (091115) 1830" xfId="355"/>
    <cellStyle name="_FORMAT   LHP  SEPTEMBER (2)_AP Logistic 2010 Konsolidasi (091116) 1340" xfId="356"/>
    <cellStyle name="_FORMAT   LHP  SEPTEMBER (2)_AP Logistic 2010 Konsolidasi (091116) 1700" xfId="357"/>
    <cellStyle name="_FORMAT   LHP  SEPTEMBER (2)_LAP. STOCK MEI  2010" xfId="358"/>
    <cellStyle name="_FORMAT   LHP  SEPTEMBER (2)_LHD" xfId="359"/>
    <cellStyle name="_FORMAT   LHP  SEPTEMBER (2)_LS Alvin" xfId="360"/>
    <cellStyle name="_FORMAT   LHP  SEPTEMBER (2)_Performance Review 091112" xfId="361"/>
    <cellStyle name="_FORMAT   LHP  SEPTEMBER_12 Laporan Stock Pool MKS Desember 2008 (2)" xfId="362"/>
    <cellStyle name="_FORMAT   LHP  SEPTEMBER_12 Laporan Stock Pool MKS Desember 2008 (2)_AP Logistic 2010 Konsolidasi (091110)" xfId="363"/>
    <cellStyle name="_FORMAT   LHP  SEPTEMBER_12 Laporan Stock Pool MKS Desember 2008 (2)_AP Logistic 2010 Konsolidasi (091111) 1830" xfId="364"/>
    <cellStyle name="_FORMAT   LHP  SEPTEMBER_12 Laporan Stock Pool MKS Desember 2008 (2)_AP Logistic 2010 Konsolidasi (091111) 2230" xfId="365"/>
    <cellStyle name="_FORMAT   LHP  SEPTEMBER_12 Laporan Stock Pool MKS Desember 2008 (2)_AP Logistic 2010 Konsolidasi (091115) 1830" xfId="366"/>
    <cellStyle name="_FORMAT   LHP  SEPTEMBER_12 Laporan Stock Pool MKS Desember 2008 (2)_AP Logistic 2010 Konsolidasi (091116) 1340" xfId="367"/>
    <cellStyle name="_FORMAT   LHP  SEPTEMBER_12 Laporan Stock Pool MKS Desember 2008 (2)_AP Logistic 2010 Konsolidasi (091116) 1700" xfId="368"/>
    <cellStyle name="_FORMAT   LHP  SEPTEMBER_12 Laporan Stock Pool MKS Desember 2008 (2)_LHD" xfId="369"/>
    <cellStyle name="_FORMAT   LHP  SEPTEMBER_12 Laporan Stock Pool MKS Desember 2008 (2)_Performance Review 091112" xfId="370"/>
    <cellStyle name="_FORMAT   LHP  SEPTEMBER_AP Logistic 2010 Konsolidasi (091110)" xfId="371"/>
    <cellStyle name="_FORMAT   LHP  SEPTEMBER_AP Logistic 2010 Konsolidasi (091111) 1830" xfId="372"/>
    <cellStyle name="_FORMAT   LHP  SEPTEMBER_AP Logistic 2010 Konsolidasi (091111) 2230" xfId="373"/>
    <cellStyle name="_FORMAT   LHP  SEPTEMBER_AP Logistic 2010 Konsolidasi (091115) 1830" xfId="374"/>
    <cellStyle name="_FORMAT   LHP  SEPTEMBER_AP Logistic 2010 Konsolidasi (091116) 1340" xfId="375"/>
    <cellStyle name="_FORMAT   LHP  SEPTEMBER_AP Logistic 2010 Konsolidasi (091116) 1700" xfId="376"/>
    <cellStyle name="_FORMAT   LHP  SEPTEMBER_LAP. STOCK MEI  2010" xfId="377"/>
    <cellStyle name="_FORMAT   LHP  SEPTEMBER_LHD" xfId="378"/>
    <cellStyle name="_FORMAT   LHP  SEPTEMBER_LS Alvin" xfId="379"/>
    <cellStyle name="_FORMAT   LHP  SEPTEMBER_Performance Review 091112" xfId="380"/>
    <cellStyle name="_Format SPK New" xfId="381"/>
    <cellStyle name="_Format SPK New 2" xfId="382"/>
    <cellStyle name="_Format SPK New 3" xfId="383"/>
    <cellStyle name="_Format SPK New 4" xfId="384"/>
    <cellStyle name="_Format SPK New 5" xfId="385"/>
    <cellStyle name="_Format SPK New 6" xfId="386"/>
    <cellStyle name="_Format SPK New 7" xfId="387"/>
    <cellStyle name="_Format SPK New 8" xfId="388"/>
    <cellStyle name="_Format SPK New_5. Reminder Service Samarinda" xfId="389"/>
    <cellStyle name="_Format SPK New_5. Reminder Service Samarinda 2" xfId="390"/>
    <cellStyle name="_Format SPK New_5. Reminder Service Samarinda 3" xfId="391"/>
    <cellStyle name="_Format SPK New_5. Reminder Service Samarinda 4" xfId="392"/>
    <cellStyle name="_Format SPK New_5. Reminder Service Samarinda 5" xfId="393"/>
    <cellStyle name="_Format SPK New_5. Reminder Service Samarinda 6" xfId="394"/>
    <cellStyle name="_Format SPK New_5. Reminder Service Samarinda 7" xfId="395"/>
    <cellStyle name="_Format SPK New_5. Reminder Service Samarinda 8" xfId="396"/>
    <cellStyle name="_Format SPK New_5. Reminder Service Samarinda_LHD" xfId="397"/>
    <cellStyle name="_Format SPK New_5. Reminder Service Samarinda_Reimburst HO" xfId="398"/>
    <cellStyle name="_Format SPK New_5. Reminder Service Samarinda_Reimburst HO 2" xfId="399"/>
    <cellStyle name="_Format SPK New_5. Reminder Service Samarinda_Reimburst HO 3" xfId="400"/>
    <cellStyle name="_Format SPK New_5. Reminder Service Samarinda_Reimburst HO 4" xfId="401"/>
    <cellStyle name="_Format SPK New_5. Reminder Service Samarinda_Reimburst HO 5" xfId="402"/>
    <cellStyle name="_Format SPK New_5. Reminder Service Samarinda_Reimburst HO 6" xfId="403"/>
    <cellStyle name="_Format SPK New_5. Reminder Service Samarinda_Reimburst HO 7" xfId="404"/>
    <cellStyle name="_Format SPK New_5. Reminder Service Samarinda_Reimburst HO 8" xfId="405"/>
    <cellStyle name="_Format SPK New_5. Reminder Service Samarinda_Reimburst HO_LHD" xfId="406"/>
    <cellStyle name="_Format SPK New_Book1" xfId="407"/>
    <cellStyle name="_Format SPK New_LHD" xfId="408"/>
    <cellStyle name="_Format SPK New_PL Oktober" xfId="409"/>
    <cellStyle name="_Format SPK New_Reimburst HO" xfId="410"/>
    <cellStyle name="_Format SPK New_Reimburst HO 2" xfId="411"/>
    <cellStyle name="_Format SPK New_Reimburst HO 3" xfId="412"/>
    <cellStyle name="_Format SPK New_Reimburst HO 4" xfId="413"/>
    <cellStyle name="_Format SPK New_Reimburst HO 5" xfId="414"/>
    <cellStyle name="_Format SPK New_Reimburst HO 6" xfId="415"/>
    <cellStyle name="_Format SPK New_Reimburst HO 7" xfId="416"/>
    <cellStyle name="_Format SPK New_Reimburst HO 8" xfId="417"/>
    <cellStyle name="_Format SPK New_Reimburst HO_LHD" xfId="418"/>
    <cellStyle name="_Giai Doan 3 Hong Ngu" xfId="419"/>
    <cellStyle name="_Giai Doan 3 Hong Ngu_Book1" xfId="420"/>
    <cellStyle name="_Hasil Recons UIO Mei 2007" xfId="421"/>
    <cellStyle name="_Hasil Recons UIO Mei 2007 2" xfId="422"/>
    <cellStyle name="_Hasil Recons UIO Mei 2007 3" xfId="423"/>
    <cellStyle name="_Hasil Recons UIO Mei 2007 4" xfId="424"/>
    <cellStyle name="_Hasil Recons UIO Mei 2007 5" xfId="425"/>
    <cellStyle name="_Hasil Recons UIO Mei 2007 6" xfId="426"/>
    <cellStyle name="_Hasil Recons UIO Mei 2007 7" xfId="427"/>
    <cellStyle name="_Hasil Recons UIO Mei 2007 8" xfId="428"/>
    <cellStyle name="_Hasil Recons UIO Mei 2007_Book1" xfId="429"/>
    <cellStyle name="_Hasil Recons UIO Mei 2007_LHD" xfId="430"/>
    <cellStyle name="_Hasil Recons UIO Mei 2007_PL Oktober" xfId="431"/>
    <cellStyle name="_Hasil Recons UIO Mei 2007_Reimburst HO" xfId="432"/>
    <cellStyle name="_Hasil Recons UIO Mei 2007_Reimburst HO 2" xfId="433"/>
    <cellStyle name="_Hasil Recons UIO Mei 2007_Reimburst HO 3" xfId="434"/>
    <cellStyle name="_Hasil Recons UIO Mei 2007_Reimburst HO 4" xfId="435"/>
    <cellStyle name="_Hasil Recons UIO Mei 2007_Reimburst HO 5" xfId="436"/>
    <cellStyle name="_Hasil Recons UIO Mei 2007_Reimburst HO 6" xfId="437"/>
    <cellStyle name="_Hasil Recons UIO Mei 2007_Reimburst HO 7" xfId="438"/>
    <cellStyle name="_Hasil Recons UIO Mei 2007_Reimburst HO 8" xfId="439"/>
    <cellStyle name="_Hasil Recons UIO Mei 2007_Reimburst HO_LHD" xfId="440"/>
    <cellStyle name="_Intimex-2007" xfId="441"/>
    <cellStyle name="_JAKARTA" xfId="442"/>
    <cellStyle name="_JAKARTA 2" xfId="443"/>
    <cellStyle name="_JAKARTA 3" xfId="444"/>
    <cellStyle name="_JAKARTA 4" xfId="445"/>
    <cellStyle name="_JAKARTA 5" xfId="446"/>
    <cellStyle name="_JAKARTA 6" xfId="447"/>
    <cellStyle name="_JAKARTA 7" xfId="448"/>
    <cellStyle name="_JAKARTA 8" xfId="449"/>
    <cellStyle name="_JAKARTA_12 Laporan Stock Pool MKS Desember 2008 (2)" xfId="450"/>
    <cellStyle name="_JAKARTA_12 Laporan Stock Pool MKS Desember 2008 (2)_AP Logistic 2010 Konsolidasi (091110)" xfId="451"/>
    <cellStyle name="_JAKARTA_12 Laporan Stock Pool MKS Desember 2008 (2)_AP Logistic 2010 Konsolidasi (091111) 1830" xfId="452"/>
    <cellStyle name="_JAKARTA_12 Laporan Stock Pool MKS Desember 2008 (2)_AP Logistic 2010 Konsolidasi (091111) 2230" xfId="453"/>
    <cellStyle name="_JAKARTA_12 Laporan Stock Pool MKS Desember 2008 (2)_AP Logistic 2010 Konsolidasi (091115) 1830" xfId="454"/>
    <cellStyle name="_JAKARTA_12 Laporan Stock Pool MKS Desember 2008 (2)_AP Logistic 2010 Konsolidasi (091116) 1340" xfId="455"/>
    <cellStyle name="_JAKARTA_12 Laporan Stock Pool MKS Desember 2008 (2)_AP Logistic 2010 Konsolidasi (091116) 1700" xfId="456"/>
    <cellStyle name="_JAKARTA_12 Laporan Stock Pool MKS Desember 2008 (2)_LHD" xfId="457"/>
    <cellStyle name="_JAKARTA_12 Laporan Stock Pool MKS Desember 2008 (2)_Performance Review 091112" xfId="458"/>
    <cellStyle name="_JAKARTA_AP Logistic 2010 Konsolidasi (091110)" xfId="459"/>
    <cellStyle name="_JAKARTA_AP Logistic 2010 Konsolidasi (091111) 1830" xfId="460"/>
    <cellStyle name="_JAKARTA_AP Logistic 2010 Konsolidasi (091111) 2230" xfId="461"/>
    <cellStyle name="_JAKARTA_AP Logistic 2010 Konsolidasi (091115) 1830" xfId="462"/>
    <cellStyle name="_JAKARTA_AP Logistic 2010 Konsolidasi (091116) 1340" xfId="463"/>
    <cellStyle name="_JAKARTA_AP Logistic 2010 Konsolidasi (091116) 1700" xfId="464"/>
    <cellStyle name="_JAKARTA_Book1" xfId="465"/>
    <cellStyle name="_JAKARTA_lap  SerPo PNTK Des  08 (2)" xfId="466"/>
    <cellStyle name="_JAKARTA_lap  SerPo PNTK Des  08 (3)" xfId="467"/>
    <cellStyle name="_JAKARTA_lap  SerPo PNTK November  08" xfId="468"/>
    <cellStyle name="_JAKARTA_LHD" xfId="469"/>
    <cellStyle name="_JAKARTA_Performance Review 091112" xfId="470"/>
    <cellStyle name="_JAKARTA_Reimburst HO" xfId="471"/>
    <cellStyle name="_JAKARTA_Reimburst HO 2" xfId="472"/>
    <cellStyle name="_JAKARTA_Reimburst HO 3" xfId="473"/>
    <cellStyle name="_JAKARTA_Reimburst HO 4" xfId="474"/>
    <cellStyle name="_JAKARTA_Reimburst HO 5" xfId="475"/>
    <cellStyle name="_JAKARTA_Reimburst HO 6" xfId="476"/>
    <cellStyle name="_JAKARTA_Reimburst HO 7" xfId="477"/>
    <cellStyle name="_JAKARTA_Reimburst HO 8" xfId="478"/>
    <cellStyle name="_JAKARTA_Reimburst HO_LHD" xfId="479"/>
    <cellStyle name="_JAKARTA1" xfId="480"/>
    <cellStyle name="_JAKARTA1 2" xfId="481"/>
    <cellStyle name="_JAKARTA1 3" xfId="482"/>
    <cellStyle name="_JAKARTA1 4" xfId="483"/>
    <cellStyle name="_JAKARTA1 5" xfId="484"/>
    <cellStyle name="_JAKARTA1 6" xfId="485"/>
    <cellStyle name="_JAKARTA1 7" xfId="486"/>
    <cellStyle name="_JAKARTA1 8" xfId="487"/>
    <cellStyle name="_JAKARTA1_Book1" xfId="488"/>
    <cellStyle name="_JAKARTA1_LHD" xfId="489"/>
    <cellStyle name="_JAKARTA1_PL Oktober" xfId="490"/>
    <cellStyle name="_JAKARTA1_Reimburst HO" xfId="491"/>
    <cellStyle name="_JAKARTA1_Reimburst HO 2" xfId="492"/>
    <cellStyle name="_JAKARTA1_Reimburst HO 3" xfId="493"/>
    <cellStyle name="_JAKARTA1_Reimburst HO 4" xfId="494"/>
    <cellStyle name="_JAKARTA1_Reimburst HO 5" xfId="495"/>
    <cellStyle name="_JAKARTA1_Reimburst HO 6" xfId="496"/>
    <cellStyle name="_JAKARTA1_Reimburst HO 7" xfId="497"/>
    <cellStyle name="_JAKARTA1_Reimburst HO 8" xfId="498"/>
    <cellStyle name="_JAKARTA1_Reimburst HO_LHD" xfId="499"/>
    <cellStyle name="_JKT" xfId="500"/>
    <cellStyle name="_JKT 2" xfId="501"/>
    <cellStyle name="_JKT 3" xfId="502"/>
    <cellStyle name="_JKT 4" xfId="503"/>
    <cellStyle name="_JKT 5" xfId="504"/>
    <cellStyle name="_JKT 6" xfId="505"/>
    <cellStyle name="_JKT 7" xfId="506"/>
    <cellStyle name="_JKT 8" xfId="507"/>
    <cellStyle name="_JKT_12 Laporan Stock Pool MKS Desember 2008 (2)" xfId="508"/>
    <cellStyle name="_JKT_12 Laporan Stock Pool MKS Desember 2008 (2)_AP Logistic 2010 Konsolidasi (091110)" xfId="509"/>
    <cellStyle name="_JKT_12 Laporan Stock Pool MKS Desember 2008 (2)_AP Logistic 2010 Konsolidasi (091111) 1830" xfId="510"/>
    <cellStyle name="_JKT_12 Laporan Stock Pool MKS Desember 2008 (2)_AP Logistic 2010 Konsolidasi (091111) 2230" xfId="511"/>
    <cellStyle name="_JKT_12 Laporan Stock Pool MKS Desember 2008 (2)_AP Logistic 2010 Konsolidasi (091115) 1830" xfId="512"/>
    <cellStyle name="_JKT_12 Laporan Stock Pool MKS Desember 2008 (2)_AP Logistic 2010 Konsolidasi (091116) 1340" xfId="513"/>
    <cellStyle name="_JKT_12 Laporan Stock Pool MKS Desember 2008 (2)_AP Logistic 2010 Konsolidasi (091116) 1700" xfId="514"/>
    <cellStyle name="_JKT_12 Laporan Stock Pool MKS Desember 2008 (2)_LHD" xfId="515"/>
    <cellStyle name="_JKT_12 Laporan Stock Pool MKS Desember 2008 (2)_Performance Review 091112" xfId="516"/>
    <cellStyle name="_JKT_AP Logistic 2010 Konsolidasi (091110)" xfId="517"/>
    <cellStyle name="_JKT_AP Logistic 2010 Konsolidasi (091111) 1830" xfId="518"/>
    <cellStyle name="_JKT_AP Logistic 2010 Konsolidasi (091111) 2230" xfId="519"/>
    <cellStyle name="_JKT_AP Logistic 2010 Konsolidasi (091115) 1830" xfId="520"/>
    <cellStyle name="_JKT_AP Logistic 2010 Konsolidasi (091116) 1340" xfId="521"/>
    <cellStyle name="_JKT_AP Logistic 2010 Konsolidasi (091116) 1700" xfId="522"/>
    <cellStyle name="_JKT_Book1" xfId="523"/>
    <cellStyle name="_JKT_lap  SerPo PNTK Des  08 (2)" xfId="524"/>
    <cellStyle name="_JKT_lap  SerPo PNTK Des  08 (3)" xfId="525"/>
    <cellStyle name="_JKT_lap  SerPo PNTK November  08" xfId="526"/>
    <cellStyle name="_JKT_LHD" xfId="527"/>
    <cellStyle name="_JKT_Performance Review 091112" xfId="528"/>
    <cellStyle name="_JKT_Reimburst HO" xfId="529"/>
    <cellStyle name="_JKT_Reimburst HO 2" xfId="530"/>
    <cellStyle name="_JKT_Reimburst HO 3" xfId="531"/>
    <cellStyle name="_JKT_Reimburst HO 4" xfId="532"/>
    <cellStyle name="_JKT_Reimburst HO 5" xfId="533"/>
    <cellStyle name="_JKT_Reimburst HO 6" xfId="534"/>
    <cellStyle name="_JKT_Reimburst HO 7" xfId="535"/>
    <cellStyle name="_JKT_Reimburst HO 8" xfId="536"/>
    <cellStyle name="_JKT_Reimburst HO_LHD" xfId="537"/>
    <cellStyle name="_KOmang CMD" xfId="538"/>
    <cellStyle name="_KOmang CMD_AP Logistic 2010 Konsolidasi (091110)" xfId="539"/>
    <cellStyle name="_KOmang CMD_AP Logistic 2010 Konsolidasi (091111) 1830" xfId="540"/>
    <cellStyle name="_KOmang CMD_AP Logistic 2010 Konsolidasi (091111) 2230" xfId="541"/>
    <cellStyle name="_KOmang CMD_AP Logistic 2010 Konsolidasi (091115) 1830" xfId="542"/>
    <cellStyle name="_KOmang CMD_AP Logistic 2010 Konsolidasi (091116) 1340" xfId="543"/>
    <cellStyle name="_KOmang CMD_AP Logistic 2010 Konsolidasi (091116) 1700" xfId="544"/>
    <cellStyle name="_KOmang CMD_LHD" xfId="545"/>
    <cellStyle name="_KOmang CMD_Performance Review 091112" xfId="546"/>
    <cellStyle name="_KT (2)" xfId="547"/>
    <cellStyle name="_KT (2)_1" xfId="548"/>
    <cellStyle name="_KT (2)_1_Lora-tungchau" xfId="549"/>
    <cellStyle name="_KT (2)_1_Qt-HT3PQ1(CauKho)" xfId="550"/>
    <cellStyle name="_KT (2)_2" xfId="551"/>
    <cellStyle name="_KT (2)_2_TG-TH" xfId="552"/>
    <cellStyle name="_KT (2)_2_TG-TH_BAO CAO KLCT PT2000" xfId="553"/>
    <cellStyle name="_KT (2)_2_TG-TH_BAO CAO PT2000" xfId="554"/>
    <cellStyle name="_KT (2)_2_TG-TH_BAO CAO PT2000_Book1" xfId="555"/>
    <cellStyle name="_KT (2)_2_TG-TH_Bao cao XDCB 2001 - T11 KH dieu chinh 20-11-THAI" xfId="556"/>
    <cellStyle name="_KT (2)_2_TG-TH_Book1" xfId="557"/>
    <cellStyle name="_KT (2)_2_TG-TH_Book1_1" xfId="558"/>
    <cellStyle name="_KT (2)_2_TG-TH_Book1_2" xfId="559"/>
    <cellStyle name="_KT (2)_2_TG-TH_Book1_3" xfId="560"/>
    <cellStyle name="_KT (2)_2_TG-TH_Book1_3_Book1" xfId="561"/>
    <cellStyle name="_KT (2)_2_TG-TH_Book1_3_MENU" xfId="562"/>
    <cellStyle name="_KT (2)_2_TG-TH_Book1_Book1" xfId="563"/>
    <cellStyle name="_KT (2)_2_TG-TH_Book1_Intimex-2007" xfId="564"/>
    <cellStyle name="_KT (2)_2_TG-TH_Book1_TH KE" xfId="565"/>
    <cellStyle name="_KT (2)_2_TG-TH_Book1_THU CHI TIEN" xfId="566"/>
    <cellStyle name="_KT (2)_2_TG-TH_Book1_TKE" xfId="567"/>
    <cellStyle name="_KT (2)_2_TG-TH_DTCDT MR.2N110.HOCMON.TDTOAN.CCUNG" xfId="568"/>
    <cellStyle name="_KT (2)_2_TG-TH_Giai Doan 3 Hong Ngu" xfId="569"/>
    <cellStyle name="_KT (2)_2_TG-TH_Intimex-2007" xfId="570"/>
    <cellStyle name="_KT (2)_2_TG-TH_Lora-tungchau" xfId="571"/>
    <cellStyle name="_KT (2)_2_TG-TH_PGIA-phieu tham tra Kho bac" xfId="572"/>
    <cellStyle name="_KT (2)_2_TG-TH_PT02-02" xfId="573"/>
    <cellStyle name="_KT (2)_2_TG-TH_PT02-02_Book1" xfId="574"/>
    <cellStyle name="_KT (2)_2_TG-TH_PT02-03" xfId="575"/>
    <cellStyle name="_KT (2)_2_TG-TH_PT02-03_Book1" xfId="576"/>
    <cellStyle name="_KT (2)_2_TG-TH_Qt-HT3PQ1(CauKho)" xfId="577"/>
    <cellStyle name="_KT (2)_2_TG-TH_TH KE" xfId="578"/>
    <cellStyle name="_KT (2)_2_TG-TH_TH KE_Book1" xfId="579"/>
    <cellStyle name="_KT (2)_2_TG-TH_TH KE_MENU" xfId="580"/>
    <cellStyle name="_KT (2)_2_TG-TH_THU CHI TIEN" xfId="581"/>
    <cellStyle name="_KT (2)_2_TG-TH_TKE" xfId="582"/>
    <cellStyle name="_KT (2)_3" xfId="583"/>
    <cellStyle name="_KT (2)_3_TG-TH" xfId="584"/>
    <cellStyle name="_KT (2)_3_TG-TH_Book1" xfId="585"/>
    <cellStyle name="_KT (2)_3_TG-TH_Book1_BC-QT-WB-dthao" xfId="586"/>
    <cellStyle name="_KT (2)_3_TG-TH_Book1_Intimex-2007" xfId="587"/>
    <cellStyle name="_KT (2)_3_TG-TH_Giai Doan 3 Hong Ngu" xfId="588"/>
    <cellStyle name="_KT (2)_3_TG-TH_Giai Doan 3 Hong Ngu_Book1" xfId="589"/>
    <cellStyle name="_KT (2)_3_TG-TH_Intimex-2007" xfId="590"/>
    <cellStyle name="_KT (2)_3_TG-TH_Lora-tungchau" xfId="591"/>
    <cellStyle name="_KT (2)_3_TG-TH_PERSONAL" xfId="592"/>
    <cellStyle name="_KT (2)_3_TG-TH_PERSONAL_Book1" xfId="593"/>
    <cellStyle name="_KT (2)_3_TG-TH_PERSONAL_Book1_Book1" xfId="594"/>
    <cellStyle name="_KT (2)_3_TG-TH_PERSONAL_Book1_THU CHI TIEN" xfId="595"/>
    <cellStyle name="_KT (2)_3_TG-TH_PERSONAL_HTQ.8 GD1" xfId="596"/>
    <cellStyle name="_KT (2)_3_TG-TH_PERSONAL_TH KE" xfId="597"/>
    <cellStyle name="_KT (2)_3_TG-TH_PERSONAL_THU CHI TIEN" xfId="598"/>
    <cellStyle name="_KT (2)_3_TG-TH_PERSONAL_TKE" xfId="599"/>
    <cellStyle name="_KT (2)_3_TG-TH_PERSONAL_Tong hop KHCB 2001" xfId="600"/>
    <cellStyle name="_KT (2)_3_TG-TH_Qt-HT3PQ1(CauKho)" xfId="601"/>
    <cellStyle name="_KT (2)_4" xfId="602"/>
    <cellStyle name="_KT (2)_4_BAO CAO KLCT PT2000" xfId="603"/>
    <cellStyle name="_KT (2)_4_BAO CAO PT2000" xfId="604"/>
    <cellStyle name="_KT (2)_4_BAO CAO PT2000_Book1" xfId="605"/>
    <cellStyle name="_KT (2)_4_Bao cao XDCB 2001 - T11 KH dieu chinh 20-11-THAI" xfId="606"/>
    <cellStyle name="_KT (2)_4_Book1" xfId="607"/>
    <cellStyle name="_KT (2)_4_Book1_1" xfId="608"/>
    <cellStyle name="_KT (2)_4_Book1_2" xfId="609"/>
    <cellStyle name="_KT (2)_4_Book1_3" xfId="610"/>
    <cellStyle name="_KT (2)_4_Book1_3_Book1" xfId="611"/>
    <cellStyle name="_KT (2)_4_Book1_3_MENU" xfId="612"/>
    <cellStyle name="_KT (2)_4_Book1_Book1" xfId="613"/>
    <cellStyle name="_KT (2)_4_Book1_Intimex-2007" xfId="614"/>
    <cellStyle name="_KT (2)_4_Book1_TH KE" xfId="615"/>
    <cellStyle name="_KT (2)_4_Book1_THU CHI TIEN" xfId="616"/>
    <cellStyle name="_KT (2)_4_Book1_TKE" xfId="617"/>
    <cellStyle name="_KT (2)_4_DTCDT MR.2N110.HOCMON.TDTOAN.CCUNG" xfId="618"/>
    <cellStyle name="_KT (2)_4_Giai Doan 3 Hong Ngu" xfId="619"/>
    <cellStyle name="_KT (2)_4_Intimex-2007" xfId="620"/>
    <cellStyle name="_KT (2)_4_Lora-tungchau" xfId="621"/>
    <cellStyle name="_KT (2)_4_PGIA-phieu tham tra Kho bac" xfId="622"/>
    <cellStyle name="_KT (2)_4_PT02-02" xfId="623"/>
    <cellStyle name="_KT (2)_4_PT02-02_Book1" xfId="624"/>
    <cellStyle name="_KT (2)_4_PT02-03" xfId="625"/>
    <cellStyle name="_KT (2)_4_PT02-03_Book1" xfId="626"/>
    <cellStyle name="_KT (2)_4_Qt-HT3PQ1(CauKho)" xfId="627"/>
    <cellStyle name="_KT (2)_4_TG-TH" xfId="628"/>
    <cellStyle name="_KT (2)_4_TH KE" xfId="629"/>
    <cellStyle name="_KT (2)_4_TH KE_Book1" xfId="630"/>
    <cellStyle name="_KT (2)_4_TH KE_MENU" xfId="631"/>
    <cellStyle name="_KT (2)_4_THU CHI TIEN" xfId="632"/>
    <cellStyle name="_KT (2)_4_TKE" xfId="633"/>
    <cellStyle name="_KT (2)_5" xfId="634"/>
    <cellStyle name="_KT (2)_5_BAO CAO KLCT PT2000" xfId="635"/>
    <cellStyle name="_KT (2)_5_BAO CAO PT2000" xfId="636"/>
    <cellStyle name="_KT (2)_5_BAO CAO PT2000_Book1" xfId="637"/>
    <cellStyle name="_KT (2)_5_Bao cao XDCB 2001 - T11 KH dieu chinh 20-11-THAI" xfId="638"/>
    <cellStyle name="_KT (2)_5_Book1" xfId="639"/>
    <cellStyle name="_KT (2)_5_Book1_1" xfId="640"/>
    <cellStyle name="_KT (2)_5_Book1_2" xfId="641"/>
    <cellStyle name="_KT (2)_5_Book1_3" xfId="642"/>
    <cellStyle name="_KT (2)_5_Book1_3_Book1" xfId="643"/>
    <cellStyle name="_KT (2)_5_Book1_3_MENU" xfId="644"/>
    <cellStyle name="_KT (2)_5_Book1_BC-QT-WB-dthao" xfId="645"/>
    <cellStyle name="_KT (2)_5_Book1_Book1" xfId="646"/>
    <cellStyle name="_KT (2)_5_Book1_Intimex-2007" xfId="647"/>
    <cellStyle name="_KT (2)_5_Book1_TH KE" xfId="648"/>
    <cellStyle name="_KT (2)_5_Book1_THU CHI TIEN" xfId="649"/>
    <cellStyle name="_KT (2)_5_Book1_TKE" xfId="650"/>
    <cellStyle name="_KT (2)_5_DTCDT MR.2N110.HOCMON.TDTOAN.CCUNG" xfId="651"/>
    <cellStyle name="_KT (2)_5_Giai Doan 3 Hong Ngu" xfId="652"/>
    <cellStyle name="_KT (2)_5_Intimex-2007" xfId="653"/>
    <cellStyle name="_KT (2)_5_Lora-tungchau" xfId="654"/>
    <cellStyle name="_KT (2)_5_PGIA-phieu tham tra Kho bac" xfId="655"/>
    <cellStyle name="_KT (2)_5_PT02-02" xfId="656"/>
    <cellStyle name="_KT (2)_5_PT02-02_Book1" xfId="657"/>
    <cellStyle name="_KT (2)_5_PT02-03" xfId="658"/>
    <cellStyle name="_KT (2)_5_PT02-03_Book1" xfId="659"/>
    <cellStyle name="_KT (2)_5_Qt-HT3PQ1(CauKho)" xfId="660"/>
    <cellStyle name="_KT (2)_5_TH KE" xfId="661"/>
    <cellStyle name="_KT (2)_5_TH KE_Book1" xfId="662"/>
    <cellStyle name="_KT (2)_5_TH KE_MENU" xfId="663"/>
    <cellStyle name="_KT (2)_5_THU CHI TIEN" xfId="664"/>
    <cellStyle name="_KT (2)_5_TKE" xfId="665"/>
    <cellStyle name="_KT (2)_Book1" xfId="666"/>
    <cellStyle name="_KT (2)_Book1_BC-QT-WB-dthao" xfId="667"/>
    <cellStyle name="_KT (2)_Book1_Intimex-2007" xfId="668"/>
    <cellStyle name="_KT (2)_Giai Doan 3 Hong Ngu" xfId="669"/>
    <cellStyle name="_KT (2)_Giai Doan 3 Hong Ngu_Book1" xfId="670"/>
    <cellStyle name="_KT (2)_Intimex-2007" xfId="671"/>
    <cellStyle name="_KT (2)_Lora-tungchau" xfId="672"/>
    <cellStyle name="_KT (2)_PERSONAL" xfId="673"/>
    <cellStyle name="_KT (2)_PERSONAL_Book1" xfId="674"/>
    <cellStyle name="_KT (2)_PERSONAL_Book1_Book1" xfId="675"/>
    <cellStyle name="_KT (2)_PERSONAL_Book1_THU CHI TIEN" xfId="676"/>
    <cellStyle name="_KT (2)_PERSONAL_HTQ.8 GD1" xfId="677"/>
    <cellStyle name="_KT (2)_PERSONAL_TH KE" xfId="678"/>
    <cellStyle name="_KT (2)_PERSONAL_THU CHI TIEN" xfId="679"/>
    <cellStyle name="_KT (2)_PERSONAL_TKE" xfId="680"/>
    <cellStyle name="_KT (2)_PERSONAL_Tong hop KHCB 2001" xfId="681"/>
    <cellStyle name="_KT (2)_Qt-HT3PQ1(CauKho)" xfId="682"/>
    <cellStyle name="_KT (2)_TG-TH" xfId="683"/>
    <cellStyle name="_KT_TG" xfId="684"/>
    <cellStyle name="_KT_TG_1" xfId="685"/>
    <cellStyle name="_KT_TG_1_BAO CAO KLCT PT2000" xfId="686"/>
    <cellStyle name="_KT_TG_1_BAO CAO PT2000" xfId="687"/>
    <cellStyle name="_KT_TG_1_BAO CAO PT2000_Book1" xfId="688"/>
    <cellStyle name="_KT_TG_1_Bao cao XDCB 2001 - T11 KH dieu chinh 20-11-THAI" xfId="689"/>
    <cellStyle name="_KT_TG_1_Book1" xfId="690"/>
    <cellStyle name="_KT_TG_1_Book1_1" xfId="691"/>
    <cellStyle name="_KT_TG_1_Book1_2" xfId="692"/>
    <cellStyle name="_KT_TG_1_Book1_3" xfId="693"/>
    <cellStyle name="_KT_TG_1_Book1_3_Book1" xfId="694"/>
    <cellStyle name="_KT_TG_1_Book1_3_MENU" xfId="695"/>
    <cellStyle name="_KT_TG_1_Book1_BC-QT-WB-dthao" xfId="696"/>
    <cellStyle name="_KT_TG_1_Book1_Book1" xfId="697"/>
    <cellStyle name="_KT_TG_1_Book1_Intimex-2007" xfId="698"/>
    <cellStyle name="_KT_TG_1_Book1_TH KE" xfId="699"/>
    <cellStyle name="_KT_TG_1_Book1_THU CHI TIEN" xfId="700"/>
    <cellStyle name="_KT_TG_1_Book1_TKE" xfId="701"/>
    <cellStyle name="_KT_TG_1_DTCDT MR.2N110.HOCMON.TDTOAN.CCUNG" xfId="702"/>
    <cellStyle name="_KT_TG_1_Giai Doan 3 Hong Ngu" xfId="703"/>
    <cellStyle name="_KT_TG_1_Intimex-2007" xfId="704"/>
    <cellStyle name="_KT_TG_1_Lora-tungchau" xfId="705"/>
    <cellStyle name="_KT_TG_1_PGIA-phieu tham tra Kho bac" xfId="706"/>
    <cellStyle name="_KT_TG_1_PT02-02" xfId="707"/>
    <cellStyle name="_KT_TG_1_PT02-02_Book1" xfId="708"/>
    <cellStyle name="_KT_TG_1_PT02-03" xfId="709"/>
    <cellStyle name="_KT_TG_1_PT02-03_Book1" xfId="710"/>
    <cellStyle name="_KT_TG_1_Qt-HT3PQ1(CauKho)" xfId="711"/>
    <cellStyle name="_KT_TG_1_TH KE" xfId="712"/>
    <cellStyle name="_KT_TG_1_TH KE_Book1" xfId="713"/>
    <cellStyle name="_KT_TG_1_TH KE_MENU" xfId="714"/>
    <cellStyle name="_KT_TG_1_THU CHI TIEN" xfId="715"/>
    <cellStyle name="_KT_TG_1_TKE" xfId="716"/>
    <cellStyle name="_KT_TG_2" xfId="717"/>
    <cellStyle name="_KT_TG_2_BAO CAO KLCT PT2000" xfId="718"/>
    <cellStyle name="_KT_TG_2_BAO CAO PT2000" xfId="719"/>
    <cellStyle name="_KT_TG_2_BAO CAO PT2000_Book1" xfId="720"/>
    <cellStyle name="_KT_TG_2_Bao cao XDCB 2001 - T11 KH dieu chinh 20-11-THAI" xfId="721"/>
    <cellStyle name="_KT_TG_2_Book1" xfId="722"/>
    <cellStyle name="_KT_TG_2_Book1_1" xfId="723"/>
    <cellStyle name="_KT_TG_2_Book1_2" xfId="724"/>
    <cellStyle name="_KT_TG_2_Book1_3" xfId="725"/>
    <cellStyle name="_KT_TG_2_Book1_3_Book1" xfId="726"/>
    <cellStyle name="_KT_TG_2_Book1_3_MENU" xfId="727"/>
    <cellStyle name="_KT_TG_2_Book1_Book1" xfId="728"/>
    <cellStyle name="_KT_TG_2_Book1_Intimex-2007" xfId="729"/>
    <cellStyle name="_KT_TG_2_Book1_TH KE" xfId="730"/>
    <cellStyle name="_KT_TG_2_Book1_THU CHI TIEN" xfId="731"/>
    <cellStyle name="_KT_TG_2_Book1_TKE" xfId="732"/>
    <cellStyle name="_KT_TG_2_DTCDT MR.2N110.HOCMON.TDTOAN.CCUNG" xfId="733"/>
    <cellStyle name="_KT_TG_2_Giai Doan 3 Hong Ngu" xfId="734"/>
    <cellStyle name="_KT_TG_2_Intimex-2007" xfId="735"/>
    <cellStyle name="_KT_TG_2_Lora-tungchau" xfId="736"/>
    <cellStyle name="_KT_TG_2_PGIA-phieu tham tra Kho bac" xfId="737"/>
    <cellStyle name="_KT_TG_2_PT02-02" xfId="738"/>
    <cellStyle name="_KT_TG_2_PT02-02_Book1" xfId="739"/>
    <cellStyle name="_KT_TG_2_PT02-03" xfId="740"/>
    <cellStyle name="_KT_TG_2_PT02-03_Book1" xfId="741"/>
    <cellStyle name="_KT_TG_2_Qt-HT3PQ1(CauKho)" xfId="742"/>
    <cellStyle name="_KT_TG_2_TH KE" xfId="743"/>
    <cellStyle name="_KT_TG_2_TH KE_Book1" xfId="744"/>
    <cellStyle name="_KT_TG_2_TH KE_MENU" xfId="745"/>
    <cellStyle name="_KT_TG_2_THU CHI TIEN" xfId="746"/>
    <cellStyle name="_KT_TG_2_TKE" xfId="747"/>
    <cellStyle name="_KT_TG_3" xfId="748"/>
    <cellStyle name="_KT_TG_4" xfId="749"/>
    <cellStyle name="_KT_TG_4_Lora-tungchau" xfId="750"/>
    <cellStyle name="_KT_TG_4_Qt-HT3PQ1(CauKho)" xfId="751"/>
    <cellStyle name="_KUMPULAN PICA 2007" xfId="752"/>
    <cellStyle name="_KUMPULAN PICA 2007 2" xfId="753"/>
    <cellStyle name="_KUMPULAN PICA 2007 3" xfId="754"/>
    <cellStyle name="_KUMPULAN PICA 2007 4" xfId="755"/>
    <cellStyle name="_KUMPULAN PICA 2007 5" xfId="756"/>
    <cellStyle name="_KUMPULAN PICA 2007 6" xfId="757"/>
    <cellStyle name="_KUMPULAN PICA 2007 7" xfId="758"/>
    <cellStyle name="_KUMPULAN PICA 2007 8" xfId="759"/>
    <cellStyle name="_KUMPULAN PICA 2007_Book1" xfId="760"/>
    <cellStyle name="_KUMPULAN PICA 2007_LHD" xfId="761"/>
    <cellStyle name="_KUMPULAN PICA 2007_PL Oktober" xfId="762"/>
    <cellStyle name="_KUMPULAN PICA 2007_Reimburst HO" xfId="763"/>
    <cellStyle name="_KUMPULAN PICA 2007_Reimburst HO 2" xfId="764"/>
    <cellStyle name="_KUMPULAN PICA 2007_Reimburst HO 3" xfId="765"/>
    <cellStyle name="_KUMPULAN PICA 2007_Reimburst HO 4" xfId="766"/>
    <cellStyle name="_KUMPULAN PICA 2007_Reimburst HO 5" xfId="767"/>
    <cellStyle name="_KUMPULAN PICA 2007_Reimburst HO 6" xfId="768"/>
    <cellStyle name="_KUMPULAN PICA 2007_Reimburst HO 7" xfId="769"/>
    <cellStyle name="_KUMPULAN PICA 2007_Reimburst HO 8" xfId="770"/>
    <cellStyle name="_KUMPULAN PICA 2007_Reimburst HO_LHD" xfId="771"/>
    <cellStyle name="_lap  SerPo PNTK Des  08 (2)" xfId="772"/>
    <cellStyle name="_lap  SerPo PNTK Des  08 (2)_AP Logistic 2010 Konsolidasi (091110)" xfId="773"/>
    <cellStyle name="_lap  SerPo PNTK Des  08 (2)_AP Logistic 2010 Konsolidasi (091111) 1830" xfId="774"/>
    <cellStyle name="_lap  SerPo PNTK Des  08 (2)_AP Logistic 2010 Konsolidasi (091111) 2230" xfId="775"/>
    <cellStyle name="_lap  SerPo PNTK Des  08 (2)_AP Logistic 2010 Konsolidasi (091115) 1830" xfId="776"/>
    <cellStyle name="_lap  SerPo PNTK Des  08 (2)_AP Logistic 2010 Konsolidasi (091116) 1340" xfId="777"/>
    <cellStyle name="_lap  SerPo PNTK Des  08 (2)_AP Logistic 2010 Konsolidasi (091116) 1700" xfId="778"/>
    <cellStyle name="_lap  SerPo PNTK Des  08 (2)_LHD" xfId="779"/>
    <cellStyle name="_lap  SerPo PNTK Des  08 (2)_Performance Review 091112" xfId="780"/>
    <cellStyle name="_lap  SerPo PNTK Des  08 (3)" xfId="781"/>
    <cellStyle name="_lap  SerPo PNTK Des  08 (3)_AP Logistic 2010 Konsolidasi (091110)" xfId="782"/>
    <cellStyle name="_lap  SerPo PNTK Des  08 (3)_AP Logistic 2010 Konsolidasi (091111) 1830" xfId="783"/>
    <cellStyle name="_lap  SerPo PNTK Des  08 (3)_AP Logistic 2010 Konsolidasi (091111) 2230" xfId="784"/>
    <cellStyle name="_lap  SerPo PNTK Des  08 (3)_AP Logistic 2010 Konsolidasi (091115) 1830" xfId="785"/>
    <cellStyle name="_lap  SerPo PNTK Des  08 (3)_AP Logistic 2010 Konsolidasi (091116) 1340" xfId="786"/>
    <cellStyle name="_lap  SerPo PNTK Des  08 (3)_AP Logistic 2010 Konsolidasi (091116) 1700" xfId="787"/>
    <cellStyle name="_lap  SerPo PNTK Des  08 (3)_LHD" xfId="788"/>
    <cellStyle name="_lap  SerPo PNTK Des  08 (3)_Performance Review 091112" xfId="789"/>
    <cellStyle name="_lap  SerPo PNTK November  08" xfId="790"/>
    <cellStyle name="_lap  SerPo PNTK November  08_AP Logistic 2010 Konsolidasi (091110)" xfId="791"/>
    <cellStyle name="_lap  SerPo PNTK November  08_AP Logistic 2010 Konsolidasi (091111) 1830" xfId="792"/>
    <cellStyle name="_lap  SerPo PNTK November  08_AP Logistic 2010 Konsolidasi (091111) 2230" xfId="793"/>
    <cellStyle name="_lap  SerPo PNTK November  08_AP Logistic 2010 Konsolidasi (091115) 1830" xfId="794"/>
    <cellStyle name="_lap  SerPo PNTK November  08_AP Logistic 2010 Konsolidasi (091116) 1340" xfId="795"/>
    <cellStyle name="_lap  SerPo PNTK November  08_AP Logistic 2010 Konsolidasi (091116) 1700" xfId="796"/>
    <cellStyle name="_lap  SerPo PNTK November  08_LHD" xfId="797"/>
    <cellStyle name="_lap  SerPo PNTK November  08_Performance Review 091112" xfId="798"/>
    <cellStyle name="_Lap Stock Pool Denpasar - Feb  08" xfId="799"/>
    <cellStyle name="_Lap Stock Pool Denpasar - Feb  08_12 Laporan Stock Pool MKS Desember 2008 (2)" xfId="800"/>
    <cellStyle name="_Lap Stock Pool Denpasar - Feb  08_12 Laporan Stock Pool MKS Desember 2008 (2)_AP Logistic 2010 Konsolidasi (091110)" xfId="801"/>
    <cellStyle name="_Lap Stock Pool Denpasar - Feb  08_12 Laporan Stock Pool MKS Desember 2008 (2)_AP Logistic 2010 Konsolidasi (091111) 1830" xfId="802"/>
    <cellStyle name="_Lap Stock Pool Denpasar - Feb  08_12 Laporan Stock Pool MKS Desember 2008 (2)_AP Logistic 2010 Konsolidasi (091111) 2230" xfId="803"/>
    <cellStyle name="_Lap Stock Pool Denpasar - Feb  08_12 Laporan Stock Pool MKS Desember 2008 (2)_AP Logistic 2010 Konsolidasi (091115) 1830" xfId="804"/>
    <cellStyle name="_Lap Stock Pool Denpasar - Feb  08_12 Laporan Stock Pool MKS Desember 2008 (2)_AP Logistic 2010 Konsolidasi (091116) 1340" xfId="805"/>
    <cellStyle name="_Lap Stock Pool Denpasar - Feb  08_12 Laporan Stock Pool MKS Desember 2008 (2)_AP Logistic 2010 Konsolidasi (091116) 1700" xfId="806"/>
    <cellStyle name="_Lap Stock Pool Denpasar - Feb  08_12 Laporan Stock Pool MKS Desember 2008 (2)_LHD" xfId="807"/>
    <cellStyle name="_Lap Stock Pool Denpasar - Feb  08_12 Laporan Stock Pool MKS Desember 2008 (2)_Performance Review 091112" xfId="808"/>
    <cellStyle name="_Lap Stock Pool Denpasar - Feb  08_AP Logistic 2010 Konsolidasi (091110)" xfId="809"/>
    <cellStyle name="_Lap Stock Pool Denpasar - Feb  08_AP Logistic 2010 Konsolidasi (091111) 1830" xfId="810"/>
    <cellStyle name="_Lap Stock Pool Denpasar - Feb  08_AP Logistic 2010 Konsolidasi (091111) 2230" xfId="811"/>
    <cellStyle name="_Lap Stock Pool Denpasar - Feb  08_AP Logistic 2010 Konsolidasi (091115) 1830" xfId="812"/>
    <cellStyle name="_Lap Stock Pool Denpasar - Feb  08_AP Logistic 2010 Konsolidasi (091116) 1340" xfId="813"/>
    <cellStyle name="_Lap Stock Pool Denpasar - Feb  08_AP Logistic 2010 Konsolidasi (091116) 1700" xfId="814"/>
    <cellStyle name="_Lap Stock Pool Denpasar - Feb  08_LHD" xfId="815"/>
    <cellStyle name="_Lap Stock Pool Denpasar - Feb  08_Performance Review 091112" xfId="816"/>
    <cellStyle name="_Lap stok  Banjarmasin Des 08" xfId="817"/>
    <cellStyle name="_Lap stok  Banjarmasin Des 08 2" xfId="818"/>
    <cellStyle name="_Lap stok  Banjarmasin Des 08_AP Logistic 2010 Konsolidasi (091110)" xfId="819"/>
    <cellStyle name="_Lap stok  Banjarmasin Des 08_AP Logistic 2010 Konsolidasi (091111) 1830" xfId="820"/>
    <cellStyle name="_Lap stok  Banjarmasin Des 08_AP Logistic 2010 Konsolidasi (091111) 2230" xfId="821"/>
    <cellStyle name="_Lap stok  Banjarmasin Des 08_AP Logistic 2010 Konsolidasi (091115) 1830" xfId="822"/>
    <cellStyle name="_Lap stok  Banjarmasin Des 08_AP Logistic 2010 Konsolidasi (091116) 1340" xfId="823"/>
    <cellStyle name="_Lap stok  Banjarmasin Des 08_AP Logistic 2010 Konsolidasi (091116) 1700" xfId="824"/>
    <cellStyle name="_Lap stok  Banjarmasin Des 08_FINAL - Buku Saku3" xfId="825"/>
    <cellStyle name="_Lap stok  Banjarmasin Des 08_Laporan Harian Dispatcher_2010_Heavy Truck" xfId="826"/>
    <cellStyle name="_Lap stok  Banjarmasin Des 08_Laporan Harian Dispatcher_2010_Heavy Truck2" xfId="827"/>
    <cellStyle name="_Lap stok  Banjarmasin Des 08_Laporan Harian Dispatcher_2010_Light Truck" xfId="828"/>
    <cellStyle name="_Lap stok  Banjarmasin Des 08_Laporan Harian Dispatcher_2010_Light Truck_LHD" xfId="829"/>
    <cellStyle name="_Lap stok  Banjarmasin Des 08_Laporan Harian Dispatcher_2010-11_Heavy Truck" xfId="830"/>
    <cellStyle name="_Lap stok  Banjarmasin Des 08_Laporan Harian Dispatcher_2010-11_Light Truck" xfId="831"/>
    <cellStyle name="_Lap stok  Banjarmasin Des 08_Laporan Harian Dispatcher_2010-11_Light Truck_LHD" xfId="832"/>
    <cellStyle name="_Lap stok  Banjarmasin Des 08_LHD" xfId="833"/>
    <cellStyle name="_Lap stok  Banjarmasin Des 08_LHD_2010-12_Heavy Truck" xfId="834"/>
    <cellStyle name="_Lap stok  Banjarmasin Des 08_LHD_2010-12_Light Truck" xfId="835"/>
    <cellStyle name="_Lap stok  Banjarmasin Des 08_LHD_2010-12_Light Truck_LHD" xfId="836"/>
    <cellStyle name="_Lap stok  Banjarmasin Des 08_LHD_Heavy Truck 2011-01" xfId="837"/>
    <cellStyle name="_Lap stok  Banjarmasin Des 08_Performance Review 091112" xfId="838"/>
    <cellStyle name="_Lap stok  Banjarmasin Des 08_PL Oktober" xfId="839"/>
    <cellStyle name="_Lap stok  Pontianak Desember 08" xfId="840"/>
    <cellStyle name="_Lap stok  Pontianak Desember 08 2" xfId="841"/>
    <cellStyle name="_Lap stok  Pontianak Desember 08_AP Logistic 2010 Konsolidasi (091110)" xfId="842"/>
    <cellStyle name="_Lap stok  Pontianak Desember 08_AP Logistic 2010 Konsolidasi (091111) 1830" xfId="843"/>
    <cellStyle name="_Lap stok  Pontianak Desember 08_AP Logistic 2010 Konsolidasi (091111) 2230" xfId="844"/>
    <cellStyle name="_Lap stok  Pontianak Desember 08_AP Logistic 2010 Konsolidasi (091115) 1830" xfId="845"/>
    <cellStyle name="_Lap stok  Pontianak Desember 08_AP Logistic 2010 Konsolidasi (091116) 1340" xfId="846"/>
    <cellStyle name="_Lap stok  Pontianak Desember 08_AP Logistic 2010 Konsolidasi (091116) 1700" xfId="847"/>
    <cellStyle name="_Lap stok  Pontianak Desember 08_FINAL - Buku Saku3" xfId="848"/>
    <cellStyle name="_Lap stok  Pontianak Desember 08_Laporan Harian Dispatcher_2010_Heavy Truck" xfId="849"/>
    <cellStyle name="_Lap stok  Pontianak Desember 08_Laporan Harian Dispatcher_2010_Heavy Truck2" xfId="850"/>
    <cellStyle name="_Lap stok  Pontianak Desember 08_Laporan Harian Dispatcher_2010_Light Truck" xfId="851"/>
    <cellStyle name="_Lap stok  Pontianak Desember 08_Laporan Harian Dispatcher_2010_Light Truck_LHD" xfId="852"/>
    <cellStyle name="_Lap stok  Pontianak Desember 08_Laporan Harian Dispatcher_2010-11_Heavy Truck" xfId="853"/>
    <cellStyle name="_Lap stok  Pontianak Desember 08_Laporan Harian Dispatcher_2010-11_Light Truck" xfId="854"/>
    <cellStyle name="_Lap stok  Pontianak Desember 08_Laporan Harian Dispatcher_2010-11_Light Truck_LHD" xfId="855"/>
    <cellStyle name="_Lap stok  Pontianak Desember 08_LHD" xfId="856"/>
    <cellStyle name="_Lap stok  Pontianak Desember 08_LHD_2010-12_Heavy Truck" xfId="857"/>
    <cellStyle name="_Lap stok  Pontianak Desember 08_LHD_2010-12_Light Truck" xfId="858"/>
    <cellStyle name="_Lap stok  Pontianak Desember 08_LHD_2010-12_Light Truck_LHD" xfId="859"/>
    <cellStyle name="_Lap stok  Pontianak Desember 08_LHD_Heavy Truck 2011-01" xfId="860"/>
    <cellStyle name="_Lap stok  Pontianak Desember 08_Performance Review 091112" xfId="861"/>
    <cellStyle name="_Lap stok  Pontianak Desember 08_PL Oktober" xfId="862"/>
    <cellStyle name="_Lap stok Mks Des 08" xfId="863"/>
    <cellStyle name="_Lap stok Mks Des 08 2" xfId="864"/>
    <cellStyle name="_Lap stok Mks Des 08_AP Logistic 2010 Konsolidasi (091110)" xfId="865"/>
    <cellStyle name="_Lap stok Mks Des 08_AP Logistic 2010 Konsolidasi (091111) 1830" xfId="866"/>
    <cellStyle name="_Lap stok Mks Des 08_AP Logistic 2010 Konsolidasi (091111) 2230" xfId="867"/>
    <cellStyle name="_Lap stok Mks Des 08_AP Logistic 2010 Konsolidasi (091115) 1830" xfId="868"/>
    <cellStyle name="_Lap stok Mks Des 08_AP Logistic 2010 Konsolidasi (091116) 1340" xfId="869"/>
    <cellStyle name="_Lap stok Mks Des 08_AP Logistic 2010 Konsolidasi (091116) 1700" xfId="870"/>
    <cellStyle name="_Lap stok Mks Des 08_FINAL - Buku Saku3" xfId="871"/>
    <cellStyle name="_Lap stok Mks Des 08_Laporan Harian Dispatcher_2010_Heavy Truck" xfId="872"/>
    <cellStyle name="_Lap stok Mks Des 08_Laporan Harian Dispatcher_2010_Heavy Truck2" xfId="873"/>
    <cellStyle name="_Lap stok Mks Des 08_Laporan Harian Dispatcher_2010_Light Truck" xfId="874"/>
    <cellStyle name="_Lap stok Mks Des 08_Laporan Harian Dispatcher_2010_Light Truck_LHD" xfId="875"/>
    <cellStyle name="_Lap stok Mks Des 08_Laporan Harian Dispatcher_2010-11_Heavy Truck" xfId="876"/>
    <cellStyle name="_Lap stok Mks Des 08_Laporan Harian Dispatcher_2010-11_Light Truck" xfId="877"/>
    <cellStyle name="_Lap stok Mks Des 08_Laporan Harian Dispatcher_2010-11_Light Truck_LHD" xfId="878"/>
    <cellStyle name="_Lap stok Mks Des 08_LHD" xfId="879"/>
    <cellStyle name="_Lap stok Mks Des 08_LHD_2010-12_Heavy Truck" xfId="880"/>
    <cellStyle name="_Lap stok Mks Des 08_LHD_2010-12_Light Truck" xfId="881"/>
    <cellStyle name="_Lap stok Mks Des 08_LHD_2010-12_Light Truck_LHD" xfId="882"/>
    <cellStyle name="_Lap stok Mks Des 08_LHD_Heavy Truck 2011-01" xfId="883"/>
    <cellStyle name="_Lap stok Mks Des 08_Performance Review 091112" xfId="884"/>
    <cellStyle name="_Lap stok Mks Des 08_PL Oktober" xfId="885"/>
    <cellStyle name="_Laporan Stok Harian 18-Desember-2008" xfId="886"/>
    <cellStyle name="_Laporan Stok Harian 18-Desember-2008_AP Logistic 2010 Konsolidasi (091110)" xfId="887"/>
    <cellStyle name="_Laporan Stok Harian 18-Desember-2008_AP Logistic 2010 Konsolidasi (091111) 1830" xfId="888"/>
    <cellStyle name="_Laporan Stok Harian 18-Desember-2008_AP Logistic 2010 Konsolidasi (091111) 2230" xfId="889"/>
    <cellStyle name="_Laporan Stok Harian 18-Desember-2008_AP Logistic 2010 Konsolidasi (091115) 1830" xfId="890"/>
    <cellStyle name="_Laporan Stok Harian 18-Desember-2008_AP Logistic 2010 Konsolidasi (091116) 1340" xfId="891"/>
    <cellStyle name="_Laporan Stok Harian 18-Desember-2008_AP Logistic 2010 Konsolidasi (091116) 1700" xfId="892"/>
    <cellStyle name="_Laporan Stok Harian 18-Desember-2008_LHD" xfId="893"/>
    <cellStyle name="_Laporan Stok Harian 18-Desember-2008_Performance Review 091112" xfId="894"/>
    <cellStyle name="_Laporan Stok Harian 20-Desember-2008" xfId="895"/>
    <cellStyle name="_Laporan Stok Harian 20-Desember-2008_AP Logistic 2010 Konsolidasi (091110)" xfId="896"/>
    <cellStyle name="_Laporan Stok Harian 20-Desember-2008_AP Logistic 2010 Konsolidasi (091111) 1830" xfId="897"/>
    <cellStyle name="_Laporan Stok Harian 20-Desember-2008_AP Logistic 2010 Konsolidasi (091111) 2230" xfId="898"/>
    <cellStyle name="_Laporan Stok Harian 20-Desember-2008_AP Logistic 2010 Konsolidasi (091115) 1830" xfId="899"/>
    <cellStyle name="_Laporan Stok Harian 20-Desember-2008_AP Logistic 2010 Konsolidasi (091116) 1340" xfId="900"/>
    <cellStyle name="_Laporan Stok Harian 20-Desember-2008_AP Logistic 2010 Konsolidasi (091116) 1700" xfId="901"/>
    <cellStyle name="_Laporan Stok Harian 20-Desember-2008_LHD" xfId="902"/>
    <cellStyle name="_Laporan Stok Harian 20-Desember-2008_Performance Review 091112" xfId="903"/>
    <cellStyle name="_Laporan Stok Harian 24-Desember-2008" xfId="904"/>
    <cellStyle name="_Laporan Stok Harian 24-Desember-2008_AP Logistic 2010 Konsolidasi (091110)" xfId="905"/>
    <cellStyle name="_Laporan Stok Harian 24-Desember-2008_AP Logistic 2010 Konsolidasi (091111) 1830" xfId="906"/>
    <cellStyle name="_Laporan Stok Harian 24-Desember-2008_AP Logistic 2010 Konsolidasi (091111) 2230" xfId="907"/>
    <cellStyle name="_Laporan Stok Harian 24-Desember-2008_AP Logistic 2010 Konsolidasi (091115) 1830" xfId="908"/>
    <cellStyle name="_Laporan Stok Harian 24-Desember-2008_AP Logistic 2010 Konsolidasi (091116) 1340" xfId="909"/>
    <cellStyle name="_Laporan Stok Harian 24-Desember-2008_AP Logistic 2010 Konsolidasi (091116) 1700" xfId="910"/>
    <cellStyle name="_Laporan Stok Harian 24-Desember-2008_LHD" xfId="911"/>
    <cellStyle name="_Laporan Stok Harian 24-Desember-2008_Performance Review 091112" xfId="912"/>
    <cellStyle name="_Laporan Stok Harian 26-Desember-2008" xfId="913"/>
    <cellStyle name="_Laporan Stok Harian 26-Desember-2008_AP Logistic 2010 Konsolidasi (091110)" xfId="914"/>
    <cellStyle name="_Laporan Stok Harian 26-Desember-2008_AP Logistic 2010 Konsolidasi (091111) 1830" xfId="915"/>
    <cellStyle name="_Laporan Stok Harian 26-Desember-2008_AP Logistic 2010 Konsolidasi (091111) 2230" xfId="916"/>
    <cellStyle name="_Laporan Stok Harian 26-Desember-2008_AP Logistic 2010 Konsolidasi (091115) 1830" xfId="917"/>
    <cellStyle name="_Laporan Stok Harian 26-Desember-2008_AP Logistic 2010 Konsolidasi (091116) 1340" xfId="918"/>
    <cellStyle name="_Laporan Stok Harian 26-Desember-2008_AP Logistic 2010 Konsolidasi (091116) 1700" xfId="919"/>
    <cellStyle name="_Laporan Stok Harian 26-Desember-2008_LHD" xfId="920"/>
    <cellStyle name="_Laporan Stok Harian 26-Desember-2008_Performance Review 091112" xfId="921"/>
    <cellStyle name="_LHP - Agustus 2007" xfId="922"/>
    <cellStyle name="_LHP - Agustus 2007 (2)" xfId="923"/>
    <cellStyle name="_LHP - Agustus 2007 (2)_12 Laporan Stock Pool MKS Desember 2008 (2)" xfId="924"/>
    <cellStyle name="_LHP - Agustus 2007 (2)_12 Laporan Stock Pool MKS Desember 2008 (2)_AP Logistic 2010 Konsolidasi (091110)" xfId="925"/>
    <cellStyle name="_LHP - Agustus 2007 (2)_12 Laporan Stock Pool MKS Desember 2008 (2)_AP Logistic 2010 Konsolidasi (091111) 1830" xfId="926"/>
    <cellStyle name="_LHP - Agustus 2007 (2)_12 Laporan Stock Pool MKS Desember 2008 (2)_AP Logistic 2010 Konsolidasi (091111) 2230" xfId="927"/>
    <cellStyle name="_LHP - Agustus 2007 (2)_12 Laporan Stock Pool MKS Desember 2008 (2)_AP Logistic 2010 Konsolidasi (091115) 1830" xfId="928"/>
    <cellStyle name="_LHP - Agustus 2007 (2)_12 Laporan Stock Pool MKS Desember 2008 (2)_AP Logistic 2010 Konsolidasi (091116) 1340" xfId="929"/>
    <cellStyle name="_LHP - Agustus 2007 (2)_12 Laporan Stock Pool MKS Desember 2008 (2)_AP Logistic 2010 Konsolidasi (091116) 1700" xfId="930"/>
    <cellStyle name="_LHP - Agustus 2007 (2)_12 Laporan Stock Pool MKS Desember 2008 (2)_LHD" xfId="931"/>
    <cellStyle name="_LHP - Agustus 2007 (2)_12 Laporan Stock Pool MKS Desember 2008 (2)_Performance Review 091112" xfId="932"/>
    <cellStyle name="_LHP - Agustus 2007 (2)_AP Logistic 2010 Konsolidasi (091110)" xfId="933"/>
    <cellStyle name="_LHP - Agustus 2007 (2)_AP Logistic 2010 Konsolidasi (091111) 1830" xfId="934"/>
    <cellStyle name="_LHP - Agustus 2007 (2)_AP Logistic 2010 Konsolidasi (091111) 2230" xfId="935"/>
    <cellStyle name="_LHP - Agustus 2007 (2)_AP Logistic 2010 Konsolidasi (091115) 1830" xfId="936"/>
    <cellStyle name="_LHP - Agustus 2007 (2)_AP Logistic 2010 Konsolidasi (091116) 1340" xfId="937"/>
    <cellStyle name="_LHP - Agustus 2007 (2)_AP Logistic 2010 Konsolidasi (091116) 1700" xfId="938"/>
    <cellStyle name="_LHP - Agustus 2007 (2)_LAP. STOCK MEI  2010" xfId="939"/>
    <cellStyle name="_LHP - Agustus 2007 (2)_LHD" xfId="940"/>
    <cellStyle name="_LHP - Agustus 2007 (2)_LS Alvin" xfId="941"/>
    <cellStyle name="_LHP - Agustus 2007 (2)_Performance Review 091112" xfId="942"/>
    <cellStyle name="_LHP - Agustus 2007 (3)" xfId="943"/>
    <cellStyle name="_LHP - Agustus 2007 (3)_12 Laporan Stock Pool MKS Desember 2008 (2)" xfId="944"/>
    <cellStyle name="_LHP - Agustus 2007 (3)_12 Laporan Stock Pool MKS Desember 2008 (2)_AP Logistic 2010 Konsolidasi (091110)" xfId="945"/>
    <cellStyle name="_LHP - Agustus 2007 (3)_12 Laporan Stock Pool MKS Desember 2008 (2)_AP Logistic 2010 Konsolidasi (091111) 1830" xfId="946"/>
    <cellStyle name="_LHP - Agustus 2007 (3)_12 Laporan Stock Pool MKS Desember 2008 (2)_AP Logistic 2010 Konsolidasi (091111) 2230" xfId="947"/>
    <cellStyle name="_LHP - Agustus 2007 (3)_12 Laporan Stock Pool MKS Desember 2008 (2)_AP Logistic 2010 Konsolidasi (091115) 1830" xfId="948"/>
    <cellStyle name="_LHP - Agustus 2007 (3)_12 Laporan Stock Pool MKS Desember 2008 (2)_AP Logistic 2010 Konsolidasi (091116) 1340" xfId="949"/>
    <cellStyle name="_LHP - Agustus 2007 (3)_12 Laporan Stock Pool MKS Desember 2008 (2)_AP Logistic 2010 Konsolidasi (091116) 1700" xfId="950"/>
    <cellStyle name="_LHP - Agustus 2007 (3)_12 Laporan Stock Pool MKS Desember 2008 (2)_LHD" xfId="951"/>
    <cellStyle name="_LHP - Agustus 2007 (3)_12 Laporan Stock Pool MKS Desember 2008 (2)_Performance Review 091112" xfId="952"/>
    <cellStyle name="_LHP - Agustus 2007 (3)_AP Logistic 2010 Konsolidasi (091110)" xfId="953"/>
    <cellStyle name="_LHP - Agustus 2007 (3)_AP Logistic 2010 Konsolidasi (091111) 1830" xfId="954"/>
    <cellStyle name="_LHP - Agustus 2007 (3)_AP Logistic 2010 Konsolidasi (091111) 2230" xfId="955"/>
    <cellStyle name="_LHP - Agustus 2007 (3)_AP Logistic 2010 Konsolidasi (091115) 1830" xfId="956"/>
    <cellStyle name="_LHP - Agustus 2007 (3)_AP Logistic 2010 Konsolidasi (091116) 1340" xfId="957"/>
    <cellStyle name="_LHP - Agustus 2007 (3)_AP Logistic 2010 Konsolidasi (091116) 1700" xfId="958"/>
    <cellStyle name="_LHP - Agustus 2007 (3)_LAP. STOCK MEI  2010" xfId="959"/>
    <cellStyle name="_LHP - Agustus 2007 (3)_LHD" xfId="960"/>
    <cellStyle name="_LHP - Agustus 2007 (3)_LS Alvin" xfId="961"/>
    <cellStyle name="_LHP - Agustus 2007 (3)_Performance Review 091112" xfId="962"/>
    <cellStyle name="_LHP - Agustus 2007 (4)" xfId="963"/>
    <cellStyle name="_LHP - Agustus 2007 (4)_12 Laporan Stock Pool MKS Desember 2008 (2)" xfId="964"/>
    <cellStyle name="_LHP - Agustus 2007 (4)_12 Laporan Stock Pool MKS Desember 2008 (2)_AP Logistic 2010 Konsolidasi (091110)" xfId="965"/>
    <cellStyle name="_LHP - Agustus 2007 (4)_12 Laporan Stock Pool MKS Desember 2008 (2)_AP Logistic 2010 Konsolidasi (091111) 1830" xfId="966"/>
    <cellStyle name="_LHP - Agustus 2007 (4)_12 Laporan Stock Pool MKS Desember 2008 (2)_AP Logistic 2010 Konsolidasi (091111) 2230" xfId="967"/>
    <cellStyle name="_LHP - Agustus 2007 (4)_12 Laporan Stock Pool MKS Desember 2008 (2)_AP Logistic 2010 Konsolidasi (091115) 1830" xfId="968"/>
    <cellStyle name="_LHP - Agustus 2007 (4)_12 Laporan Stock Pool MKS Desember 2008 (2)_AP Logistic 2010 Konsolidasi (091116) 1340" xfId="969"/>
    <cellStyle name="_LHP - Agustus 2007 (4)_12 Laporan Stock Pool MKS Desember 2008 (2)_AP Logistic 2010 Konsolidasi (091116) 1700" xfId="970"/>
    <cellStyle name="_LHP - Agustus 2007 (4)_12 Laporan Stock Pool MKS Desember 2008 (2)_LHD" xfId="971"/>
    <cellStyle name="_LHP - Agustus 2007 (4)_12 Laporan Stock Pool MKS Desember 2008 (2)_Performance Review 091112" xfId="972"/>
    <cellStyle name="_LHP - Agustus 2007 (4)_AP Logistic 2010 Konsolidasi (091110)" xfId="973"/>
    <cellStyle name="_LHP - Agustus 2007 (4)_AP Logistic 2010 Konsolidasi (091111) 1830" xfId="974"/>
    <cellStyle name="_LHP - Agustus 2007 (4)_AP Logistic 2010 Konsolidasi (091111) 2230" xfId="975"/>
    <cellStyle name="_LHP - Agustus 2007 (4)_AP Logistic 2010 Konsolidasi (091115) 1830" xfId="976"/>
    <cellStyle name="_LHP - Agustus 2007 (4)_AP Logistic 2010 Konsolidasi (091116) 1340" xfId="977"/>
    <cellStyle name="_LHP - Agustus 2007 (4)_AP Logistic 2010 Konsolidasi (091116) 1700" xfId="978"/>
    <cellStyle name="_LHP - Agustus 2007 (4)_LAP. STOCK MEI  2010" xfId="979"/>
    <cellStyle name="_LHP - Agustus 2007 (4)_LHD" xfId="980"/>
    <cellStyle name="_LHP - Agustus 2007 (4)_LS Alvin" xfId="981"/>
    <cellStyle name="_LHP - Agustus 2007 (4)_Performance Review 091112" xfId="982"/>
    <cellStyle name="_LHP - Agustus 2007_12 Laporan Stock Pool MKS Desember 2008 (2)" xfId="983"/>
    <cellStyle name="_LHP - Agustus 2007_12 Laporan Stock Pool MKS Desember 2008 (2)_AP Logistic 2010 Konsolidasi (091110)" xfId="984"/>
    <cellStyle name="_LHP - Agustus 2007_12 Laporan Stock Pool MKS Desember 2008 (2)_AP Logistic 2010 Konsolidasi (091111) 1830" xfId="985"/>
    <cellStyle name="_LHP - Agustus 2007_12 Laporan Stock Pool MKS Desember 2008 (2)_AP Logistic 2010 Konsolidasi (091111) 2230" xfId="986"/>
    <cellStyle name="_LHP - Agustus 2007_12 Laporan Stock Pool MKS Desember 2008 (2)_AP Logistic 2010 Konsolidasi (091115) 1830" xfId="987"/>
    <cellStyle name="_LHP - Agustus 2007_12 Laporan Stock Pool MKS Desember 2008 (2)_AP Logistic 2010 Konsolidasi (091116) 1340" xfId="988"/>
    <cellStyle name="_LHP - Agustus 2007_12 Laporan Stock Pool MKS Desember 2008 (2)_AP Logistic 2010 Konsolidasi (091116) 1700" xfId="989"/>
    <cellStyle name="_LHP - Agustus 2007_12 Laporan Stock Pool MKS Desember 2008 (2)_LHD" xfId="990"/>
    <cellStyle name="_LHP - Agustus 2007_12 Laporan Stock Pool MKS Desember 2008 (2)_Performance Review 091112" xfId="991"/>
    <cellStyle name="_LHP - Agustus 2007_AP Logistic 2010 Konsolidasi (091110)" xfId="992"/>
    <cellStyle name="_LHP - Agustus 2007_AP Logistic 2010 Konsolidasi (091111) 1830" xfId="993"/>
    <cellStyle name="_LHP - Agustus 2007_AP Logistic 2010 Konsolidasi (091111) 2230" xfId="994"/>
    <cellStyle name="_LHP - Agustus 2007_AP Logistic 2010 Konsolidasi (091115) 1830" xfId="995"/>
    <cellStyle name="_LHP - Agustus 2007_AP Logistic 2010 Konsolidasi (091116) 1340" xfId="996"/>
    <cellStyle name="_LHP - Agustus 2007_AP Logistic 2010 Konsolidasi (091116) 1700" xfId="997"/>
    <cellStyle name="_LHP - Agustus 2007_LAP. STOCK MEI  2010" xfId="998"/>
    <cellStyle name="_LHP - Agustus 2007_LHD" xfId="999"/>
    <cellStyle name="_LHP - Agustus 2007_LS Alvin" xfId="1000"/>
    <cellStyle name="_LHP - Agustus 2007_Performance Review 091112" xfId="1001"/>
    <cellStyle name="_LHP Des 2007 (2)" xfId="1002"/>
    <cellStyle name="_LHP Des 2007 (2) 2" xfId="1003"/>
    <cellStyle name="_LHP Des 2007 (2)_AP Logistic 2010 Konsolidasi (091110)" xfId="1004"/>
    <cellStyle name="_LHP Des 2007 (2)_AP Logistic 2010 Konsolidasi (091111) 1830" xfId="1005"/>
    <cellStyle name="_LHP Des 2007 (2)_AP Logistic 2010 Konsolidasi (091111) 2230" xfId="1006"/>
    <cellStyle name="_LHP Des 2007 (2)_AP Logistic 2010 Konsolidasi (091115) 1830" xfId="1007"/>
    <cellStyle name="_LHP Des 2007 (2)_AP Logistic 2010 Konsolidasi (091116) 1340" xfId="1008"/>
    <cellStyle name="_LHP Des 2007 (2)_AP Logistic 2010 Konsolidasi (091116) 1700" xfId="1009"/>
    <cellStyle name="_LHP Des 2007 (2)_FINAL - Buku Saku3" xfId="1010"/>
    <cellStyle name="_LHP Des 2007 (2)_Laporan Harian Dispatcher_2010_Heavy Truck" xfId="1011"/>
    <cellStyle name="_LHP Des 2007 (2)_Laporan Harian Dispatcher_2010_Heavy Truck2" xfId="1012"/>
    <cellStyle name="_LHP Des 2007 (2)_Laporan Harian Dispatcher_2010_Light Truck" xfId="1013"/>
    <cellStyle name="_LHP Des 2007 (2)_Laporan Harian Dispatcher_2010_Light Truck_LHD" xfId="1014"/>
    <cellStyle name="_LHP Des 2007 (2)_Laporan Harian Dispatcher_2010-11_Heavy Truck" xfId="1015"/>
    <cellStyle name="_LHP Des 2007 (2)_Laporan Harian Dispatcher_2010-11_Light Truck" xfId="1016"/>
    <cellStyle name="_LHP Des 2007 (2)_Laporan Harian Dispatcher_2010-11_Light Truck_LHD" xfId="1017"/>
    <cellStyle name="_LHP Des 2007 (2)_LHD" xfId="1018"/>
    <cellStyle name="_LHP Des 2007 (2)_LHD_2010-12_Heavy Truck" xfId="1019"/>
    <cellStyle name="_LHP Des 2007 (2)_LHD_2010-12_Light Truck" xfId="1020"/>
    <cellStyle name="_LHP Des 2007 (2)_LHD_2010-12_Light Truck_LHD" xfId="1021"/>
    <cellStyle name="_LHP Des 2007 (2)_LHD_Heavy Truck 2011-01" xfId="1022"/>
    <cellStyle name="_LHP Des 2007 (2)_Performance Review 091112" xfId="1023"/>
    <cellStyle name="_LHP Des 2007 (2)_PL Oktober" xfId="1024"/>
    <cellStyle name="_LHP NOV 2007 (new)" xfId="1025"/>
    <cellStyle name="_LHP NOV 2007 (new) 2" xfId="1026"/>
    <cellStyle name="_LHP NOV 2007 (new)_AP Logistic 2010 Konsolidasi (091110)" xfId="1027"/>
    <cellStyle name="_LHP NOV 2007 (new)_AP Logistic 2010 Konsolidasi (091111) 1830" xfId="1028"/>
    <cellStyle name="_LHP NOV 2007 (new)_AP Logistic 2010 Konsolidasi (091111) 2230" xfId="1029"/>
    <cellStyle name="_LHP NOV 2007 (new)_AP Logistic 2010 Konsolidasi (091115) 1830" xfId="1030"/>
    <cellStyle name="_LHP NOV 2007 (new)_AP Logistic 2010 Konsolidasi (091116) 1340" xfId="1031"/>
    <cellStyle name="_LHP NOV 2007 (new)_AP Logistic 2010 Konsolidasi (091116) 1700" xfId="1032"/>
    <cellStyle name="_LHP NOV 2007 (new)_FINAL - Buku Saku3" xfId="1033"/>
    <cellStyle name="_LHP NOV 2007 (new)_Laporan Harian Dispatcher_2010_Heavy Truck" xfId="1034"/>
    <cellStyle name="_LHP NOV 2007 (new)_Laporan Harian Dispatcher_2010_Heavy Truck2" xfId="1035"/>
    <cellStyle name="_LHP NOV 2007 (new)_Laporan Harian Dispatcher_2010_Light Truck" xfId="1036"/>
    <cellStyle name="_LHP NOV 2007 (new)_Laporan Harian Dispatcher_2010_Light Truck_LHD" xfId="1037"/>
    <cellStyle name="_LHP NOV 2007 (new)_Laporan Harian Dispatcher_2010-11_Heavy Truck" xfId="1038"/>
    <cellStyle name="_LHP NOV 2007 (new)_Laporan Harian Dispatcher_2010-11_Light Truck" xfId="1039"/>
    <cellStyle name="_LHP NOV 2007 (new)_Laporan Harian Dispatcher_2010-11_Light Truck_LHD" xfId="1040"/>
    <cellStyle name="_LHP NOV 2007 (new)_LHD" xfId="1041"/>
    <cellStyle name="_LHP NOV 2007 (new)_LHD_2010-12_Heavy Truck" xfId="1042"/>
    <cellStyle name="_LHP NOV 2007 (new)_LHD_2010-12_Light Truck" xfId="1043"/>
    <cellStyle name="_LHP NOV 2007 (new)_LHD_2010-12_Light Truck_LHD" xfId="1044"/>
    <cellStyle name="_LHP NOV 2007 (new)_LHD_Heavy Truck 2011-01" xfId="1045"/>
    <cellStyle name="_LHP NOV 2007 (new)_Performance Review 091112" xfId="1046"/>
    <cellStyle name="_LHP NOV 2007 (new)_PL Oktober" xfId="1047"/>
    <cellStyle name="_LHP OKT 2007 (new)" xfId="1048"/>
    <cellStyle name="_LHP OKT 2007 (new) 2" xfId="1049"/>
    <cellStyle name="_LHP OKT 2007 (new)_AP Logistic 2010 Konsolidasi (091110)" xfId="1050"/>
    <cellStyle name="_LHP OKT 2007 (new)_AP Logistic 2010 Konsolidasi (091111) 1830" xfId="1051"/>
    <cellStyle name="_LHP OKT 2007 (new)_AP Logistic 2010 Konsolidasi (091111) 2230" xfId="1052"/>
    <cellStyle name="_LHP OKT 2007 (new)_AP Logistic 2010 Konsolidasi (091115) 1830" xfId="1053"/>
    <cellStyle name="_LHP OKT 2007 (new)_AP Logistic 2010 Konsolidasi (091116) 1340" xfId="1054"/>
    <cellStyle name="_LHP OKT 2007 (new)_AP Logistic 2010 Konsolidasi (091116) 1700" xfId="1055"/>
    <cellStyle name="_LHP OKT 2007 (new)_FINAL - Buku Saku3" xfId="1056"/>
    <cellStyle name="_LHP OKT 2007 (new)_Laporan Harian Dispatcher_2010_Heavy Truck" xfId="1057"/>
    <cellStyle name="_LHP OKT 2007 (new)_Laporan Harian Dispatcher_2010_Heavy Truck2" xfId="1058"/>
    <cellStyle name="_LHP OKT 2007 (new)_Laporan Harian Dispatcher_2010_Light Truck" xfId="1059"/>
    <cellStyle name="_LHP OKT 2007 (new)_Laporan Harian Dispatcher_2010_Light Truck_LHD" xfId="1060"/>
    <cellStyle name="_LHP OKT 2007 (new)_Laporan Harian Dispatcher_2010-11_Heavy Truck" xfId="1061"/>
    <cellStyle name="_LHP OKT 2007 (new)_Laporan Harian Dispatcher_2010-11_Light Truck" xfId="1062"/>
    <cellStyle name="_LHP OKT 2007 (new)_Laporan Harian Dispatcher_2010-11_Light Truck_LHD" xfId="1063"/>
    <cellStyle name="_LHP OKT 2007 (new)_LHD" xfId="1064"/>
    <cellStyle name="_LHP OKT 2007 (new)_LHD_2010-12_Heavy Truck" xfId="1065"/>
    <cellStyle name="_LHP OKT 2007 (new)_LHD_2010-12_Light Truck" xfId="1066"/>
    <cellStyle name="_LHP OKT 2007 (new)_LHD_2010-12_Light Truck_LHD" xfId="1067"/>
    <cellStyle name="_LHP OKT 2007 (new)_LHD_Heavy Truck 2011-01" xfId="1068"/>
    <cellStyle name="_LHP OKT 2007 (new)_Performance Review 091112" xfId="1069"/>
    <cellStyle name="_LHP OKT 2007 (new)_PL Oktober" xfId="1070"/>
    <cellStyle name="_LHP Unit Harian Feb.2008" xfId="1071"/>
    <cellStyle name="_LHP Unit Harian Feb.2008 2" xfId="1072"/>
    <cellStyle name="_LHP Unit Harian Feb.2008_AP Logistic 2010 Konsolidasi (091110)" xfId="1073"/>
    <cellStyle name="_LHP Unit Harian Feb.2008_AP Logistic 2010 Konsolidasi (091111) 1830" xfId="1074"/>
    <cellStyle name="_LHP Unit Harian Feb.2008_AP Logistic 2010 Konsolidasi (091111) 2230" xfId="1075"/>
    <cellStyle name="_LHP Unit Harian Feb.2008_AP Logistic 2010 Konsolidasi (091115) 1830" xfId="1076"/>
    <cellStyle name="_LHP Unit Harian Feb.2008_AP Logistic 2010 Konsolidasi (091116) 1340" xfId="1077"/>
    <cellStyle name="_LHP Unit Harian Feb.2008_AP Logistic 2010 Konsolidasi (091116) 1700" xfId="1078"/>
    <cellStyle name="_LHP Unit Harian Feb.2008_FINAL - Buku Saku3" xfId="1079"/>
    <cellStyle name="_LHP Unit Harian Feb.2008_Laporan Harian Dispatcher_2010_Heavy Truck" xfId="1080"/>
    <cellStyle name="_LHP Unit Harian Feb.2008_Laporan Harian Dispatcher_2010_Heavy Truck2" xfId="1081"/>
    <cellStyle name="_LHP Unit Harian Feb.2008_Laporan Harian Dispatcher_2010_Light Truck" xfId="1082"/>
    <cellStyle name="_LHP Unit Harian Feb.2008_Laporan Harian Dispatcher_2010_Light Truck_LHD" xfId="1083"/>
    <cellStyle name="_LHP Unit Harian Feb.2008_Laporan Harian Dispatcher_2010-11_Heavy Truck" xfId="1084"/>
    <cellStyle name="_LHP Unit Harian Feb.2008_Laporan Harian Dispatcher_2010-11_Light Truck" xfId="1085"/>
    <cellStyle name="_LHP Unit Harian Feb.2008_Laporan Harian Dispatcher_2010-11_Light Truck_LHD" xfId="1086"/>
    <cellStyle name="_LHP Unit Harian Feb.2008_LHD" xfId="1087"/>
    <cellStyle name="_LHP Unit Harian Feb.2008_LHD_2010-12_Heavy Truck" xfId="1088"/>
    <cellStyle name="_LHP Unit Harian Feb.2008_LHD_2010-12_Light Truck" xfId="1089"/>
    <cellStyle name="_LHP Unit Harian Feb.2008_LHD_2010-12_Light Truck_LHD" xfId="1090"/>
    <cellStyle name="_LHP Unit Harian Feb.2008_LHD_Heavy Truck 2011-01" xfId="1091"/>
    <cellStyle name="_LHP Unit Harian Feb.2008_Performance Review 091112" xfId="1092"/>
    <cellStyle name="_LHP Unit Harian Feb.2008_PL Oktober" xfId="1093"/>
    <cellStyle name="_LHP-Jkt Des 08" xfId="1094"/>
    <cellStyle name="_LHP-Jkt Des 08 2" xfId="1095"/>
    <cellStyle name="_LHP-Jkt Des 08_AP Logistic 2010 Konsolidasi (091110)" xfId="1096"/>
    <cellStyle name="_LHP-Jkt Des 08_AP Logistic 2010 Konsolidasi (091111) 1830" xfId="1097"/>
    <cellStyle name="_LHP-Jkt Des 08_AP Logistic 2010 Konsolidasi (091111) 2230" xfId="1098"/>
    <cellStyle name="_LHP-Jkt Des 08_AP Logistic 2010 Konsolidasi (091115) 1830" xfId="1099"/>
    <cellStyle name="_LHP-Jkt Des 08_AP Logistic 2010 Konsolidasi (091116) 1340" xfId="1100"/>
    <cellStyle name="_LHP-Jkt Des 08_AP Logistic 2010 Konsolidasi (091116) 1700" xfId="1101"/>
    <cellStyle name="_LHP-Jkt Des 08_FINAL - Buku Saku3" xfId="1102"/>
    <cellStyle name="_LHP-Jkt Des 08_Laporan Harian Dispatcher_2010_Heavy Truck" xfId="1103"/>
    <cellStyle name="_LHP-Jkt Des 08_Laporan Harian Dispatcher_2010_Heavy Truck2" xfId="1104"/>
    <cellStyle name="_LHP-Jkt Des 08_Laporan Harian Dispatcher_2010_Light Truck" xfId="1105"/>
    <cellStyle name="_LHP-Jkt Des 08_Laporan Harian Dispatcher_2010_Light Truck_LHD" xfId="1106"/>
    <cellStyle name="_LHP-Jkt Des 08_Laporan Harian Dispatcher_2010-11_Heavy Truck" xfId="1107"/>
    <cellStyle name="_LHP-Jkt Des 08_Laporan Harian Dispatcher_2010-11_Light Truck" xfId="1108"/>
    <cellStyle name="_LHP-Jkt Des 08_Laporan Harian Dispatcher_2010-11_Light Truck_LHD" xfId="1109"/>
    <cellStyle name="_LHP-Jkt Des 08_LHD" xfId="1110"/>
    <cellStyle name="_LHP-Jkt Des 08_LHD_2010-12_Heavy Truck" xfId="1111"/>
    <cellStyle name="_LHP-Jkt Des 08_LHD_2010-12_Light Truck" xfId="1112"/>
    <cellStyle name="_LHP-Jkt Des 08_LHD_2010-12_Light Truck_LHD" xfId="1113"/>
    <cellStyle name="_LHP-Jkt Des 08_LHD_Heavy Truck 2011-01" xfId="1114"/>
    <cellStyle name="_LHP-Jkt Des 08_Performance Review 091112" xfId="1115"/>
    <cellStyle name="_LHP-Jkt Des 08_PL Oktober" xfId="1116"/>
    <cellStyle name="_LHP-Juli - 2007xls" xfId="1117"/>
    <cellStyle name="_LHP-Juli - 2007xls (2)" xfId="1118"/>
    <cellStyle name="_LHP-Juli - 2007xls (2)_12 Laporan Stock Pool MKS Desember 2008 (2)" xfId="1119"/>
    <cellStyle name="_LHP-Juli - 2007xls (2)_12 Laporan Stock Pool MKS Desember 2008 (2)_AP Logistic 2010 Konsolidasi (091110)" xfId="1120"/>
    <cellStyle name="_LHP-Juli - 2007xls (2)_12 Laporan Stock Pool MKS Desember 2008 (2)_AP Logistic 2010 Konsolidasi (091111) 1830" xfId="1121"/>
    <cellStyle name="_LHP-Juli - 2007xls (2)_12 Laporan Stock Pool MKS Desember 2008 (2)_AP Logistic 2010 Konsolidasi (091111) 2230" xfId="1122"/>
    <cellStyle name="_LHP-Juli - 2007xls (2)_12 Laporan Stock Pool MKS Desember 2008 (2)_AP Logistic 2010 Konsolidasi (091115) 1830" xfId="1123"/>
    <cellStyle name="_LHP-Juli - 2007xls (2)_12 Laporan Stock Pool MKS Desember 2008 (2)_AP Logistic 2010 Konsolidasi (091116) 1340" xfId="1124"/>
    <cellStyle name="_LHP-Juli - 2007xls (2)_12 Laporan Stock Pool MKS Desember 2008 (2)_AP Logistic 2010 Konsolidasi (091116) 1700" xfId="1125"/>
    <cellStyle name="_LHP-Juli - 2007xls (2)_12 Laporan Stock Pool MKS Desember 2008 (2)_LHD" xfId="1126"/>
    <cellStyle name="_LHP-Juli - 2007xls (2)_12 Laporan Stock Pool MKS Desember 2008 (2)_Performance Review 091112" xfId="1127"/>
    <cellStyle name="_LHP-Juli - 2007xls (2)_AP Logistic 2010 Konsolidasi (091110)" xfId="1128"/>
    <cellStyle name="_LHP-Juli - 2007xls (2)_AP Logistic 2010 Konsolidasi (091111) 1830" xfId="1129"/>
    <cellStyle name="_LHP-Juli - 2007xls (2)_AP Logistic 2010 Konsolidasi (091111) 2230" xfId="1130"/>
    <cellStyle name="_LHP-Juli - 2007xls (2)_AP Logistic 2010 Konsolidasi (091115) 1830" xfId="1131"/>
    <cellStyle name="_LHP-Juli - 2007xls (2)_AP Logistic 2010 Konsolidasi (091116) 1340" xfId="1132"/>
    <cellStyle name="_LHP-Juli - 2007xls (2)_AP Logistic 2010 Konsolidasi (091116) 1700" xfId="1133"/>
    <cellStyle name="_LHP-Juli - 2007xls (2)_LAP. STOCK MEI  2010" xfId="1134"/>
    <cellStyle name="_LHP-Juli - 2007xls (2)_LHD" xfId="1135"/>
    <cellStyle name="_LHP-Juli - 2007xls (2)_LS Alvin" xfId="1136"/>
    <cellStyle name="_LHP-Juli - 2007xls (2)_Performance Review 091112" xfId="1137"/>
    <cellStyle name="_LHP-Juli - 2007xls_12 Laporan Stock Pool MKS Desember 2008 (2)" xfId="1138"/>
    <cellStyle name="_LHP-Juli - 2007xls_12 Laporan Stock Pool MKS Desember 2008 (2)_AP Logistic 2010 Konsolidasi (091110)" xfId="1139"/>
    <cellStyle name="_LHP-Juli - 2007xls_12 Laporan Stock Pool MKS Desember 2008 (2)_AP Logistic 2010 Konsolidasi (091111) 1830" xfId="1140"/>
    <cellStyle name="_LHP-Juli - 2007xls_12 Laporan Stock Pool MKS Desember 2008 (2)_AP Logistic 2010 Konsolidasi (091111) 2230" xfId="1141"/>
    <cellStyle name="_LHP-Juli - 2007xls_12 Laporan Stock Pool MKS Desember 2008 (2)_AP Logistic 2010 Konsolidasi (091115) 1830" xfId="1142"/>
    <cellStyle name="_LHP-Juli - 2007xls_12 Laporan Stock Pool MKS Desember 2008 (2)_AP Logistic 2010 Konsolidasi (091116) 1340" xfId="1143"/>
    <cellStyle name="_LHP-Juli - 2007xls_12 Laporan Stock Pool MKS Desember 2008 (2)_AP Logistic 2010 Konsolidasi (091116) 1700" xfId="1144"/>
    <cellStyle name="_LHP-Juli - 2007xls_12 Laporan Stock Pool MKS Desember 2008 (2)_LHD" xfId="1145"/>
    <cellStyle name="_LHP-Juli - 2007xls_12 Laporan Stock Pool MKS Desember 2008 (2)_Performance Review 091112" xfId="1146"/>
    <cellStyle name="_LHP-Juli - 2007xls_AP Logistic 2010 Konsolidasi (091110)" xfId="1147"/>
    <cellStyle name="_LHP-Juli - 2007xls_AP Logistic 2010 Konsolidasi (091111) 1830" xfId="1148"/>
    <cellStyle name="_LHP-Juli - 2007xls_AP Logistic 2010 Konsolidasi (091111) 2230" xfId="1149"/>
    <cellStyle name="_LHP-Juli - 2007xls_AP Logistic 2010 Konsolidasi (091115) 1830" xfId="1150"/>
    <cellStyle name="_LHP-Juli - 2007xls_AP Logistic 2010 Konsolidasi (091116) 1340" xfId="1151"/>
    <cellStyle name="_LHP-Juli - 2007xls_AP Logistic 2010 Konsolidasi (091116) 1700" xfId="1152"/>
    <cellStyle name="_LHP-Juli - 2007xls_LAP. STOCK MEI  2010" xfId="1153"/>
    <cellStyle name="_LHP-Juli - 2007xls_LHD" xfId="1154"/>
    <cellStyle name="_LHP-Juli - 2007xls_LS Alvin" xfId="1155"/>
    <cellStyle name="_LHP-Juli - 2007xls_Performance Review 091112" xfId="1156"/>
    <cellStyle name="_Lora-tungchau" xfId="1157"/>
    <cellStyle name="_LSP Bali - Desember 2008" xfId="1158"/>
    <cellStyle name="_LSP Bali - Desember 2008 (2)" xfId="1159"/>
    <cellStyle name="_LSP Bali - Desember 2008 (2) 2" xfId="1160"/>
    <cellStyle name="_LSP Bali - Desember 2008 (2)_AP Logistic 2010 Konsolidasi (091110)" xfId="1161"/>
    <cellStyle name="_LSP Bali - Desember 2008 (2)_AP Logistic 2010 Konsolidasi (091111) 1830" xfId="1162"/>
    <cellStyle name="_LSP Bali - Desember 2008 (2)_AP Logistic 2010 Konsolidasi (091111) 2230" xfId="1163"/>
    <cellStyle name="_LSP Bali - Desember 2008 (2)_AP Logistic 2010 Konsolidasi (091115) 1830" xfId="1164"/>
    <cellStyle name="_LSP Bali - Desember 2008 (2)_AP Logistic 2010 Konsolidasi (091116) 1340" xfId="1165"/>
    <cellStyle name="_LSP Bali - Desember 2008 (2)_AP Logistic 2010 Konsolidasi (091116) 1700" xfId="1166"/>
    <cellStyle name="_LSP Bali - Desember 2008 (2)_FINAL - Buku Saku3" xfId="1167"/>
    <cellStyle name="_LSP Bali - Desember 2008 (2)_Laporan Harian Dispatcher_2010_Heavy Truck" xfId="1168"/>
    <cellStyle name="_LSP Bali - Desember 2008 (2)_Laporan Harian Dispatcher_2010_Heavy Truck2" xfId="1169"/>
    <cellStyle name="_LSP Bali - Desember 2008 (2)_Laporan Harian Dispatcher_2010_Light Truck" xfId="1170"/>
    <cellStyle name="_LSP Bali - Desember 2008 (2)_Laporan Harian Dispatcher_2010_Light Truck_LHD" xfId="1171"/>
    <cellStyle name="_LSP Bali - Desember 2008 (2)_Laporan Harian Dispatcher_2010-11_Heavy Truck" xfId="1172"/>
    <cellStyle name="_LSP Bali - Desember 2008 (2)_Laporan Harian Dispatcher_2010-11_Light Truck" xfId="1173"/>
    <cellStyle name="_LSP Bali - Desember 2008 (2)_Laporan Harian Dispatcher_2010-11_Light Truck_LHD" xfId="1174"/>
    <cellStyle name="_LSP Bali - Desember 2008 (2)_LHD" xfId="1175"/>
    <cellStyle name="_LSP Bali - Desember 2008 (2)_LHD_2010-12_Heavy Truck" xfId="1176"/>
    <cellStyle name="_LSP Bali - Desember 2008 (2)_LHD_2010-12_Light Truck" xfId="1177"/>
    <cellStyle name="_LSP Bali - Desember 2008 (2)_LHD_2010-12_Light Truck_LHD" xfId="1178"/>
    <cellStyle name="_LSP Bali - Desember 2008 (2)_LHD_Heavy Truck 2011-01" xfId="1179"/>
    <cellStyle name="_LSP Bali - Desember 2008 (2)_Performance Review 091112" xfId="1180"/>
    <cellStyle name="_LSP Bali - Desember 2008 (2)_PL Oktober" xfId="1181"/>
    <cellStyle name="_LSP Bali - Desember 2008 2" xfId="1182"/>
    <cellStyle name="_LSP Bali - Desember 2008_AP Logistic 2010 Konsolidasi (091110)" xfId="1183"/>
    <cellStyle name="_LSP Bali - Desember 2008_AP Logistic 2010 Konsolidasi (091111) 1830" xfId="1184"/>
    <cellStyle name="_LSP Bali - Desember 2008_AP Logistic 2010 Konsolidasi (091111) 2230" xfId="1185"/>
    <cellStyle name="_LSP Bali - Desember 2008_AP Logistic 2010 Konsolidasi (091115) 1830" xfId="1186"/>
    <cellStyle name="_LSP Bali - Desember 2008_AP Logistic 2010 Konsolidasi (091116) 1340" xfId="1187"/>
    <cellStyle name="_LSP Bali - Desember 2008_AP Logistic 2010 Konsolidasi (091116) 1700" xfId="1188"/>
    <cellStyle name="_LSP Bali - Desember 2008_FINAL - Buku Saku3" xfId="1189"/>
    <cellStyle name="_LSP Bali - Desember 2008_Laporan Harian Dispatcher_2010_Heavy Truck" xfId="1190"/>
    <cellStyle name="_LSP Bali - Desember 2008_Laporan Harian Dispatcher_2010_Heavy Truck2" xfId="1191"/>
    <cellStyle name="_LSP Bali - Desember 2008_Laporan Harian Dispatcher_2010_Light Truck" xfId="1192"/>
    <cellStyle name="_LSP Bali - Desember 2008_Laporan Harian Dispatcher_2010_Light Truck_LHD" xfId="1193"/>
    <cellStyle name="_LSP Bali - Desember 2008_Laporan Harian Dispatcher_2010-11_Heavy Truck" xfId="1194"/>
    <cellStyle name="_LSP Bali - Desember 2008_Laporan Harian Dispatcher_2010-11_Light Truck" xfId="1195"/>
    <cellStyle name="_LSP Bali - Desember 2008_Laporan Harian Dispatcher_2010-11_Light Truck_LHD" xfId="1196"/>
    <cellStyle name="_LSP Bali - Desember 2008_LHD" xfId="1197"/>
    <cellStyle name="_LSP Bali - Desember 2008_LHD_2010-12_Heavy Truck" xfId="1198"/>
    <cellStyle name="_LSP Bali - Desember 2008_LHD_2010-12_Light Truck" xfId="1199"/>
    <cellStyle name="_LSP Bali - Desember 2008_LHD_2010-12_Light Truck_LHD" xfId="1200"/>
    <cellStyle name="_LSP Bali - Desember 2008_LHD_Heavy Truck 2011-01" xfId="1201"/>
    <cellStyle name="_LSP Bali - Desember 2008_Performance Review 091112" xfId="1202"/>
    <cellStyle name="_LSP Bali - Desember 2008_PL Oktober" xfId="1203"/>
    <cellStyle name="_LSP Bali - Januari 2009" xfId="1204"/>
    <cellStyle name="_LSP Bali - Januari 2009 2" xfId="1205"/>
    <cellStyle name="_LSP Bali - Januari 2009_AP Logistic 2010 Konsolidasi (091110)" xfId="1206"/>
    <cellStyle name="_LSP Bali - Januari 2009_AP Logistic 2010 Konsolidasi (091111) 1830" xfId="1207"/>
    <cellStyle name="_LSP Bali - Januari 2009_AP Logistic 2010 Konsolidasi (091111) 2230" xfId="1208"/>
    <cellStyle name="_LSP Bali - Januari 2009_AP Logistic 2010 Konsolidasi (091115) 1830" xfId="1209"/>
    <cellStyle name="_LSP Bali - Januari 2009_AP Logistic 2010 Konsolidasi (091116) 1340" xfId="1210"/>
    <cellStyle name="_LSP Bali - Januari 2009_AP Logistic 2010 Konsolidasi (091116) 1700" xfId="1211"/>
    <cellStyle name="_LSP Bali - Januari 2009_FINAL - Buku Saku3" xfId="1212"/>
    <cellStyle name="_LSP Bali - Januari 2009_Laporan Harian Dispatcher_2010_Heavy Truck" xfId="1213"/>
    <cellStyle name="_LSP Bali - Januari 2009_Laporan Harian Dispatcher_2010_Heavy Truck2" xfId="1214"/>
    <cellStyle name="_LSP Bali - Januari 2009_Laporan Harian Dispatcher_2010_Light Truck" xfId="1215"/>
    <cellStyle name="_LSP Bali - Januari 2009_Laporan Harian Dispatcher_2010_Light Truck_LHD" xfId="1216"/>
    <cellStyle name="_LSP Bali - Januari 2009_Laporan Harian Dispatcher_2010-11_Heavy Truck" xfId="1217"/>
    <cellStyle name="_LSP Bali - Januari 2009_Laporan Harian Dispatcher_2010-11_Light Truck" xfId="1218"/>
    <cellStyle name="_LSP Bali - Januari 2009_Laporan Harian Dispatcher_2010-11_Light Truck_LHD" xfId="1219"/>
    <cellStyle name="_LSP Bali - Januari 2009_LHD" xfId="1220"/>
    <cellStyle name="_LSP Bali - Januari 2009_LHD_2010-12_Heavy Truck" xfId="1221"/>
    <cellStyle name="_LSP Bali - Januari 2009_LHD_2010-12_Light Truck" xfId="1222"/>
    <cellStyle name="_LSP Bali - Januari 2009_LHD_2010-12_Light Truck_LHD" xfId="1223"/>
    <cellStyle name="_LSP Bali - Januari 2009_LHD_Heavy Truck 2011-01" xfId="1224"/>
    <cellStyle name="_LSP Bali - Januari 2009_Performance Review 091112" xfId="1225"/>
    <cellStyle name="_LSP Bali - Januari 2009_PL Oktober" xfId="1226"/>
    <cellStyle name="_LSP Bali - November 2008 (2)" xfId="1227"/>
    <cellStyle name="_LSP Bali - November 2008 (2) 2" xfId="1228"/>
    <cellStyle name="_LSP Bali - November 2008 (2)_AP Logistic 2010 Konsolidasi (091110)" xfId="1229"/>
    <cellStyle name="_LSP Bali - November 2008 (2)_AP Logistic 2010 Konsolidasi (091111) 1830" xfId="1230"/>
    <cellStyle name="_LSP Bali - November 2008 (2)_AP Logistic 2010 Konsolidasi (091111) 2230" xfId="1231"/>
    <cellStyle name="_LSP Bali - November 2008 (2)_AP Logistic 2010 Konsolidasi (091115) 1830" xfId="1232"/>
    <cellStyle name="_LSP Bali - November 2008 (2)_AP Logistic 2010 Konsolidasi (091116) 1340" xfId="1233"/>
    <cellStyle name="_LSP Bali - November 2008 (2)_AP Logistic 2010 Konsolidasi (091116) 1700" xfId="1234"/>
    <cellStyle name="_LSP Bali - November 2008 (2)_FINAL - Buku Saku3" xfId="1235"/>
    <cellStyle name="_LSP Bali - November 2008 (2)_Laporan Harian Dispatcher_2010_Heavy Truck" xfId="1236"/>
    <cellStyle name="_LSP Bali - November 2008 (2)_Laporan Harian Dispatcher_2010_Heavy Truck2" xfId="1237"/>
    <cellStyle name="_LSP Bali - November 2008 (2)_Laporan Harian Dispatcher_2010_Light Truck" xfId="1238"/>
    <cellStyle name="_LSP Bali - November 2008 (2)_Laporan Harian Dispatcher_2010_Light Truck_LHD" xfId="1239"/>
    <cellStyle name="_LSP Bali - November 2008 (2)_Laporan Harian Dispatcher_2010-11_Heavy Truck" xfId="1240"/>
    <cellStyle name="_LSP Bali - November 2008 (2)_Laporan Harian Dispatcher_2010-11_Light Truck" xfId="1241"/>
    <cellStyle name="_LSP Bali - November 2008 (2)_Laporan Harian Dispatcher_2010-11_Light Truck_LHD" xfId="1242"/>
    <cellStyle name="_LSP Bali - November 2008 (2)_LHD" xfId="1243"/>
    <cellStyle name="_LSP Bali - November 2008 (2)_LHD_2010-12_Heavy Truck" xfId="1244"/>
    <cellStyle name="_LSP Bali - November 2008 (2)_LHD_2010-12_Light Truck" xfId="1245"/>
    <cellStyle name="_LSP Bali - November 2008 (2)_LHD_2010-12_Light Truck_LHD" xfId="1246"/>
    <cellStyle name="_LSP Bali - November 2008 (2)_LHD_Heavy Truck 2011-01" xfId="1247"/>
    <cellStyle name="_LSP Bali - November 2008 (2)_Performance Review 091112" xfId="1248"/>
    <cellStyle name="_LSP Bali - November 2008 (2)_PL Oktober" xfId="1249"/>
    <cellStyle name="_LSP Bali - November 2008 (5)" xfId="1250"/>
    <cellStyle name="_LSP Bali - November 2008 (5) 2" xfId="1251"/>
    <cellStyle name="_LSP Bali - November 2008 (5)_AP Logistic 2010 Konsolidasi (091110)" xfId="1252"/>
    <cellStyle name="_LSP Bali - November 2008 (5)_AP Logistic 2010 Konsolidasi (091111) 1830" xfId="1253"/>
    <cellStyle name="_LSP Bali - November 2008 (5)_AP Logistic 2010 Konsolidasi (091111) 2230" xfId="1254"/>
    <cellStyle name="_LSP Bali - November 2008 (5)_AP Logistic 2010 Konsolidasi (091115) 1830" xfId="1255"/>
    <cellStyle name="_LSP Bali - November 2008 (5)_AP Logistic 2010 Konsolidasi (091116) 1340" xfId="1256"/>
    <cellStyle name="_LSP Bali - November 2008 (5)_AP Logistic 2010 Konsolidasi (091116) 1700" xfId="1257"/>
    <cellStyle name="_LSP Bali - November 2008 (5)_FINAL - Buku Saku3" xfId="1258"/>
    <cellStyle name="_LSP Bali - November 2008 (5)_Laporan Harian Dispatcher_2010_Heavy Truck" xfId="1259"/>
    <cellStyle name="_LSP Bali - November 2008 (5)_Laporan Harian Dispatcher_2010_Heavy Truck2" xfId="1260"/>
    <cellStyle name="_LSP Bali - November 2008 (5)_Laporan Harian Dispatcher_2010_Light Truck" xfId="1261"/>
    <cellStyle name="_LSP Bali - November 2008 (5)_Laporan Harian Dispatcher_2010_Light Truck_LHD" xfId="1262"/>
    <cellStyle name="_LSP Bali - November 2008 (5)_Laporan Harian Dispatcher_2010-11_Heavy Truck" xfId="1263"/>
    <cellStyle name="_LSP Bali - November 2008 (5)_Laporan Harian Dispatcher_2010-11_Light Truck" xfId="1264"/>
    <cellStyle name="_LSP Bali - November 2008 (5)_Laporan Harian Dispatcher_2010-11_Light Truck_LHD" xfId="1265"/>
    <cellStyle name="_LSP Bali - November 2008 (5)_LHD" xfId="1266"/>
    <cellStyle name="_LSP Bali - November 2008 (5)_LHD_2010-12_Heavy Truck" xfId="1267"/>
    <cellStyle name="_LSP Bali - November 2008 (5)_LHD_2010-12_Light Truck" xfId="1268"/>
    <cellStyle name="_LSP Bali - November 2008 (5)_LHD_2010-12_Light Truck_LHD" xfId="1269"/>
    <cellStyle name="_LSP Bali - November 2008 (5)_LHD_Heavy Truck 2011-01" xfId="1270"/>
    <cellStyle name="_LSP Bali - November 2008 (5)_Performance Review 091112" xfId="1271"/>
    <cellStyle name="_LSP Bali - November 2008 (5)_PL Oktober" xfId="1272"/>
    <cellStyle name="_LSP Bali januari 09" xfId="1273"/>
    <cellStyle name="_LSP Bali januari 09 2" xfId="1274"/>
    <cellStyle name="_LSP Bali januari 09_AP Logistic 2010 Konsolidasi (091110)" xfId="1275"/>
    <cellStyle name="_LSP Bali januari 09_AP Logistic 2010 Konsolidasi (091111) 1830" xfId="1276"/>
    <cellStyle name="_LSP Bali januari 09_AP Logistic 2010 Konsolidasi (091111) 2230" xfId="1277"/>
    <cellStyle name="_LSP Bali januari 09_AP Logistic 2010 Konsolidasi (091115) 1830" xfId="1278"/>
    <cellStyle name="_LSP Bali januari 09_AP Logistic 2010 Konsolidasi (091116) 1340" xfId="1279"/>
    <cellStyle name="_LSP Bali januari 09_AP Logistic 2010 Konsolidasi (091116) 1700" xfId="1280"/>
    <cellStyle name="_LSP Bali januari 09_FINAL - Buku Saku3" xfId="1281"/>
    <cellStyle name="_LSP Bali januari 09_Laporan Harian Dispatcher_2010_Heavy Truck" xfId="1282"/>
    <cellStyle name="_LSP Bali januari 09_Laporan Harian Dispatcher_2010_Heavy Truck2" xfId="1283"/>
    <cellStyle name="_LSP Bali januari 09_Laporan Harian Dispatcher_2010_Light Truck" xfId="1284"/>
    <cellStyle name="_LSP Bali januari 09_Laporan Harian Dispatcher_2010_Light Truck_LHD" xfId="1285"/>
    <cellStyle name="_LSP Bali januari 09_Laporan Harian Dispatcher_2010-11_Heavy Truck" xfId="1286"/>
    <cellStyle name="_LSP Bali januari 09_Laporan Harian Dispatcher_2010-11_Light Truck" xfId="1287"/>
    <cellStyle name="_LSP Bali januari 09_Laporan Harian Dispatcher_2010-11_Light Truck_LHD" xfId="1288"/>
    <cellStyle name="_LSP Bali januari 09_LHD" xfId="1289"/>
    <cellStyle name="_LSP Bali januari 09_LHD_2010-12_Heavy Truck" xfId="1290"/>
    <cellStyle name="_LSP Bali januari 09_LHD_2010-12_Light Truck" xfId="1291"/>
    <cellStyle name="_LSP Bali januari 09_LHD_2010-12_Light Truck_LHD" xfId="1292"/>
    <cellStyle name="_LSP Bali januari 09_LHD_Heavy Truck 2011-01" xfId="1293"/>
    <cellStyle name="_LSP Bali januari 09_Performance Review 091112" xfId="1294"/>
    <cellStyle name="_LSP Bali januari 09_PL Oktober" xfId="1295"/>
    <cellStyle name="_Makassar 2007" xfId="1296"/>
    <cellStyle name="_Makassar 2007 2" xfId="1297"/>
    <cellStyle name="_Makassar 2007_AP Logistic 2010 Konsolidasi (091110)" xfId="1298"/>
    <cellStyle name="_Makassar 2007_AP Logistic 2010 Konsolidasi (091111) 1830" xfId="1299"/>
    <cellStyle name="_Makassar 2007_AP Logistic 2010 Konsolidasi (091111) 2230" xfId="1300"/>
    <cellStyle name="_Makassar 2007_AP Logistic 2010 Konsolidasi (091115) 1830" xfId="1301"/>
    <cellStyle name="_Makassar 2007_AP Logistic 2010 Konsolidasi (091116) 1340" xfId="1302"/>
    <cellStyle name="_Makassar 2007_AP Logistic 2010 Konsolidasi (091116) 1700" xfId="1303"/>
    <cellStyle name="_Makassar 2007_FINAL - Buku Saku3" xfId="1304"/>
    <cellStyle name="_Makassar 2007_Laporan Harian Dispatcher_2010_Heavy Truck" xfId="1305"/>
    <cellStyle name="_Makassar 2007_Laporan Harian Dispatcher_2010_Heavy Truck2" xfId="1306"/>
    <cellStyle name="_Makassar 2007_Laporan Harian Dispatcher_2010_Light Truck" xfId="1307"/>
    <cellStyle name="_Makassar 2007_Laporan Harian Dispatcher_2010_Light Truck_LHD" xfId="1308"/>
    <cellStyle name="_Makassar 2007_Laporan Harian Dispatcher_2010-11_Heavy Truck" xfId="1309"/>
    <cellStyle name="_Makassar 2007_Laporan Harian Dispatcher_2010-11_Light Truck" xfId="1310"/>
    <cellStyle name="_Makassar 2007_Laporan Harian Dispatcher_2010-11_Light Truck_LHD" xfId="1311"/>
    <cellStyle name="_Makassar 2007_LHD" xfId="1312"/>
    <cellStyle name="_Makassar 2007_LHD_2010-12_Heavy Truck" xfId="1313"/>
    <cellStyle name="_Makassar 2007_LHD_2010-12_Light Truck" xfId="1314"/>
    <cellStyle name="_Makassar 2007_LHD_2010-12_Light Truck_LHD" xfId="1315"/>
    <cellStyle name="_Makassar 2007_LHD_Heavy Truck 2011-01" xfId="1316"/>
    <cellStyle name="_Makassar 2007_Performance Review 091112" xfId="1317"/>
    <cellStyle name="_Makassar 2007_PL Oktober" xfId="1318"/>
    <cellStyle name="_Makassar Operation Performance Review Maret 2007" xfId="1319"/>
    <cellStyle name="_Makassar Operation Performance Review Maret 2007 2" xfId="1320"/>
    <cellStyle name="_Makassar Operation Performance Review Maret 2007_AP Logistic 2010 Konsolidasi (091110)" xfId="1321"/>
    <cellStyle name="_Makassar Operation Performance Review Maret 2007_AP Logistic 2010 Konsolidasi (091111) 1830" xfId="1322"/>
    <cellStyle name="_Makassar Operation Performance Review Maret 2007_AP Logistic 2010 Konsolidasi (091111) 2230" xfId="1323"/>
    <cellStyle name="_Makassar Operation Performance Review Maret 2007_AP Logistic 2010 Konsolidasi (091115) 1830" xfId="1324"/>
    <cellStyle name="_Makassar Operation Performance Review Maret 2007_AP Logistic 2010 Konsolidasi (091116) 1340" xfId="1325"/>
    <cellStyle name="_Makassar Operation Performance Review Maret 2007_AP Logistic 2010 Konsolidasi (091116) 1700" xfId="1326"/>
    <cellStyle name="_Makassar Operation Performance Review Maret 2007_FINAL - Buku Saku3" xfId="1327"/>
    <cellStyle name="_Makassar Operation Performance Review Maret 2007_Laporan Harian Dispatcher_2010_Heavy Truck" xfId="1328"/>
    <cellStyle name="_Makassar Operation Performance Review Maret 2007_Laporan Harian Dispatcher_2010_Heavy Truck2" xfId="1329"/>
    <cellStyle name="_Makassar Operation Performance Review Maret 2007_Laporan Harian Dispatcher_2010_Light Truck" xfId="1330"/>
    <cellStyle name="_Makassar Operation Performance Review Maret 2007_Laporan Harian Dispatcher_2010_Light Truck_LHD" xfId="1331"/>
    <cellStyle name="_Makassar Operation Performance Review Maret 2007_Laporan Harian Dispatcher_2010-11_Heavy Truck" xfId="1332"/>
    <cellStyle name="_Makassar Operation Performance Review Maret 2007_Laporan Harian Dispatcher_2010-11_Light Truck" xfId="1333"/>
    <cellStyle name="_Makassar Operation Performance Review Maret 2007_Laporan Harian Dispatcher_2010-11_Light Truck_LHD" xfId="1334"/>
    <cellStyle name="_Makassar Operation Performance Review Maret 2007_LHD" xfId="1335"/>
    <cellStyle name="_Makassar Operation Performance Review Maret 2007_LHD_2010-12_Heavy Truck" xfId="1336"/>
    <cellStyle name="_Makassar Operation Performance Review Maret 2007_LHD_2010-12_Light Truck" xfId="1337"/>
    <cellStyle name="_Makassar Operation Performance Review Maret 2007_LHD_2010-12_Light Truck_LHD" xfId="1338"/>
    <cellStyle name="_Makassar Operation Performance Review Maret 2007_LHD_Heavy Truck 2011-01" xfId="1339"/>
    <cellStyle name="_Makassar Operation Performance Review Maret 2007_Performance Review 091112" xfId="1340"/>
    <cellStyle name="_Makassar Operation Performance Review Maret 2007_PL Oktober" xfId="1341"/>
    <cellStyle name="_Mutasi unit nov 07" xfId="1342"/>
    <cellStyle name="_Mutasi unit nov 07_12 Laporan Stock Pool MKS Desember 2008 (2)" xfId="1343"/>
    <cellStyle name="_Mutasi unit nov 07_12 Laporan Stock Pool MKS Desember 2008 (2)_AP Logistic 2010 Konsolidasi (091110)" xfId="1344"/>
    <cellStyle name="_Mutasi unit nov 07_12 Laporan Stock Pool MKS Desember 2008 (2)_AP Logistic 2010 Konsolidasi (091111) 1830" xfId="1345"/>
    <cellStyle name="_Mutasi unit nov 07_12 Laporan Stock Pool MKS Desember 2008 (2)_AP Logistic 2010 Konsolidasi (091111) 2230" xfId="1346"/>
    <cellStyle name="_Mutasi unit nov 07_12 Laporan Stock Pool MKS Desember 2008 (2)_AP Logistic 2010 Konsolidasi (091115) 1830" xfId="1347"/>
    <cellStyle name="_Mutasi unit nov 07_12 Laporan Stock Pool MKS Desember 2008 (2)_AP Logistic 2010 Konsolidasi (091116) 1340" xfId="1348"/>
    <cellStyle name="_Mutasi unit nov 07_12 Laporan Stock Pool MKS Desember 2008 (2)_AP Logistic 2010 Konsolidasi (091116) 1700" xfId="1349"/>
    <cellStyle name="_Mutasi unit nov 07_12 Laporan Stock Pool MKS Desember 2008 (2)_LHD" xfId="1350"/>
    <cellStyle name="_Mutasi unit nov 07_12 Laporan Stock Pool MKS Desember 2008 (2)_Performance Review 091112" xfId="1351"/>
    <cellStyle name="_Mutasi unit nov 07_AP Logistic 2010 Konsolidasi (091110)" xfId="1352"/>
    <cellStyle name="_Mutasi unit nov 07_AP Logistic 2010 Konsolidasi (091111) 1830" xfId="1353"/>
    <cellStyle name="_Mutasi unit nov 07_AP Logistic 2010 Konsolidasi (091111) 2230" xfId="1354"/>
    <cellStyle name="_Mutasi unit nov 07_AP Logistic 2010 Konsolidasi (091115) 1830" xfId="1355"/>
    <cellStyle name="_Mutasi unit nov 07_AP Logistic 2010 Konsolidasi (091116) 1340" xfId="1356"/>
    <cellStyle name="_Mutasi unit nov 07_AP Logistic 2010 Konsolidasi (091116) 1700" xfId="1357"/>
    <cellStyle name="_Mutasi unit nov 07_LHD" xfId="1358"/>
    <cellStyle name="_Mutasi unit nov 07_Performance Review 091112" xfId="1359"/>
    <cellStyle name="_NEW" xfId="1360"/>
    <cellStyle name="_NEW PICA ruli" xfId="1361"/>
    <cellStyle name="_NEW PICA ruli 2" xfId="1362"/>
    <cellStyle name="_NEW PICA ruli 3" xfId="1363"/>
    <cellStyle name="_NEW PICA ruli 4" xfId="1364"/>
    <cellStyle name="_NEW PICA ruli 5" xfId="1365"/>
    <cellStyle name="_NEW PICA ruli 6" xfId="1366"/>
    <cellStyle name="_NEW PICA ruli 7" xfId="1367"/>
    <cellStyle name="_NEW PICA ruli 8" xfId="1368"/>
    <cellStyle name="_NEW PICA ruli_LHD" xfId="1369"/>
    <cellStyle name="_operation new april" xfId="1370"/>
    <cellStyle name="_operation new april 2" xfId="1371"/>
    <cellStyle name="_operation new april_AP Logistic 2010 Konsolidasi (091110)" xfId="1372"/>
    <cellStyle name="_operation new april_AP Logistic 2010 Konsolidasi (091111) 1830" xfId="1373"/>
    <cellStyle name="_operation new april_AP Logistic 2010 Konsolidasi (091111) 2230" xfId="1374"/>
    <cellStyle name="_operation new april_AP Logistic 2010 Konsolidasi (091115) 1830" xfId="1375"/>
    <cellStyle name="_operation new april_AP Logistic 2010 Konsolidasi (091116) 1340" xfId="1376"/>
    <cellStyle name="_operation new april_AP Logistic 2010 Konsolidasi (091116) 1700" xfId="1377"/>
    <cellStyle name="_operation new april_FINAL - Buku Saku3" xfId="1378"/>
    <cellStyle name="_operation new april_Laporan Harian Dispatcher_2010_Heavy Truck" xfId="1379"/>
    <cellStyle name="_operation new april_Laporan Harian Dispatcher_2010_Heavy Truck2" xfId="1380"/>
    <cellStyle name="_operation new april_Laporan Harian Dispatcher_2010_Light Truck" xfId="1381"/>
    <cellStyle name="_operation new april_Laporan Harian Dispatcher_2010_Light Truck_LHD" xfId="1382"/>
    <cellStyle name="_operation new april_Laporan Harian Dispatcher_2010-11_Heavy Truck" xfId="1383"/>
    <cellStyle name="_operation new april_Laporan Harian Dispatcher_2010-11_Light Truck" xfId="1384"/>
    <cellStyle name="_operation new april_Laporan Harian Dispatcher_2010-11_Light Truck_LHD" xfId="1385"/>
    <cellStyle name="_operation new april_LHD" xfId="1386"/>
    <cellStyle name="_operation new april_LHD_2010-12_Heavy Truck" xfId="1387"/>
    <cellStyle name="_operation new april_LHD_2010-12_Light Truck" xfId="1388"/>
    <cellStyle name="_operation new april_LHD_2010-12_Light Truck_LHD" xfId="1389"/>
    <cellStyle name="_operation new april_LHD_Heavy Truck 2011-01" xfId="1390"/>
    <cellStyle name="_operation new april_Performance Review 091112" xfId="1391"/>
    <cellStyle name="_operation new april_PL Oktober" xfId="1392"/>
    <cellStyle name="_Performance review UIO Maret 2007" xfId="1393"/>
    <cellStyle name="_Performance review UIO Maret 2007 2" xfId="1394"/>
    <cellStyle name="_Performance review UIO Maret 2007 3" xfId="1395"/>
    <cellStyle name="_Performance review UIO Maret 2007 4" xfId="1396"/>
    <cellStyle name="_Performance review UIO Maret 2007 5" xfId="1397"/>
    <cellStyle name="_Performance review UIO Maret 2007 6" xfId="1398"/>
    <cellStyle name="_Performance review UIO Maret 2007 7" xfId="1399"/>
    <cellStyle name="_Performance review UIO Maret 2007 8" xfId="1400"/>
    <cellStyle name="_Performance review UIO Maret 2007_Book1" xfId="1401"/>
    <cellStyle name="_Performance review UIO Maret 2007_LHD" xfId="1402"/>
    <cellStyle name="_Performance review UIO Maret 2007_PL Oktober" xfId="1403"/>
    <cellStyle name="_Performance review UIO Maret 2007_Reimburst HO" xfId="1404"/>
    <cellStyle name="_Performance review UIO Maret 2007_Reimburst HO 2" xfId="1405"/>
    <cellStyle name="_Performance review UIO Maret 2007_Reimburst HO 3" xfId="1406"/>
    <cellStyle name="_Performance review UIO Maret 2007_Reimburst HO 4" xfId="1407"/>
    <cellStyle name="_Performance review UIO Maret 2007_Reimburst HO 5" xfId="1408"/>
    <cellStyle name="_Performance review UIO Maret 2007_Reimburst HO 6" xfId="1409"/>
    <cellStyle name="_Performance review UIO Maret 2007_Reimburst HO 7" xfId="1410"/>
    <cellStyle name="_Performance review UIO Maret 2007_Reimburst HO 8" xfId="1411"/>
    <cellStyle name="_Performance review UIO Maret 2007_Reimburst HO_LHD" xfId="1412"/>
    <cellStyle name="_PERSONAL" xfId="1413"/>
    <cellStyle name="_PERSONAL_Book1" xfId="1414"/>
    <cellStyle name="_PERSONAL_Book1_Book1" xfId="1415"/>
    <cellStyle name="_PERSONAL_Book1_THU CHI TIEN" xfId="1416"/>
    <cellStyle name="_PERSONAL_HTQ.8 GD1" xfId="1417"/>
    <cellStyle name="_PERSONAL_TH KE" xfId="1418"/>
    <cellStyle name="_PERSONAL_THU CHI TIEN" xfId="1419"/>
    <cellStyle name="_PERSONAL_TKE" xfId="1420"/>
    <cellStyle name="_PERSONAL_Tong hop KHCB 2001" xfId="1421"/>
    <cellStyle name="_Pica final mei" xfId="1422"/>
    <cellStyle name="_Pica final mei 2" xfId="1423"/>
    <cellStyle name="_Pica final mei 3" xfId="1424"/>
    <cellStyle name="_Pica final mei 4" xfId="1425"/>
    <cellStyle name="_Pica final mei 5" xfId="1426"/>
    <cellStyle name="_Pica final mei 6" xfId="1427"/>
    <cellStyle name="_Pica final mei 7" xfId="1428"/>
    <cellStyle name="_Pica final mei 8" xfId="1429"/>
    <cellStyle name="_Pica final mei_LHD" xfId="1430"/>
    <cellStyle name="_PICA PERFORMANCE MEI 2007" xfId="1431"/>
    <cellStyle name="_PICA PERFORMANCE MEI 2007 2" xfId="1432"/>
    <cellStyle name="_PICA PERFORMANCE MEI 2007 3" xfId="1433"/>
    <cellStyle name="_PICA PERFORMANCE MEI 2007 4" xfId="1434"/>
    <cellStyle name="_PICA PERFORMANCE MEI 2007 5" xfId="1435"/>
    <cellStyle name="_PICA PERFORMANCE MEI 2007 6" xfId="1436"/>
    <cellStyle name="_PICA PERFORMANCE MEI 2007 7" xfId="1437"/>
    <cellStyle name="_PICA PERFORMANCE MEI 2007 8" xfId="1438"/>
    <cellStyle name="_PICA PERFORMANCE MEI 2007_LHD" xfId="1439"/>
    <cellStyle name="_Q1 - CC" xfId="1440"/>
    <cellStyle name="_Q1 - CC 2" xfId="1441"/>
    <cellStyle name="_Q1 - CC 3" xfId="1442"/>
    <cellStyle name="_Q1 - CC 4" xfId="1443"/>
    <cellStyle name="_Q1 - CC 5" xfId="1444"/>
    <cellStyle name="_Q1 - CC 6" xfId="1445"/>
    <cellStyle name="_Q1 - CC 7" xfId="1446"/>
    <cellStyle name="_Q1 - CC 8" xfId="1447"/>
    <cellStyle name="_Q1 - CC_Book1" xfId="1448"/>
    <cellStyle name="_Q1 - CC_LHD" xfId="1449"/>
    <cellStyle name="_Q1 - CC_PL Oktober" xfId="1450"/>
    <cellStyle name="_Q1 - CC_Reimburst HO" xfId="1451"/>
    <cellStyle name="_Q1 - CC_Reimburst HO 2" xfId="1452"/>
    <cellStyle name="_Q1 - CC_Reimburst HO 3" xfId="1453"/>
    <cellStyle name="_Q1 - CC_Reimburst HO 4" xfId="1454"/>
    <cellStyle name="_Q1 - CC_Reimburst HO 5" xfId="1455"/>
    <cellStyle name="_Q1 - CC_Reimburst HO 6" xfId="1456"/>
    <cellStyle name="_Q1 - CC_Reimburst HO 7" xfId="1457"/>
    <cellStyle name="_Q1 - CC_Reimburst HO 8" xfId="1458"/>
    <cellStyle name="_Q1 - CC_Reimburst HO_LHD" xfId="1459"/>
    <cellStyle name="_Qt-HT3PQ1(CauKho)" xfId="1460"/>
    <cellStyle name="_Reconcille UIO HO vs UIO Cabang Jan 07" xfId="1461"/>
    <cellStyle name="_Reconcille UIO HO vs UIO Cabang Jan 07 2" xfId="1462"/>
    <cellStyle name="_Reconcille UIO HO vs UIO Cabang Jan 07 3" xfId="1463"/>
    <cellStyle name="_Reconcille UIO HO vs UIO Cabang Jan 07 4" xfId="1464"/>
    <cellStyle name="_Reconcille UIO HO vs UIO Cabang Jan 07 5" xfId="1465"/>
    <cellStyle name="_Reconcille UIO HO vs UIO Cabang Jan 07 6" xfId="1466"/>
    <cellStyle name="_Reconcille UIO HO vs UIO Cabang Jan 07 7" xfId="1467"/>
    <cellStyle name="_Reconcille UIO HO vs UIO Cabang Jan 07 8" xfId="1468"/>
    <cellStyle name="_Reconcille UIO HO vs UIO Cabang Jan 07 9" xfId="1469"/>
    <cellStyle name="_Reconcille UIO HO vs UIO Cabang Jan 07_AP Logistic 2010 Konsolidasi (091110)" xfId="1470"/>
    <cellStyle name="_Reconcille UIO HO vs UIO Cabang Jan 07_AP Logistic 2010 Konsolidasi (091111) 1830" xfId="1471"/>
    <cellStyle name="_Reconcille UIO HO vs UIO Cabang Jan 07_AP Logistic 2010 Konsolidasi (091111) 2230" xfId="1472"/>
    <cellStyle name="_Reconcille UIO HO vs UIO Cabang Jan 07_AP Logistic 2010 Konsolidasi (091115) 1830" xfId="1473"/>
    <cellStyle name="_Reconcille UIO HO vs UIO Cabang Jan 07_AP Logistic 2010 Konsolidasi (091116) 1340" xfId="1474"/>
    <cellStyle name="_Reconcille UIO HO vs UIO Cabang Jan 07_AP Logistic 2010 Konsolidasi (091116) 1700" xfId="1475"/>
    <cellStyle name="_Reconcille UIO HO vs UIO Cabang Jan 07_Book1" xfId="1476"/>
    <cellStyle name="_Reconcille UIO HO vs UIO Cabang Jan 07_Book1_Laporan Harian Dispatcher_2010_Heavy Truck" xfId="1477"/>
    <cellStyle name="_Reconcille UIO HO vs UIO Cabang Jan 07_Book1_Laporan Harian Dispatcher_2010_Heavy Truck2" xfId="1478"/>
    <cellStyle name="_Reconcille UIO HO vs UIO Cabang Jan 07_Book1_Laporan Harian Dispatcher_2010_Light Truck" xfId="1479"/>
    <cellStyle name="_Reconcille UIO HO vs UIO Cabang Jan 07_Book1_Laporan Harian Dispatcher_2010_Light Truck_LHD" xfId="1480"/>
    <cellStyle name="_Reconcille UIO HO vs UIO Cabang Jan 07_Book1_Laporan Harian Dispatcher_2010-11_Heavy Truck" xfId="1481"/>
    <cellStyle name="_Reconcille UIO HO vs UIO Cabang Jan 07_Book1_Laporan Harian Dispatcher_2010-11_Light Truck" xfId="1482"/>
    <cellStyle name="_Reconcille UIO HO vs UIO Cabang Jan 07_Book1_Laporan Harian Dispatcher_2010-11_Light Truck_LHD" xfId="1483"/>
    <cellStyle name="_Reconcille UIO HO vs UIO Cabang Jan 07_Book1_LHD" xfId="1484"/>
    <cellStyle name="_Reconcille UIO HO vs UIO Cabang Jan 07_Book1_LHD_2010-12_Heavy Truck" xfId="1485"/>
    <cellStyle name="_Reconcille UIO HO vs UIO Cabang Jan 07_Book1_LHD_2010-12_Light Truck" xfId="1486"/>
    <cellStyle name="_Reconcille UIO HO vs UIO Cabang Jan 07_Book1_LHD_2010-12_Light Truck_LHD" xfId="1487"/>
    <cellStyle name="_Reconcille UIO HO vs UIO Cabang Jan 07_Book1_LHD_Heavy Truck 2011-01" xfId="1488"/>
    <cellStyle name="_Reconcille UIO HO vs UIO Cabang Jan 07_Book1_PL Oktober" xfId="1489"/>
    <cellStyle name="_Reconcille UIO HO vs UIO Cabang Jan 07_FINAL - Buku Saku3" xfId="1490"/>
    <cellStyle name="_Reconcille UIO HO vs UIO Cabang Jan 07_lap  SerPo PNTK Des  08 (2)" xfId="1491"/>
    <cellStyle name="_Reconcille UIO HO vs UIO Cabang Jan 07_lap  SerPo PNTK Des  08 (2)_LHD" xfId="1492"/>
    <cellStyle name="_Reconcille UIO HO vs UIO Cabang Jan 07_lap  SerPo PNTK Des  08 (3)" xfId="1493"/>
    <cellStyle name="_Reconcille UIO HO vs UIO Cabang Jan 07_lap  SerPo PNTK Des  08 (3)_LHD" xfId="1494"/>
    <cellStyle name="_Reconcille UIO HO vs UIO Cabang Jan 07_lap  SerPo PNTK November  08" xfId="1495"/>
    <cellStyle name="_Reconcille UIO HO vs UIO Cabang Jan 07_lap  SerPo PNTK November  08_LHD" xfId="1496"/>
    <cellStyle name="_Reconcille UIO HO vs UIO Cabang Jan 07_LHD" xfId="1497"/>
    <cellStyle name="_Reconcille UIO HO vs UIO Cabang Jan 07_Performance Review 091112" xfId="1498"/>
    <cellStyle name="_Recons Cab vs UIO HO Feb 07" xfId="1499"/>
    <cellStyle name="_Recons Cab vs UIO HO Feb 07 2" xfId="1500"/>
    <cellStyle name="_Recons Cab vs UIO HO Feb 07 3" xfId="1501"/>
    <cellStyle name="_Recons Cab vs UIO HO Feb 07 4" xfId="1502"/>
    <cellStyle name="_Recons Cab vs UIO HO Feb 07 5" xfId="1503"/>
    <cellStyle name="_Recons Cab vs UIO HO Feb 07 6" xfId="1504"/>
    <cellStyle name="_Recons Cab vs UIO HO Feb 07 7" xfId="1505"/>
    <cellStyle name="_Recons Cab vs UIO HO Feb 07 8" xfId="1506"/>
    <cellStyle name="_Recons Cab vs UIO HO Feb 07_LHD" xfId="1507"/>
    <cellStyle name="_Rekons" xfId="1508"/>
    <cellStyle name="_Rekons 2" xfId="1509"/>
    <cellStyle name="_Rekons_AP Logistic 2010 Konsolidasi (091110)" xfId="1510"/>
    <cellStyle name="_Rekons_AP Logistic 2010 Konsolidasi (091111) 1830" xfId="1511"/>
    <cellStyle name="_Rekons_AP Logistic 2010 Konsolidasi (091111) 2230" xfId="1512"/>
    <cellStyle name="_Rekons_AP Logistic 2010 Konsolidasi (091115) 1830" xfId="1513"/>
    <cellStyle name="_Rekons_AP Logistic 2010 Konsolidasi (091116) 1340" xfId="1514"/>
    <cellStyle name="_Rekons_AP Logistic 2010 Konsolidasi (091116) 1700" xfId="1515"/>
    <cellStyle name="_Rekons_FINAL - Buku Saku3" xfId="1516"/>
    <cellStyle name="_Rekons_Laporan Harian Dispatcher_2010_Heavy Truck" xfId="1517"/>
    <cellStyle name="_Rekons_Laporan Harian Dispatcher_2010_Heavy Truck2" xfId="1518"/>
    <cellStyle name="_Rekons_Laporan Harian Dispatcher_2010_Light Truck" xfId="1519"/>
    <cellStyle name="_Rekons_Laporan Harian Dispatcher_2010_Light Truck_LHD" xfId="1520"/>
    <cellStyle name="_Rekons_Laporan Harian Dispatcher_2010-11_Heavy Truck" xfId="1521"/>
    <cellStyle name="_Rekons_Laporan Harian Dispatcher_2010-11_Light Truck" xfId="1522"/>
    <cellStyle name="_Rekons_Laporan Harian Dispatcher_2010-11_Light Truck_LHD" xfId="1523"/>
    <cellStyle name="_Rekons_LHD" xfId="1524"/>
    <cellStyle name="_Rekons_LHD_2010-12_Heavy Truck" xfId="1525"/>
    <cellStyle name="_Rekons_LHD_2010-12_Light Truck" xfId="1526"/>
    <cellStyle name="_Rekons_LHD_2010-12_Light Truck_LHD" xfId="1527"/>
    <cellStyle name="_Rekons_LHD_Heavy Truck 2011-01" xfId="1528"/>
    <cellStyle name="_Rekons_Performance Review 091112" xfId="1529"/>
    <cellStyle name="_Rekons_PL Oktober" xfId="1530"/>
    <cellStyle name="_Report Disposal" xfId="1531"/>
    <cellStyle name="_Report Disposal_AP 2009 Trip-Basis Moderate (Update Ferdi 1 November 2008)" xfId="1532"/>
    <cellStyle name="_Report Disposal_AP 2009 Trip-Basis Moderate (Update Ferdi 15 Oktober 2008)" xfId="1533"/>
    <cellStyle name="_Report Disposal_AP 2009 Trip-Basis Moderate (Update Ferdi 15 Oktober 2008)_AP Logistic 2010 Konsolidasi (091110)" xfId="1534"/>
    <cellStyle name="_Report Disposal_AP 2009 Trip-Basis Moderate (Update Ferdi 15 Oktober 2008)_AP Logistic 2010 Konsolidasi (091111) 1830" xfId="1535"/>
    <cellStyle name="_Report Disposal_AP 2009 Trip-Basis Moderate (Update Ferdi 15 Oktober 2008)_AP Logistic 2010 Konsolidasi (091111) 2230" xfId="1536"/>
    <cellStyle name="_Report Disposal_AP 2009 Trip-Basis Moderate (Update Ferdi 15 Oktober 2008)_AP Logistic 2010 Konsolidasi (091115) 1830" xfId="1537"/>
    <cellStyle name="_Report Disposal_AP 2009 Trip-Basis Moderate (Update Ferdi 15 Oktober 2008)_AP Logistic 2010 Konsolidasi (091116) 1340" xfId="1538"/>
    <cellStyle name="_Report Disposal_AP 2009 Trip-Basis Moderate (Update Ferdi 15 Oktober 2008)_AP Logistic 2010 Konsolidasi (091116) 1700" xfId="1539"/>
    <cellStyle name="_Report Disposal_AP 2009 Trip-Basis Moderate (Update Ferdi 15 Oktober 2008)_Performance Review 091112" xfId="1540"/>
    <cellStyle name="_Report Disposal_AP Logistic 2010 Konsolidasi (091110)" xfId="1541"/>
    <cellStyle name="_Report Disposal_AP Logistic 2010 Konsolidasi (091111) 1830" xfId="1542"/>
    <cellStyle name="_Report Disposal_AP Logistic 2010 Konsolidasi (091111) 2230" xfId="1543"/>
    <cellStyle name="_Report Disposal_AP Logistic 2010 Konsolidasi (091115) 1830" xfId="1544"/>
    <cellStyle name="_Report Disposal_AP Logistic 2010 Konsolidasi (091116) 1340" xfId="1545"/>
    <cellStyle name="_Report Disposal_AP Logistic 2010 Konsolidasi (091116) 1700" xfId="1546"/>
    <cellStyle name="_Report Disposal_Database Depreciation" xfId="1547"/>
    <cellStyle name="_Report Disposal_Performance Review 091112" xfId="1548"/>
    <cellStyle name="_SLS--bdg- Jan'07 (Comment)" xfId="1549"/>
    <cellStyle name="_SLS--bdg- Jan'07 (Comment) 2" xfId="1550"/>
    <cellStyle name="_SLS--bdg- Jan'07 (Comment) 3" xfId="1551"/>
    <cellStyle name="_SLS--bdg- Jan'07 (Comment) 4" xfId="1552"/>
    <cellStyle name="_SLS--bdg- Jan'07 (Comment) 5" xfId="1553"/>
    <cellStyle name="_SLS--bdg- Jan'07 (Comment) 6" xfId="1554"/>
    <cellStyle name="_SLS--bdg- Jan'07 (Comment) 7" xfId="1555"/>
    <cellStyle name="_SLS--bdg- Jan'07 (Comment) 8" xfId="1556"/>
    <cellStyle name="_SLS--bdg- Jan'07 (Comment) 9" xfId="1557"/>
    <cellStyle name="_SLS--bdg- Jan'07 (Comment)_AP 2009 Trip-Basis Moderate (Update Ferdi 1 November 2008)" xfId="1558"/>
    <cellStyle name="_SLS--bdg- Jan'07 (Comment)_Book1" xfId="1559"/>
    <cellStyle name="_SLS--bdg- Jan'07 (Comment)_Book1_Laporan Harian Dispatcher_2010_Heavy Truck" xfId="1560"/>
    <cellStyle name="_SLS--bdg- Jan'07 (Comment)_Book1_Laporan Harian Dispatcher_2010_Heavy Truck2" xfId="1561"/>
    <cellStyle name="_SLS--bdg- Jan'07 (Comment)_Book1_Laporan Harian Dispatcher_2010_Light Truck" xfId="1562"/>
    <cellStyle name="_SLS--bdg- Jan'07 (Comment)_Book1_Laporan Harian Dispatcher_2010_Light Truck_LHD" xfId="1563"/>
    <cellStyle name="_SLS--bdg- Jan'07 (Comment)_Book1_Laporan Harian Dispatcher_2010-11_Heavy Truck" xfId="1564"/>
    <cellStyle name="_SLS--bdg- Jan'07 (Comment)_Book1_Laporan Harian Dispatcher_2010-11_Light Truck" xfId="1565"/>
    <cellStyle name="_SLS--bdg- Jan'07 (Comment)_Book1_Laporan Harian Dispatcher_2010-11_Light Truck_LHD" xfId="1566"/>
    <cellStyle name="_SLS--bdg- Jan'07 (Comment)_Book1_LHD" xfId="1567"/>
    <cellStyle name="_SLS--bdg- Jan'07 (Comment)_Book1_LHD_2010-12_Heavy Truck" xfId="1568"/>
    <cellStyle name="_SLS--bdg- Jan'07 (Comment)_Book1_LHD_2010-12_Light Truck" xfId="1569"/>
    <cellStyle name="_SLS--bdg- Jan'07 (Comment)_Book1_LHD_2010-12_Light Truck_LHD" xfId="1570"/>
    <cellStyle name="_SLS--bdg- Jan'07 (Comment)_Book1_LHD_Heavy Truck 2011-01" xfId="1571"/>
    <cellStyle name="_SLS--bdg- Jan'07 (Comment)_Book1_PL Oktober" xfId="1572"/>
    <cellStyle name="_SLS--bdg- Jan'07 (Comment)_FINAL - Buku Saku3" xfId="1573"/>
    <cellStyle name="_SLS--bdg- Jan'07 (Comment)_lap  SerPo PNTK Des  08 (2)" xfId="1574"/>
    <cellStyle name="_SLS--bdg- Jan'07 (Comment)_lap  SerPo PNTK Des  08 (2)_LHD" xfId="1575"/>
    <cellStyle name="_SLS--bdg- Jan'07 (Comment)_lap  SerPo PNTK Des  08 (3)" xfId="1576"/>
    <cellStyle name="_SLS--bdg- Jan'07 (Comment)_lap  SerPo PNTK Des  08 (3)_LHD" xfId="1577"/>
    <cellStyle name="_SLS--bdg- Jan'07 (Comment)_lap  SerPo PNTK November  08" xfId="1578"/>
    <cellStyle name="_SLS--bdg- Jan'07 (Comment)_lap  SerPo PNTK November  08_LHD" xfId="1579"/>
    <cellStyle name="_SLS--bdg- Jan'07 (Comment)_LAP. STOCK MEI  2010" xfId="1580"/>
    <cellStyle name="_SLS--bdg- Jan'07 (Comment)_LHD" xfId="1581"/>
    <cellStyle name="_SLS--bdg- Jan'07 (Comment)_LSP Bali - November 2008 (5)" xfId="1582"/>
    <cellStyle name="_SLS--bdg- Jan'07 (Comment)_LSP Bali - November 2008 (5) 2" xfId="1583"/>
    <cellStyle name="_SLS--bdg- Jan'07 (Comment)_LSP Bali - November 2008 (5)_AP Logistic 2010 Konsolidasi (091110)" xfId="1584"/>
    <cellStyle name="_SLS--bdg- Jan'07 (Comment)_LSP Bali - November 2008 (5)_AP Logistic 2010 Konsolidasi (091111) 1830" xfId="1585"/>
    <cellStyle name="_SLS--bdg- Jan'07 (Comment)_LSP Bali - November 2008 (5)_AP Logistic 2010 Konsolidasi (091111) 2230" xfId="1586"/>
    <cellStyle name="_SLS--bdg- Jan'07 (Comment)_LSP Bali - November 2008 (5)_AP Logistic 2010 Konsolidasi (091115) 1830" xfId="1587"/>
    <cellStyle name="_SLS--bdg- Jan'07 (Comment)_LSP Bali - November 2008 (5)_AP Logistic 2010 Konsolidasi (091116) 1340" xfId="1588"/>
    <cellStyle name="_SLS--bdg- Jan'07 (Comment)_LSP Bali - November 2008 (5)_AP Logistic 2010 Konsolidasi (091116) 1700" xfId="1589"/>
    <cellStyle name="_SLS--bdg- Jan'07 (Comment)_LSP Bali - November 2008 (5)_FINAL - Buku Saku3" xfId="1590"/>
    <cellStyle name="_SLS--bdg- Jan'07 (Comment)_LSP Bali - November 2008 (5)_Laporan Harian Dispatcher_2010_Heavy Truck" xfId="1591"/>
    <cellStyle name="_SLS--bdg- Jan'07 (Comment)_LSP Bali - November 2008 (5)_Laporan Harian Dispatcher_2010_Heavy Truck2" xfId="1592"/>
    <cellStyle name="_SLS--bdg- Jan'07 (Comment)_LSP Bali - November 2008 (5)_Laporan Harian Dispatcher_2010_Light Truck" xfId="1593"/>
    <cellStyle name="_SLS--bdg- Jan'07 (Comment)_LSP Bali - November 2008 (5)_Laporan Harian Dispatcher_2010_Light Truck_LHD" xfId="1594"/>
    <cellStyle name="_SLS--bdg- Jan'07 (Comment)_LSP Bali - November 2008 (5)_Laporan Harian Dispatcher_2010-11_Heavy Truck" xfId="1595"/>
    <cellStyle name="_SLS--bdg- Jan'07 (Comment)_LSP Bali - November 2008 (5)_Laporan Harian Dispatcher_2010-11_Light Truck" xfId="1596"/>
    <cellStyle name="_SLS--bdg- Jan'07 (Comment)_LSP Bali - November 2008 (5)_Laporan Harian Dispatcher_2010-11_Light Truck_LHD" xfId="1597"/>
    <cellStyle name="_SLS--bdg- Jan'07 (Comment)_LSP Bali - November 2008 (5)_LHD" xfId="1598"/>
    <cellStyle name="_SLS--bdg- Jan'07 (Comment)_LSP Bali - November 2008 (5)_LHD_2010-12_Heavy Truck" xfId="1599"/>
    <cellStyle name="_SLS--bdg- Jan'07 (Comment)_LSP Bali - November 2008 (5)_LHD_2010-12_Light Truck" xfId="1600"/>
    <cellStyle name="_SLS--bdg- Jan'07 (Comment)_LSP Bali - November 2008 (5)_LHD_2010-12_Light Truck_LHD" xfId="1601"/>
    <cellStyle name="_SLS--bdg- Jan'07 (Comment)_LSP Bali - November 2008 (5)_LHD_Heavy Truck 2011-01" xfId="1602"/>
    <cellStyle name="_SLS--bdg- Jan'07 (Comment)_LSP Bali - November 2008 (5)_Performance Review 091112" xfId="1603"/>
    <cellStyle name="_SLS--bdg- Jan'07 (Comment)_LSP Bali - November 2008 (5)_PL Oktober" xfId="1604"/>
    <cellStyle name="_SLS--bdg- Jan'07 (Comment)_UIO April 27" xfId="1605"/>
    <cellStyle name="_SLS--bdg- Jan'07 (Comment)_UIO April 27_AP Logistic 2010 Konsolidasi (091110)" xfId="1606"/>
    <cellStyle name="_SLS--bdg- Jan'07 (Comment)_UIO April 27_AP Logistic 2010 Konsolidasi (091111) 1830" xfId="1607"/>
    <cellStyle name="_SLS--bdg- Jan'07 (Comment)_UIO April 27_AP Logistic 2010 Konsolidasi (091111) 2230" xfId="1608"/>
    <cellStyle name="_SLS--bdg- Jan'07 (Comment)_UIO April 27_AP Logistic 2010 Konsolidasi (091115) 1830" xfId="1609"/>
    <cellStyle name="_SLS--bdg- Jan'07 (Comment)_UIO April 27_AP Logistic 2010 Konsolidasi (091116) 1340" xfId="1610"/>
    <cellStyle name="_SLS--bdg- Jan'07 (Comment)_UIO April 27_AP Logistic 2010 Konsolidasi (091116) 1700" xfId="1611"/>
    <cellStyle name="_SLS--bdg- Jan'07 (Comment)_UIO April 27_Performance Review 091112" xfId="1612"/>
    <cellStyle name="_SLS-Progress'07-Mar" xfId="1613"/>
    <cellStyle name="_SLS-Progress'07-Mar 2" xfId="1614"/>
    <cellStyle name="_SLS-Progress'07-Mar 3" xfId="1615"/>
    <cellStyle name="_SLS-Progress'07-Mar 4" xfId="1616"/>
    <cellStyle name="_SLS-Progress'07-Mar 5" xfId="1617"/>
    <cellStyle name="_SLS-Progress'07-Mar 6" xfId="1618"/>
    <cellStyle name="_SLS-Progress'07-Mar 7" xfId="1619"/>
    <cellStyle name="_SLS-Progress'07-Mar 8" xfId="1620"/>
    <cellStyle name="_SLS-Progress'07-Mar_Book1" xfId="1621"/>
    <cellStyle name="_SLS-Progress'07-Mar_LHD" xfId="1622"/>
    <cellStyle name="_SLS-Progress'07-Mar_PL Oktober" xfId="1623"/>
    <cellStyle name="_SLS-Progress'07-Mar_Reimburst HO" xfId="1624"/>
    <cellStyle name="_SLS-Progress'07-Mar_Reimburst HO 2" xfId="1625"/>
    <cellStyle name="_SLS-Progress'07-Mar_Reimburst HO 3" xfId="1626"/>
    <cellStyle name="_SLS-Progress'07-Mar_Reimburst HO 4" xfId="1627"/>
    <cellStyle name="_SLS-Progress'07-Mar_Reimburst HO 5" xfId="1628"/>
    <cellStyle name="_SLS-Progress'07-Mar_Reimburst HO 6" xfId="1629"/>
    <cellStyle name="_SLS-Progress'07-Mar_Reimburst HO 7" xfId="1630"/>
    <cellStyle name="_SLS-Progress'07-Mar_Reimburst HO 8" xfId="1631"/>
    <cellStyle name="_SLS-Progress'07-Mar_Reimburst HO_LHD" xfId="1632"/>
    <cellStyle name="_Sulawesi Operation Performance Review 2007-Mei" xfId="1633"/>
    <cellStyle name="_Sulawesi Operation Performance Review 2007-Mei 2" xfId="1634"/>
    <cellStyle name="_Sulawesi Operation Performance Review 2007-Mei_AP Logistic 2010 Konsolidasi (091110)" xfId="1635"/>
    <cellStyle name="_Sulawesi Operation Performance Review 2007-Mei_AP Logistic 2010 Konsolidasi (091111) 1830" xfId="1636"/>
    <cellStyle name="_Sulawesi Operation Performance Review 2007-Mei_AP Logistic 2010 Konsolidasi (091111) 2230" xfId="1637"/>
    <cellStyle name="_Sulawesi Operation Performance Review 2007-Mei_AP Logistic 2010 Konsolidasi (091115) 1830" xfId="1638"/>
    <cellStyle name="_Sulawesi Operation Performance Review 2007-Mei_AP Logistic 2010 Konsolidasi (091116) 1340" xfId="1639"/>
    <cellStyle name="_Sulawesi Operation Performance Review 2007-Mei_AP Logistic 2010 Konsolidasi (091116) 1700" xfId="1640"/>
    <cellStyle name="_Sulawesi Operation Performance Review 2007-Mei_FINAL - Buku Saku3" xfId="1641"/>
    <cellStyle name="_Sulawesi Operation Performance Review 2007-Mei_Laporan Harian Dispatcher_2010_Heavy Truck" xfId="1642"/>
    <cellStyle name="_Sulawesi Operation Performance Review 2007-Mei_Laporan Harian Dispatcher_2010_Heavy Truck2" xfId="1643"/>
    <cellStyle name="_Sulawesi Operation Performance Review 2007-Mei_Laporan Harian Dispatcher_2010_Light Truck" xfId="1644"/>
    <cellStyle name="_Sulawesi Operation Performance Review 2007-Mei_Laporan Harian Dispatcher_2010_Light Truck_LHD" xfId="1645"/>
    <cellStyle name="_Sulawesi Operation Performance Review 2007-Mei_Laporan Harian Dispatcher_2010-11_Heavy Truck" xfId="1646"/>
    <cellStyle name="_Sulawesi Operation Performance Review 2007-Mei_Laporan Harian Dispatcher_2010-11_Light Truck" xfId="1647"/>
    <cellStyle name="_Sulawesi Operation Performance Review 2007-Mei_Laporan Harian Dispatcher_2010-11_Light Truck_LHD" xfId="1648"/>
    <cellStyle name="_Sulawesi Operation Performance Review 2007-Mei_LHD" xfId="1649"/>
    <cellStyle name="_Sulawesi Operation Performance Review 2007-Mei_LHD_2010-12_Heavy Truck" xfId="1650"/>
    <cellStyle name="_Sulawesi Operation Performance Review 2007-Mei_LHD_2010-12_Light Truck" xfId="1651"/>
    <cellStyle name="_Sulawesi Operation Performance Review 2007-Mei_LHD_2010-12_Light Truck_LHD" xfId="1652"/>
    <cellStyle name="_Sulawesi Operation Performance Review 2007-Mei_LHD_Heavy Truck 2011-01" xfId="1653"/>
    <cellStyle name="_Sulawesi Operation Performance Review 2007-Mei_Performance Review 091112" xfId="1654"/>
    <cellStyle name="_Sulawesi Operation Performance Review 2007-Mei_PL Oktober" xfId="1655"/>
    <cellStyle name="_TAGIHAN SEPTEMBER 09 JV012340-JV012529" xfId="1656"/>
    <cellStyle name="_TG-TH" xfId="1657"/>
    <cellStyle name="_TG-TH_1" xfId="1658"/>
    <cellStyle name="_TG-TH_1_BAO CAO KLCT PT2000" xfId="1659"/>
    <cellStyle name="_TG-TH_1_BAO CAO PT2000" xfId="1660"/>
    <cellStyle name="_TG-TH_1_BAO CAO PT2000_Book1" xfId="1661"/>
    <cellStyle name="_TG-TH_1_Bao cao XDCB 2001 - T11 KH dieu chinh 20-11-THAI" xfId="1662"/>
    <cellStyle name="_TG-TH_1_Book1" xfId="1663"/>
    <cellStyle name="_TG-TH_1_Book1_1" xfId="1664"/>
    <cellStyle name="_TG-TH_1_Book1_2" xfId="1665"/>
    <cellStyle name="_TG-TH_1_Book1_3" xfId="1666"/>
    <cellStyle name="_TG-TH_1_Book1_3_Book1" xfId="1667"/>
    <cellStyle name="_TG-TH_1_Book1_3_MENU" xfId="1668"/>
    <cellStyle name="_TG-TH_1_Book1_BC-QT-WB-dthao" xfId="1669"/>
    <cellStyle name="_TG-TH_1_Book1_Book1" xfId="1670"/>
    <cellStyle name="_TG-TH_1_Book1_Intimex-2007" xfId="1671"/>
    <cellStyle name="_TG-TH_1_Book1_TH KE" xfId="1672"/>
    <cellStyle name="_TG-TH_1_Book1_THU CHI TIEN" xfId="1673"/>
    <cellStyle name="_TG-TH_1_Book1_TKE" xfId="1674"/>
    <cellStyle name="_TG-TH_1_DTCDT MR.2N110.HOCMON.TDTOAN.CCUNG" xfId="1675"/>
    <cellStyle name="_TG-TH_1_Giai Doan 3 Hong Ngu" xfId="1676"/>
    <cellStyle name="_TG-TH_1_Intimex-2007" xfId="1677"/>
    <cellStyle name="_TG-TH_1_Lora-tungchau" xfId="1678"/>
    <cellStyle name="_TG-TH_1_PGIA-phieu tham tra Kho bac" xfId="1679"/>
    <cellStyle name="_TG-TH_1_PT02-02" xfId="1680"/>
    <cellStyle name="_TG-TH_1_PT02-02_Book1" xfId="1681"/>
    <cellStyle name="_TG-TH_1_PT02-03" xfId="1682"/>
    <cellStyle name="_TG-TH_1_PT02-03_Book1" xfId="1683"/>
    <cellStyle name="_TG-TH_1_Qt-HT3PQ1(CauKho)" xfId="1684"/>
    <cellStyle name="_TG-TH_1_TH KE" xfId="1685"/>
    <cellStyle name="_TG-TH_1_TH KE_Book1" xfId="1686"/>
    <cellStyle name="_TG-TH_1_TH KE_MENU" xfId="1687"/>
    <cellStyle name="_TG-TH_1_THU CHI TIEN" xfId="1688"/>
    <cellStyle name="_TG-TH_1_TKE" xfId="1689"/>
    <cellStyle name="_TG-TH_2" xfId="1690"/>
    <cellStyle name="_TG-TH_2_BAO CAO KLCT PT2000" xfId="1691"/>
    <cellStyle name="_TG-TH_2_BAO CAO PT2000" xfId="1692"/>
    <cellStyle name="_TG-TH_2_BAO CAO PT2000_Book1" xfId="1693"/>
    <cellStyle name="_TG-TH_2_Bao cao XDCB 2001 - T11 KH dieu chinh 20-11-THAI" xfId="1694"/>
    <cellStyle name="_TG-TH_2_Book1" xfId="1695"/>
    <cellStyle name="_TG-TH_2_Book1_1" xfId="1696"/>
    <cellStyle name="_TG-TH_2_Book1_2" xfId="1697"/>
    <cellStyle name="_TG-TH_2_Book1_3" xfId="1698"/>
    <cellStyle name="_TG-TH_2_Book1_3_Book1" xfId="1699"/>
    <cellStyle name="_TG-TH_2_Book1_3_MENU" xfId="1700"/>
    <cellStyle name="_TG-TH_2_Book1_Book1" xfId="1701"/>
    <cellStyle name="_TG-TH_2_Book1_Intimex-2007" xfId="1702"/>
    <cellStyle name="_TG-TH_2_Book1_TH KE" xfId="1703"/>
    <cellStyle name="_TG-TH_2_Book1_THU CHI TIEN" xfId="1704"/>
    <cellStyle name="_TG-TH_2_Book1_TKE" xfId="1705"/>
    <cellStyle name="_TG-TH_2_DTCDT MR.2N110.HOCMON.TDTOAN.CCUNG" xfId="1706"/>
    <cellStyle name="_TG-TH_2_Giai Doan 3 Hong Ngu" xfId="1707"/>
    <cellStyle name="_TG-TH_2_Intimex-2007" xfId="1708"/>
    <cellStyle name="_TG-TH_2_Lora-tungchau" xfId="1709"/>
    <cellStyle name="_TG-TH_2_PGIA-phieu tham tra Kho bac" xfId="1710"/>
    <cellStyle name="_TG-TH_2_PT02-02" xfId="1711"/>
    <cellStyle name="_TG-TH_2_PT02-02_Book1" xfId="1712"/>
    <cellStyle name="_TG-TH_2_PT02-03" xfId="1713"/>
    <cellStyle name="_TG-TH_2_PT02-03_Book1" xfId="1714"/>
    <cellStyle name="_TG-TH_2_Qt-HT3PQ1(CauKho)" xfId="1715"/>
    <cellStyle name="_TG-TH_2_TH KE" xfId="1716"/>
    <cellStyle name="_TG-TH_2_TH KE_Book1" xfId="1717"/>
    <cellStyle name="_TG-TH_2_TH KE_MENU" xfId="1718"/>
    <cellStyle name="_TG-TH_2_THU CHI TIEN" xfId="1719"/>
    <cellStyle name="_TG-TH_2_TKE" xfId="1720"/>
    <cellStyle name="_TG-TH_3" xfId="1721"/>
    <cellStyle name="_TG-TH_3_Lora-tungchau" xfId="1722"/>
    <cellStyle name="_TG-TH_3_Qt-HT3PQ1(CauKho)" xfId="1723"/>
    <cellStyle name="_TG-TH_4" xfId="1724"/>
    <cellStyle name="_UIO 31 Agustus 2007" xfId="1725"/>
    <cellStyle name="_UIO 31 Agustus 2007 2" xfId="1726"/>
    <cellStyle name="_UIO 31 Agustus 2007 3" xfId="1727"/>
    <cellStyle name="_UIO 31 Agustus 2007 4" xfId="1728"/>
    <cellStyle name="_UIO 31 Agustus 2007 5" xfId="1729"/>
    <cellStyle name="_UIO 31 Agustus 2007 6" xfId="1730"/>
    <cellStyle name="_UIO 31 Agustus 2007 7" xfId="1731"/>
    <cellStyle name="_UIO 31 Agustus 2007 8" xfId="1732"/>
    <cellStyle name="_UIO 31 Agustus 2007_Book1" xfId="1733"/>
    <cellStyle name="_UIO 31 Agustus 2007_LHD" xfId="1734"/>
    <cellStyle name="_UIO 31 Agustus 2007_PL Oktober" xfId="1735"/>
    <cellStyle name="_UIO 31 Agustus 2007_Reimburst HO" xfId="1736"/>
    <cellStyle name="_UIO 31 Agustus 2007_Reimburst HO 2" xfId="1737"/>
    <cellStyle name="_UIO 31 Agustus 2007_Reimburst HO 3" xfId="1738"/>
    <cellStyle name="_UIO 31 Agustus 2007_Reimburst HO 4" xfId="1739"/>
    <cellStyle name="_UIO 31 Agustus 2007_Reimburst HO 5" xfId="1740"/>
    <cellStyle name="_UIO 31 Agustus 2007_Reimburst HO 6" xfId="1741"/>
    <cellStyle name="_UIO 31 Agustus 2007_Reimburst HO 7" xfId="1742"/>
    <cellStyle name="_UIO 31 Agustus 2007_Reimburst HO 8" xfId="1743"/>
    <cellStyle name="_UIO 31 Agustus 2007_Reimburst HO_LHD" xfId="1744"/>
    <cellStyle name="_UIO Agustus 2007" xfId="1745"/>
    <cellStyle name="_UIO Agustus 2007 2" xfId="1746"/>
    <cellStyle name="_UIO Agustus 2007 3" xfId="1747"/>
    <cellStyle name="_UIO Agustus 2007 4" xfId="1748"/>
    <cellStyle name="_UIO Agustus 2007 5" xfId="1749"/>
    <cellStyle name="_UIO Agustus 2007 6" xfId="1750"/>
    <cellStyle name="_UIO Agustus 2007 7" xfId="1751"/>
    <cellStyle name="_UIO Agustus 2007 8" xfId="1752"/>
    <cellStyle name="_UIO Agustus 2007_Book1" xfId="1753"/>
    <cellStyle name="_UIO Agustus 2007_LHD" xfId="1754"/>
    <cellStyle name="_UIO Agustus 2007_PL Oktober" xfId="1755"/>
    <cellStyle name="_UIO Agustus 2007_Reimburst HO" xfId="1756"/>
    <cellStyle name="_UIO Agustus 2007_Reimburst HO 2" xfId="1757"/>
    <cellStyle name="_UIO Agustus 2007_Reimburst HO 3" xfId="1758"/>
    <cellStyle name="_UIO Agustus 2007_Reimburst HO 4" xfId="1759"/>
    <cellStyle name="_UIO Agustus 2007_Reimburst HO 5" xfId="1760"/>
    <cellStyle name="_UIO Agustus 2007_Reimburst HO 6" xfId="1761"/>
    <cellStyle name="_UIO Agustus 2007_Reimburst HO 7" xfId="1762"/>
    <cellStyle name="_UIO Agustus 2007_Reimburst HO 8" xfId="1763"/>
    <cellStyle name="_UIO Agustus 2007_Reimburst HO_LHD" xfId="1764"/>
    <cellStyle name="_UIO Jakarta Desember 08" xfId="1765"/>
    <cellStyle name="_UIO Jakarta Desember 08_AP Logistic 2010 Konsolidasi (091110)" xfId="1766"/>
    <cellStyle name="_UIO Jakarta Desember 08_AP Logistic 2010 Konsolidasi (091111) 1830" xfId="1767"/>
    <cellStyle name="_UIO Jakarta Desember 08_AP Logistic 2010 Konsolidasi (091111) 2230" xfId="1768"/>
    <cellStyle name="_UIO Jakarta Desember 08_AP Logistic 2010 Konsolidasi (091115) 1830" xfId="1769"/>
    <cellStyle name="_UIO Jakarta Desember 08_AP Logistic 2010 Konsolidasi (091116) 1340" xfId="1770"/>
    <cellStyle name="_UIO Jakarta Desember 08_AP Logistic 2010 Konsolidasi (091116) 1700" xfId="1771"/>
    <cellStyle name="_UIO Jakarta Desember 08_LHD" xfId="1772"/>
    <cellStyle name="_UIO Jakarta Desember 08_Performance Review 091112" xfId="1773"/>
    <cellStyle name="_UIO Jan 2007 Reconsile" xfId="1774"/>
    <cellStyle name="_UIO Jan 2007 Reconsile 2" xfId="1775"/>
    <cellStyle name="_UIO Jan 2007 Reconsile 3" xfId="1776"/>
    <cellStyle name="_UIO Jan 2007 Reconsile 4" xfId="1777"/>
    <cellStyle name="_UIO Jan 2007 Reconsile 5" xfId="1778"/>
    <cellStyle name="_UIO Jan 2007 Reconsile 6" xfId="1779"/>
    <cellStyle name="_UIO Jan 2007 Reconsile 7" xfId="1780"/>
    <cellStyle name="_UIO Jan 2007 Reconsile 8" xfId="1781"/>
    <cellStyle name="_UIO Jan 2007 Reconsile_12 Laporan Stock Pool MKS Desember 2008 (2)" xfId="1782"/>
    <cellStyle name="_UIO Jan 2007 Reconsile_12 Laporan Stock Pool MKS Desember 2008 (2)_AP Logistic 2010 Konsolidasi (091110)" xfId="1783"/>
    <cellStyle name="_UIO Jan 2007 Reconsile_12 Laporan Stock Pool MKS Desember 2008 (2)_AP Logistic 2010 Konsolidasi (091111) 1830" xfId="1784"/>
    <cellStyle name="_UIO Jan 2007 Reconsile_12 Laporan Stock Pool MKS Desember 2008 (2)_AP Logistic 2010 Konsolidasi (091111) 2230" xfId="1785"/>
    <cellStyle name="_UIO Jan 2007 Reconsile_12 Laporan Stock Pool MKS Desember 2008 (2)_AP Logistic 2010 Konsolidasi (091115) 1830" xfId="1786"/>
    <cellStyle name="_UIO Jan 2007 Reconsile_12 Laporan Stock Pool MKS Desember 2008 (2)_AP Logistic 2010 Konsolidasi (091116) 1340" xfId="1787"/>
    <cellStyle name="_UIO Jan 2007 Reconsile_12 Laporan Stock Pool MKS Desember 2008 (2)_AP Logistic 2010 Konsolidasi (091116) 1700" xfId="1788"/>
    <cellStyle name="_UIO Jan 2007 Reconsile_12 Laporan Stock Pool MKS Desember 2008 (2)_LHD" xfId="1789"/>
    <cellStyle name="_UIO Jan 2007 Reconsile_12 Laporan Stock Pool MKS Desember 2008 (2)_Performance Review 091112" xfId="1790"/>
    <cellStyle name="_UIO Jan 2007 Reconsile_AP Logistic 2010 Konsolidasi (091110)" xfId="1791"/>
    <cellStyle name="_UIO Jan 2007 Reconsile_AP Logistic 2010 Konsolidasi (091111) 1830" xfId="1792"/>
    <cellStyle name="_UIO Jan 2007 Reconsile_AP Logistic 2010 Konsolidasi (091111) 2230" xfId="1793"/>
    <cellStyle name="_UIO Jan 2007 Reconsile_AP Logistic 2010 Konsolidasi (091115) 1830" xfId="1794"/>
    <cellStyle name="_UIO Jan 2007 Reconsile_AP Logistic 2010 Konsolidasi (091116) 1340" xfId="1795"/>
    <cellStyle name="_UIO Jan 2007 Reconsile_AP Logistic 2010 Konsolidasi (091116) 1700" xfId="1796"/>
    <cellStyle name="_UIO Jan 2007 Reconsile_Book1" xfId="1797"/>
    <cellStyle name="_UIO Jan 2007 Reconsile_lap  SerPo PNTK Des  08 (2)" xfId="1798"/>
    <cellStyle name="_UIO Jan 2007 Reconsile_lap  SerPo PNTK Des  08 (3)" xfId="1799"/>
    <cellStyle name="_UIO Jan 2007 Reconsile_lap  SerPo PNTK November  08" xfId="1800"/>
    <cellStyle name="_UIO Jan 2007 Reconsile_LHD" xfId="1801"/>
    <cellStyle name="_UIO Jan 2007 Reconsile_Performance Review 091112" xfId="1802"/>
    <cellStyle name="_UIO Jan 2007 Reconsile_Reimburst HO" xfId="1803"/>
    <cellStyle name="_UIO Jan 2007 Reconsile_Reimburst HO 2" xfId="1804"/>
    <cellStyle name="_UIO Jan 2007 Reconsile_Reimburst HO 3" xfId="1805"/>
    <cellStyle name="_UIO Jan 2007 Reconsile_Reimburst HO 4" xfId="1806"/>
    <cellStyle name="_UIO Jan 2007 Reconsile_Reimburst HO 5" xfId="1807"/>
    <cellStyle name="_UIO Jan 2007 Reconsile_Reimburst HO 6" xfId="1808"/>
    <cellStyle name="_UIO Jan 2007 Reconsile_Reimburst HO 7" xfId="1809"/>
    <cellStyle name="_UIO Jan 2007 Reconsile_Reimburst HO 8" xfId="1810"/>
    <cellStyle name="_UIO Jan 2007 Reconsile_Reimburst HO_LHD" xfId="1811"/>
    <cellStyle name="_UIO Januari 07." xfId="1812"/>
    <cellStyle name="_UIO Januari 07. 2" xfId="1813"/>
    <cellStyle name="_UIO Januari 07. 3" xfId="1814"/>
    <cellStyle name="_UIO Januari 07. 4" xfId="1815"/>
    <cellStyle name="_UIO Januari 07. 5" xfId="1816"/>
    <cellStyle name="_UIO Januari 07. 6" xfId="1817"/>
    <cellStyle name="_UIO Januari 07. 7" xfId="1818"/>
    <cellStyle name="_UIO Januari 07. 8" xfId="1819"/>
    <cellStyle name="_UIO Januari 07._12 Laporan Stock Pool MKS Desember 2008 (2)" xfId="1820"/>
    <cellStyle name="_UIO Januari 07._12 Laporan Stock Pool MKS Desember 2008 (2)_AP Logistic 2010 Konsolidasi (091110)" xfId="1821"/>
    <cellStyle name="_UIO Januari 07._12 Laporan Stock Pool MKS Desember 2008 (2)_AP Logistic 2010 Konsolidasi (091111) 1830" xfId="1822"/>
    <cellStyle name="_UIO Januari 07._12 Laporan Stock Pool MKS Desember 2008 (2)_AP Logistic 2010 Konsolidasi (091111) 2230" xfId="1823"/>
    <cellStyle name="_UIO Januari 07._12 Laporan Stock Pool MKS Desember 2008 (2)_AP Logistic 2010 Konsolidasi (091115) 1830" xfId="1824"/>
    <cellStyle name="_UIO Januari 07._12 Laporan Stock Pool MKS Desember 2008 (2)_AP Logistic 2010 Konsolidasi (091116) 1340" xfId="1825"/>
    <cellStyle name="_UIO Januari 07._12 Laporan Stock Pool MKS Desember 2008 (2)_AP Logistic 2010 Konsolidasi (091116) 1700" xfId="1826"/>
    <cellStyle name="_UIO Januari 07._12 Laporan Stock Pool MKS Desember 2008 (2)_LHD" xfId="1827"/>
    <cellStyle name="_UIO Januari 07._12 Laporan Stock Pool MKS Desember 2008 (2)_Performance Review 091112" xfId="1828"/>
    <cellStyle name="_UIO Januari 07._5. Reminder Service Samarinda" xfId="1829"/>
    <cellStyle name="_UIO Januari 07._5. Reminder Service Samarinda 2" xfId="1830"/>
    <cellStyle name="_UIO Januari 07._5. Reminder Service Samarinda 3" xfId="1831"/>
    <cellStyle name="_UIO Januari 07._5. Reminder Service Samarinda 4" xfId="1832"/>
    <cellStyle name="_UIO Januari 07._5. Reminder Service Samarinda 5" xfId="1833"/>
    <cellStyle name="_UIO Januari 07._5. Reminder Service Samarinda 6" xfId="1834"/>
    <cellStyle name="_UIO Januari 07._5. Reminder Service Samarinda 7" xfId="1835"/>
    <cellStyle name="_UIO Januari 07._5. Reminder Service Samarinda 8" xfId="1836"/>
    <cellStyle name="_UIO Januari 07._5. Reminder Service Samarinda_LHD" xfId="1837"/>
    <cellStyle name="_UIO Januari 07._5. Reminder Service Samarinda_Reimburst HO" xfId="1838"/>
    <cellStyle name="_UIO Januari 07._5. Reminder Service Samarinda_Reimburst HO 2" xfId="1839"/>
    <cellStyle name="_UIO Januari 07._5. Reminder Service Samarinda_Reimburst HO 3" xfId="1840"/>
    <cellStyle name="_UIO Januari 07._5. Reminder Service Samarinda_Reimburst HO 4" xfId="1841"/>
    <cellStyle name="_UIO Januari 07._5. Reminder Service Samarinda_Reimburst HO 5" xfId="1842"/>
    <cellStyle name="_UIO Januari 07._5. Reminder Service Samarinda_Reimburst HO 6" xfId="1843"/>
    <cellStyle name="_UIO Januari 07._5. Reminder Service Samarinda_Reimburst HO 7" xfId="1844"/>
    <cellStyle name="_UIO Januari 07._5. Reminder Service Samarinda_Reimburst HO 8" xfId="1845"/>
    <cellStyle name="_UIO Januari 07._5. Reminder Service Samarinda_Reimburst HO_LHD" xfId="1846"/>
    <cellStyle name="_UIO Januari 07._AP Logistic 2010 Konsolidasi (091110)" xfId="1847"/>
    <cellStyle name="_UIO Januari 07._AP Logistic 2010 Konsolidasi (091111) 1830" xfId="1848"/>
    <cellStyle name="_UIO Januari 07._AP Logistic 2010 Konsolidasi (091111) 2230" xfId="1849"/>
    <cellStyle name="_UIO Januari 07._AP Logistic 2010 Konsolidasi (091115) 1830" xfId="1850"/>
    <cellStyle name="_UIO Januari 07._AP Logistic 2010 Konsolidasi (091116) 1340" xfId="1851"/>
    <cellStyle name="_UIO Januari 07._AP Logistic 2010 Konsolidasi (091116) 1700" xfId="1852"/>
    <cellStyle name="_UIO Januari 07._Book1" xfId="1853"/>
    <cellStyle name="_UIO Januari 07._lap  SerPo PNTK Des  08 (2)" xfId="1854"/>
    <cellStyle name="_UIO Januari 07._lap  SerPo PNTK Des  08 (3)" xfId="1855"/>
    <cellStyle name="_UIO Januari 07._lap  SerPo PNTK November  08" xfId="1856"/>
    <cellStyle name="_UIO Januari 07._LHD" xfId="1857"/>
    <cellStyle name="_UIO Januari 07._Performance Review 091112" xfId="1858"/>
    <cellStyle name="_UIO Januari 07._Reimburst HO" xfId="1859"/>
    <cellStyle name="_UIO Januari 07._Reimburst HO 2" xfId="1860"/>
    <cellStyle name="_UIO Januari 07._Reimburst HO 3" xfId="1861"/>
    <cellStyle name="_UIO Januari 07._Reimburst HO 4" xfId="1862"/>
    <cellStyle name="_UIO Januari 07._Reimburst HO 5" xfId="1863"/>
    <cellStyle name="_UIO Januari 07._Reimburst HO 6" xfId="1864"/>
    <cellStyle name="_UIO Januari 07._Reimburst HO 7" xfId="1865"/>
    <cellStyle name="_UIO Januari 07._Reimburst HO 8" xfId="1866"/>
    <cellStyle name="_UIO Januari 07._Reimburst HO_LHD" xfId="1867"/>
    <cellStyle name="_UIO Makassar 2008" xfId="1868"/>
    <cellStyle name="_UIO Makassar 2008_12 Laporan Stock Pool MKS Desember 2008 (2)" xfId="1869"/>
    <cellStyle name="_UIO Makassar 2008_12 Laporan Stock Pool MKS Desember 2008 (2)_AP Logistic 2010 Konsolidasi (091110)" xfId="1870"/>
    <cellStyle name="_UIO Makassar 2008_12 Laporan Stock Pool MKS Desember 2008 (2)_AP Logistic 2010 Konsolidasi (091111) 1830" xfId="1871"/>
    <cellStyle name="_UIO Makassar 2008_12 Laporan Stock Pool MKS Desember 2008 (2)_AP Logistic 2010 Konsolidasi (091111) 2230" xfId="1872"/>
    <cellStyle name="_UIO Makassar 2008_12 Laporan Stock Pool MKS Desember 2008 (2)_AP Logistic 2010 Konsolidasi (091115) 1830" xfId="1873"/>
    <cellStyle name="_UIO Makassar 2008_12 Laporan Stock Pool MKS Desember 2008 (2)_AP Logistic 2010 Konsolidasi (091116) 1340" xfId="1874"/>
    <cellStyle name="_UIO Makassar 2008_12 Laporan Stock Pool MKS Desember 2008 (2)_AP Logistic 2010 Konsolidasi (091116) 1700" xfId="1875"/>
    <cellStyle name="_UIO Makassar 2008_12 Laporan Stock Pool MKS Desember 2008 (2)_LHD" xfId="1876"/>
    <cellStyle name="_UIO Makassar 2008_12 Laporan Stock Pool MKS Desember 2008 (2)_Performance Review 091112" xfId="1877"/>
    <cellStyle name="_UIO Makassar 2008_AP Logistic 2010 Konsolidasi (091110)" xfId="1878"/>
    <cellStyle name="_UIO Makassar 2008_AP Logistic 2010 Konsolidasi (091111) 1830" xfId="1879"/>
    <cellStyle name="_UIO Makassar 2008_AP Logistic 2010 Konsolidasi (091111) 2230" xfId="1880"/>
    <cellStyle name="_UIO Makassar 2008_AP Logistic 2010 Konsolidasi (091115) 1830" xfId="1881"/>
    <cellStyle name="_UIO Makassar 2008_AP Logistic 2010 Konsolidasi (091116) 1340" xfId="1882"/>
    <cellStyle name="_UIO Makassar 2008_AP Logistic 2010 Konsolidasi (091116) 1700" xfId="1883"/>
    <cellStyle name="_UIO Makassar 2008_LHD" xfId="1884"/>
    <cellStyle name="_UIO Makassar 2008_Performance Review 091112" xfId="1885"/>
    <cellStyle name="_Unit Baru 2008" xfId="1886"/>
    <cellStyle name="_Unit Baru 2008_AP Logistic 2010 Konsolidasi (091110)" xfId="1887"/>
    <cellStyle name="_Unit Baru 2008_AP Logistic 2010 Konsolidasi (091111) 1830" xfId="1888"/>
    <cellStyle name="_Unit Baru 2008_AP Logistic 2010 Konsolidasi (091111) 2230" xfId="1889"/>
    <cellStyle name="_Unit Baru 2008_AP Logistic 2010 Konsolidasi (091115) 1830" xfId="1890"/>
    <cellStyle name="_Unit Baru 2008_AP Logistic 2010 Konsolidasi (091116) 1340" xfId="1891"/>
    <cellStyle name="_Unit Baru 2008_AP Logistic 2010 Konsolidasi (091116) 1700" xfId="1892"/>
    <cellStyle name="_Unit Baru 2008_LHD" xfId="1893"/>
    <cellStyle name="_Unit Baru 2008_Performance Review 091112" xfId="1894"/>
    <cellStyle name="_Worksheet in C: DOCUME~1 NGUYEN~1 LOCALS~1 Temp notes8F0C36 ~6796529" xfId="1895"/>
    <cellStyle name="_x005f_x0001_" xfId="1896"/>
    <cellStyle name="’?‰? [0.00]_currentKC GL" xfId="1897"/>
    <cellStyle name="’?‰?_currentKC GL" xfId="1898"/>
    <cellStyle name="’E]Y [0.00]_Ladder Report" xfId="1899"/>
    <cellStyle name="’E］Y [0.00]_Ladder Report" xfId="1900"/>
    <cellStyle name="’E]Y_Ladder Report" xfId="1901"/>
    <cellStyle name="’E］Y_Ladder Report" xfId="1902"/>
    <cellStyle name="’E・Y [0.00]_currentKC GL" xfId="1903"/>
    <cellStyle name="’E・Y_currentKC GL" xfId="1904"/>
    <cellStyle name="’Ê‰Ý [0.00]_01MY Value Cost Study" xfId="1905"/>
    <cellStyle name="’E‰Y [0.00]_currentKC GLRG" xfId="1906"/>
    <cellStyle name="’Ê‰Ý [0.00]_NNA_serv_fee" xfId="1907"/>
    <cellStyle name="’E‰Y [0.00]_Packages and Options (2)" xfId="1908"/>
    <cellStyle name="’Ê‰Ý [0.00]_Sheet1" xfId="1909"/>
    <cellStyle name="’Ê‰Ý_01MY Value Cost Study" xfId="1910"/>
    <cellStyle name="’E‰Y_currentKC GLnt" xfId="1911"/>
    <cellStyle name="’Ê‰Ý_NNA_serv_fee" xfId="1912"/>
    <cellStyle name="’E‰Y_Read me first" xfId="1913"/>
    <cellStyle name="・・ [0.00]_127・予算・（経営・・）" xfId="1914"/>
    <cellStyle name="・・_127・予算・（経営・・）" xfId="1915"/>
    <cellStyle name="•\Ž¦Ï‚Ý‚ÌƒnƒCƒp[ƒŠƒ“ƒN" xfId="1916"/>
    <cellStyle name="•W€_•ÏX“_—v–ñ" xfId="1917"/>
    <cellStyle name="??_Sheet1" xfId="1918"/>
    <cellStyle name="\¦ÏÝÌnCp[N" xfId="1919"/>
    <cellStyle name="¢è`" xfId="1920"/>
    <cellStyle name="æØè [0.00]_Sheet1" xfId="1921"/>
    <cellStyle name="æØè_Sheet1" xfId="1922"/>
    <cellStyle name="EE [0.00]_127E\ZEiocEEj" xfId="1923"/>
    <cellStyle name="EE_127E\ZEiocEEj" xfId="1924"/>
    <cellStyle name="ÊÝ [0.00]_127ã\ZÄiocéæj" xfId="1925"/>
    <cellStyle name="ÊÝ_127ã\ZÄiocéæj" xfId="1926"/>
    <cellStyle name="fEEY [0.00]_currentKC GL" xfId="1927"/>
    <cellStyle name="fEEY_currentKC GL" xfId="1928"/>
    <cellStyle name="fEñY [0.00]_?`?p?O???Lñ??\" xfId="1929"/>
    <cellStyle name="fEñY_?`?p?O???Lñ??\" xfId="1930"/>
    <cellStyle name="nCp[N" xfId="1931"/>
    <cellStyle name="W_¢P¿" xfId="1932"/>
    <cellStyle name="0,0_x000d__x000a_NA_x000d__x000a_" xfId="1933"/>
    <cellStyle name="0,0_x000d__x000a_NA_x000d__x000a_ 2" xfId="1934"/>
    <cellStyle name="0,0_x000d__x000a_NA_x000d__x000a__UIO New Logistic" xfId="1935"/>
    <cellStyle name="0,0_x005f_x000d__x005f_x000a_NA_x005f_x000d__x005f_x000a_" xfId="1936"/>
    <cellStyle name="1" xfId="1937"/>
    <cellStyle name="¹éºÐÀ²_±âÅ¸" xfId="1938"/>
    <cellStyle name="2" xfId="1939"/>
    <cellStyle name="20 % - Accent1" xfId="1940"/>
    <cellStyle name="20 % - Accent2" xfId="1941"/>
    <cellStyle name="20 % - Accent3" xfId="1942"/>
    <cellStyle name="20 % - Accent4" xfId="1943"/>
    <cellStyle name="20 % - Accent5" xfId="1944"/>
    <cellStyle name="20 % - Accent6" xfId="1945"/>
    <cellStyle name="20% - Accent1 1" xfId="1946"/>
    <cellStyle name="20% - Accent1 10 2" xfId="1947"/>
    <cellStyle name="20% - Accent1 10 3" xfId="1948"/>
    <cellStyle name="20% - Accent1 10 4" xfId="1949"/>
    <cellStyle name="20% - Accent1 11 2" xfId="1950"/>
    <cellStyle name="20% - Accent1 11 3" xfId="1951"/>
    <cellStyle name="20% - Accent1 11 4" xfId="1952"/>
    <cellStyle name="20% - Accent1 12 2" xfId="1953"/>
    <cellStyle name="20% - Accent1 12 3" xfId="1954"/>
    <cellStyle name="20% - Accent1 12 4" xfId="1955"/>
    <cellStyle name="20% - Accent1 13 2" xfId="1956"/>
    <cellStyle name="20% - Accent1 13 3" xfId="1957"/>
    <cellStyle name="20% - Accent1 13 4" xfId="1958"/>
    <cellStyle name="20% - Accent1 14 2" xfId="1959"/>
    <cellStyle name="20% - Accent1 14 3" xfId="1960"/>
    <cellStyle name="20% - Accent1 14 4" xfId="1961"/>
    <cellStyle name="20% - Accent1 15 2" xfId="1962"/>
    <cellStyle name="20% - Accent1 15 3" xfId="1963"/>
    <cellStyle name="20% - Accent1 15 4" xfId="1964"/>
    <cellStyle name="20% - Accent1 16 2" xfId="1965"/>
    <cellStyle name="20% - Accent1 16 3" xfId="1966"/>
    <cellStyle name="20% - Accent1 16 4" xfId="1967"/>
    <cellStyle name="20% - Accent1 17 2" xfId="1968"/>
    <cellStyle name="20% - Accent1 17 3" xfId="1969"/>
    <cellStyle name="20% - Accent1 17 4" xfId="1970"/>
    <cellStyle name="20% - Accent1 2" xfId="1971"/>
    <cellStyle name="20% - Accent1 2 2" xfId="1972"/>
    <cellStyle name="20% - Accent1 2 3" xfId="1973"/>
    <cellStyle name="20% - Accent1 2 4" xfId="1974"/>
    <cellStyle name="20% - Accent1 3" xfId="1975"/>
    <cellStyle name="20% - Accent1 3 2" xfId="1976"/>
    <cellStyle name="20% - Accent1 3 3" xfId="1977"/>
    <cellStyle name="20% - Accent1 3 4" xfId="1978"/>
    <cellStyle name="20% - Accent1 4" xfId="1979"/>
    <cellStyle name="20% - Accent1 4 2" xfId="1980"/>
    <cellStyle name="20% - Accent1 4 3" xfId="1981"/>
    <cellStyle name="20% - Accent1 4 4" xfId="1982"/>
    <cellStyle name="20% - Accent1 5" xfId="1983"/>
    <cellStyle name="20% - Accent1 5 2" xfId="1984"/>
    <cellStyle name="20% - Accent1 5 3" xfId="1985"/>
    <cellStyle name="20% - Accent1 5 4" xfId="1986"/>
    <cellStyle name="20% - Accent1 6" xfId="1987"/>
    <cellStyle name="20% - Accent1 6 2" xfId="1988"/>
    <cellStyle name="20% - Accent1 6 3" xfId="1989"/>
    <cellStyle name="20% - Accent1 6 4" xfId="1990"/>
    <cellStyle name="20% - Accent1 7" xfId="1991"/>
    <cellStyle name="20% - Accent1 7 2" xfId="1992"/>
    <cellStyle name="20% - Accent1 7 3" xfId="1993"/>
    <cellStyle name="20% - Accent1 7 4" xfId="1994"/>
    <cellStyle name="20% - Accent1 8 2" xfId="1995"/>
    <cellStyle name="20% - Accent1 8 3" xfId="1996"/>
    <cellStyle name="20% - Accent1 8 4" xfId="1997"/>
    <cellStyle name="20% - Accent1 9 2" xfId="1998"/>
    <cellStyle name="20% - Accent1 9 3" xfId="1999"/>
    <cellStyle name="20% - Accent1 9 4" xfId="2000"/>
    <cellStyle name="20% - Accent2 1" xfId="2001"/>
    <cellStyle name="20% - Accent2 10 2" xfId="2002"/>
    <cellStyle name="20% - Accent2 10 3" xfId="2003"/>
    <cellStyle name="20% - Accent2 10 4" xfId="2004"/>
    <cellStyle name="20% - Accent2 11 2" xfId="2005"/>
    <cellStyle name="20% - Accent2 11 3" xfId="2006"/>
    <cellStyle name="20% - Accent2 11 4" xfId="2007"/>
    <cellStyle name="20% - Accent2 12 2" xfId="2008"/>
    <cellStyle name="20% - Accent2 12 3" xfId="2009"/>
    <cellStyle name="20% - Accent2 12 4" xfId="2010"/>
    <cellStyle name="20% - Accent2 13 2" xfId="2011"/>
    <cellStyle name="20% - Accent2 13 3" xfId="2012"/>
    <cellStyle name="20% - Accent2 13 4" xfId="2013"/>
    <cellStyle name="20% - Accent2 14 2" xfId="2014"/>
    <cellStyle name="20% - Accent2 14 3" xfId="2015"/>
    <cellStyle name="20% - Accent2 14 4" xfId="2016"/>
    <cellStyle name="20% - Accent2 15 2" xfId="2017"/>
    <cellStyle name="20% - Accent2 15 3" xfId="2018"/>
    <cellStyle name="20% - Accent2 15 4" xfId="2019"/>
    <cellStyle name="20% - Accent2 16 2" xfId="2020"/>
    <cellStyle name="20% - Accent2 16 3" xfId="2021"/>
    <cellStyle name="20% - Accent2 16 4" xfId="2022"/>
    <cellStyle name="20% - Accent2 17 2" xfId="2023"/>
    <cellStyle name="20% - Accent2 17 3" xfId="2024"/>
    <cellStyle name="20% - Accent2 17 4" xfId="2025"/>
    <cellStyle name="20% - Accent2 2" xfId="2026"/>
    <cellStyle name="20% - Accent2 2 2" xfId="2027"/>
    <cellStyle name="20% - Accent2 2 3" xfId="2028"/>
    <cellStyle name="20% - Accent2 2 4" xfId="2029"/>
    <cellStyle name="20% - Accent2 3" xfId="2030"/>
    <cellStyle name="20% - Accent2 3 2" xfId="2031"/>
    <cellStyle name="20% - Accent2 3 3" xfId="2032"/>
    <cellStyle name="20% - Accent2 3 4" xfId="2033"/>
    <cellStyle name="20% - Accent2 4" xfId="2034"/>
    <cellStyle name="20% - Accent2 4 2" xfId="2035"/>
    <cellStyle name="20% - Accent2 4 3" xfId="2036"/>
    <cellStyle name="20% - Accent2 4 4" xfId="2037"/>
    <cellStyle name="20% - Accent2 5" xfId="2038"/>
    <cellStyle name="20% - Accent2 5 2" xfId="2039"/>
    <cellStyle name="20% - Accent2 5 3" xfId="2040"/>
    <cellStyle name="20% - Accent2 5 4" xfId="2041"/>
    <cellStyle name="20% - Accent2 6" xfId="2042"/>
    <cellStyle name="20% - Accent2 6 2" xfId="2043"/>
    <cellStyle name="20% - Accent2 6 3" xfId="2044"/>
    <cellStyle name="20% - Accent2 6 4" xfId="2045"/>
    <cellStyle name="20% - Accent2 7 2" xfId="2046"/>
    <cellStyle name="20% - Accent2 7 3" xfId="2047"/>
    <cellStyle name="20% - Accent2 7 4" xfId="2048"/>
    <cellStyle name="20% - Accent2 8 2" xfId="2049"/>
    <cellStyle name="20% - Accent2 8 3" xfId="2050"/>
    <cellStyle name="20% - Accent2 8 4" xfId="2051"/>
    <cellStyle name="20% - Accent2 9 2" xfId="2052"/>
    <cellStyle name="20% - Accent2 9 3" xfId="2053"/>
    <cellStyle name="20% - Accent2 9 4" xfId="2054"/>
    <cellStyle name="20% - Accent3 1" xfId="2055"/>
    <cellStyle name="20% - Accent3 10 2" xfId="2056"/>
    <cellStyle name="20% - Accent3 10 3" xfId="2057"/>
    <cellStyle name="20% - Accent3 10 4" xfId="2058"/>
    <cellStyle name="20% - Accent3 11 2" xfId="2059"/>
    <cellStyle name="20% - Accent3 11 3" xfId="2060"/>
    <cellStyle name="20% - Accent3 11 4" xfId="2061"/>
    <cellStyle name="20% - Accent3 12 2" xfId="2062"/>
    <cellStyle name="20% - Accent3 12 3" xfId="2063"/>
    <cellStyle name="20% - Accent3 12 4" xfId="2064"/>
    <cellStyle name="20% - Accent3 13 2" xfId="2065"/>
    <cellStyle name="20% - Accent3 13 3" xfId="2066"/>
    <cellStyle name="20% - Accent3 13 4" xfId="2067"/>
    <cellStyle name="20% - Accent3 14 2" xfId="2068"/>
    <cellStyle name="20% - Accent3 14 3" xfId="2069"/>
    <cellStyle name="20% - Accent3 14 4" xfId="2070"/>
    <cellStyle name="20% - Accent3 15 2" xfId="2071"/>
    <cellStyle name="20% - Accent3 15 3" xfId="2072"/>
    <cellStyle name="20% - Accent3 15 4" xfId="2073"/>
    <cellStyle name="20% - Accent3 16 2" xfId="2074"/>
    <cellStyle name="20% - Accent3 16 3" xfId="2075"/>
    <cellStyle name="20% - Accent3 16 4" xfId="2076"/>
    <cellStyle name="20% - Accent3 17 2" xfId="2077"/>
    <cellStyle name="20% - Accent3 17 3" xfId="2078"/>
    <cellStyle name="20% - Accent3 17 4" xfId="2079"/>
    <cellStyle name="20% - Accent3 2" xfId="2080"/>
    <cellStyle name="20% - Accent3 2 2" xfId="2081"/>
    <cellStyle name="20% - Accent3 2 3" xfId="2082"/>
    <cellStyle name="20% - Accent3 2 4" xfId="2083"/>
    <cellStyle name="20% - Accent3 3" xfId="2084"/>
    <cellStyle name="20% - Accent3 3 2" xfId="2085"/>
    <cellStyle name="20% - Accent3 3 3" xfId="2086"/>
    <cellStyle name="20% - Accent3 3 4" xfId="2087"/>
    <cellStyle name="20% - Accent3 4" xfId="2088"/>
    <cellStyle name="20% - Accent3 4 2" xfId="2089"/>
    <cellStyle name="20% - Accent3 4 3" xfId="2090"/>
    <cellStyle name="20% - Accent3 4 4" xfId="2091"/>
    <cellStyle name="20% - Accent3 5" xfId="2092"/>
    <cellStyle name="20% - Accent3 5 2" xfId="2093"/>
    <cellStyle name="20% - Accent3 5 3" xfId="2094"/>
    <cellStyle name="20% - Accent3 5 4" xfId="2095"/>
    <cellStyle name="20% - Accent3 6" xfId="2096"/>
    <cellStyle name="20% - Accent3 6 2" xfId="2097"/>
    <cellStyle name="20% - Accent3 6 3" xfId="2098"/>
    <cellStyle name="20% - Accent3 6 4" xfId="2099"/>
    <cellStyle name="20% - Accent3 7 2" xfId="2100"/>
    <cellStyle name="20% - Accent3 7 3" xfId="2101"/>
    <cellStyle name="20% - Accent3 7 4" xfId="2102"/>
    <cellStyle name="20% - Accent3 8 2" xfId="2103"/>
    <cellStyle name="20% - Accent3 8 3" xfId="2104"/>
    <cellStyle name="20% - Accent3 8 4" xfId="2105"/>
    <cellStyle name="20% - Accent3 9 2" xfId="2106"/>
    <cellStyle name="20% - Accent3 9 3" xfId="2107"/>
    <cellStyle name="20% - Accent3 9 4" xfId="2108"/>
    <cellStyle name="20% - Accent4 1" xfId="2109"/>
    <cellStyle name="20% - Accent4 10 2" xfId="2110"/>
    <cellStyle name="20% - Accent4 10 3" xfId="2111"/>
    <cellStyle name="20% - Accent4 10 4" xfId="2112"/>
    <cellStyle name="20% - Accent4 11 2" xfId="2113"/>
    <cellStyle name="20% - Accent4 11 3" xfId="2114"/>
    <cellStyle name="20% - Accent4 11 4" xfId="2115"/>
    <cellStyle name="20% - Accent4 12 2" xfId="2116"/>
    <cellStyle name="20% - Accent4 12 3" xfId="2117"/>
    <cellStyle name="20% - Accent4 12 4" xfId="2118"/>
    <cellStyle name="20% - Accent4 13 2" xfId="2119"/>
    <cellStyle name="20% - Accent4 13 3" xfId="2120"/>
    <cellStyle name="20% - Accent4 13 4" xfId="2121"/>
    <cellStyle name="20% - Accent4 14 2" xfId="2122"/>
    <cellStyle name="20% - Accent4 14 3" xfId="2123"/>
    <cellStyle name="20% - Accent4 14 4" xfId="2124"/>
    <cellStyle name="20% - Accent4 15 2" xfId="2125"/>
    <cellStyle name="20% - Accent4 15 3" xfId="2126"/>
    <cellStyle name="20% - Accent4 15 4" xfId="2127"/>
    <cellStyle name="20% - Accent4 16 2" xfId="2128"/>
    <cellStyle name="20% - Accent4 16 3" xfId="2129"/>
    <cellStyle name="20% - Accent4 16 4" xfId="2130"/>
    <cellStyle name="20% - Accent4 17 2" xfId="2131"/>
    <cellStyle name="20% - Accent4 17 3" xfId="2132"/>
    <cellStyle name="20% - Accent4 17 4" xfId="2133"/>
    <cellStyle name="20% - Accent4 2" xfId="2134"/>
    <cellStyle name="20% - Accent4 2 2" xfId="2135"/>
    <cellStyle name="20% - Accent4 2 3" xfId="2136"/>
    <cellStyle name="20% - Accent4 2 4" xfId="2137"/>
    <cellStyle name="20% - Accent4 3" xfId="2138"/>
    <cellStyle name="20% - Accent4 3 2" xfId="2139"/>
    <cellStyle name="20% - Accent4 3 3" xfId="2140"/>
    <cellStyle name="20% - Accent4 3 4" xfId="2141"/>
    <cellStyle name="20% - Accent4 4" xfId="2142"/>
    <cellStyle name="20% - Accent4 4 2" xfId="2143"/>
    <cellStyle name="20% - Accent4 4 3" xfId="2144"/>
    <cellStyle name="20% - Accent4 4 4" xfId="2145"/>
    <cellStyle name="20% - Accent4 5" xfId="2146"/>
    <cellStyle name="20% - Accent4 5 2" xfId="2147"/>
    <cellStyle name="20% - Accent4 5 3" xfId="2148"/>
    <cellStyle name="20% - Accent4 5 4" xfId="2149"/>
    <cellStyle name="20% - Accent4 6" xfId="2150"/>
    <cellStyle name="20% - Accent4 6 2" xfId="2151"/>
    <cellStyle name="20% - Accent4 6 3" xfId="2152"/>
    <cellStyle name="20% - Accent4 6 4" xfId="2153"/>
    <cellStyle name="20% - Accent4 7 2" xfId="2154"/>
    <cellStyle name="20% - Accent4 7 3" xfId="2155"/>
    <cellStyle name="20% - Accent4 7 4" xfId="2156"/>
    <cellStyle name="20% - Accent4 8 2" xfId="2157"/>
    <cellStyle name="20% - Accent4 8 3" xfId="2158"/>
    <cellStyle name="20% - Accent4 8 4" xfId="2159"/>
    <cellStyle name="20% - Accent4 9 2" xfId="2160"/>
    <cellStyle name="20% - Accent4 9 3" xfId="2161"/>
    <cellStyle name="20% - Accent4 9 4" xfId="2162"/>
    <cellStyle name="20% - Accent5 1" xfId="2163"/>
    <cellStyle name="20% - Accent5 10 2" xfId="2164"/>
    <cellStyle name="20% - Accent5 10 3" xfId="2165"/>
    <cellStyle name="20% - Accent5 10 4" xfId="2166"/>
    <cellStyle name="20% - Accent5 11 2" xfId="2167"/>
    <cellStyle name="20% - Accent5 11 3" xfId="2168"/>
    <cellStyle name="20% - Accent5 11 4" xfId="2169"/>
    <cellStyle name="20% - Accent5 12 2" xfId="2170"/>
    <cellStyle name="20% - Accent5 12 3" xfId="2171"/>
    <cellStyle name="20% - Accent5 12 4" xfId="2172"/>
    <cellStyle name="20% - Accent5 13 2" xfId="2173"/>
    <cellStyle name="20% - Accent5 13 3" xfId="2174"/>
    <cellStyle name="20% - Accent5 13 4" xfId="2175"/>
    <cellStyle name="20% - Accent5 14 2" xfId="2176"/>
    <cellStyle name="20% - Accent5 14 3" xfId="2177"/>
    <cellStyle name="20% - Accent5 14 4" xfId="2178"/>
    <cellStyle name="20% - Accent5 15 2" xfId="2179"/>
    <cellStyle name="20% - Accent5 15 3" xfId="2180"/>
    <cellStyle name="20% - Accent5 15 4" xfId="2181"/>
    <cellStyle name="20% - Accent5 16 2" xfId="2182"/>
    <cellStyle name="20% - Accent5 16 3" xfId="2183"/>
    <cellStyle name="20% - Accent5 16 4" xfId="2184"/>
    <cellStyle name="20% - Accent5 17 2" xfId="2185"/>
    <cellStyle name="20% - Accent5 17 3" xfId="2186"/>
    <cellStyle name="20% - Accent5 17 4" xfId="2187"/>
    <cellStyle name="20% - Accent5 2" xfId="2188"/>
    <cellStyle name="20% - Accent5 2 2" xfId="2189"/>
    <cellStyle name="20% - Accent5 2 3" xfId="2190"/>
    <cellStyle name="20% - Accent5 2 4" xfId="2191"/>
    <cellStyle name="20% - Accent5 3" xfId="2192"/>
    <cellStyle name="20% - Accent5 3 2" xfId="2193"/>
    <cellStyle name="20% - Accent5 3 3" xfId="2194"/>
    <cellStyle name="20% - Accent5 3 4" xfId="2195"/>
    <cellStyle name="20% - Accent5 4" xfId="2196"/>
    <cellStyle name="20% - Accent5 4 2" xfId="2197"/>
    <cellStyle name="20% - Accent5 4 3" xfId="2198"/>
    <cellStyle name="20% - Accent5 4 4" xfId="2199"/>
    <cellStyle name="20% - Accent5 5" xfId="2200"/>
    <cellStyle name="20% - Accent5 5 2" xfId="2201"/>
    <cellStyle name="20% - Accent5 5 3" xfId="2202"/>
    <cellStyle name="20% - Accent5 5 4" xfId="2203"/>
    <cellStyle name="20% - Accent5 6" xfId="2204"/>
    <cellStyle name="20% - Accent5 6 2" xfId="2205"/>
    <cellStyle name="20% - Accent5 6 3" xfId="2206"/>
    <cellStyle name="20% - Accent5 6 4" xfId="2207"/>
    <cellStyle name="20% - Accent5 7 2" xfId="2208"/>
    <cellStyle name="20% - Accent5 7 3" xfId="2209"/>
    <cellStyle name="20% - Accent5 7 4" xfId="2210"/>
    <cellStyle name="20% - Accent5 8 2" xfId="2211"/>
    <cellStyle name="20% - Accent5 8 3" xfId="2212"/>
    <cellStyle name="20% - Accent5 8 4" xfId="2213"/>
    <cellStyle name="20% - Accent5 9 2" xfId="2214"/>
    <cellStyle name="20% - Accent5 9 3" xfId="2215"/>
    <cellStyle name="20% - Accent5 9 4" xfId="2216"/>
    <cellStyle name="20% - Accent6 1" xfId="2217"/>
    <cellStyle name="20% - Accent6 10 2" xfId="2218"/>
    <cellStyle name="20% - Accent6 10 3" xfId="2219"/>
    <cellStyle name="20% - Accent6 10 4" xfId="2220"/>
    <cellStyle name="20% - Accent6 11 2" xfId="2221"/>
    <cellStyle name="20% - Accent6 11 3" xfId="2222"/>
    <cellStyle name="20% - Accent6 11 4" xfId="2223"/>
    <cellStyle name="20% - Accent6 12 2" xfId="2224"/>
    <cellStyle name="20% - Accent6 12 3" xfId="2225"/>
    <cellStyle name="20% - Accent6 12 4" xfId="2226"/>
    <cellStyle name="20% - Accent6 13 2" xfId="2227"/>
    <cellStyle name="20% - Accent6 13 3" xfId="2228"/>
    <cellStyle name="20% - Accent6 13 4" xfId="2229"/>
    <cellStyle name="20% - Accent6 14 2" xfId="2230"/>
    <cellStyle name="20% - Accent6 14 3" xfId="2231"/>
    <cellStyle name="20% - Accent6 14 4" xfId="2232"/>
    <cellStyle name="20% - Accent6 15 2" xfId="2233"/>
    <cellStyle name="20% - Accent6 15 3" xfId="2234"/>
    <cellStyle name="20% - Accent6 15 4" xfId="2235"/>
    <cellStyle name="20% - Accent6 16 2" xfId="2236"/>
    <cellStyle name="20% - Accent6 16 3" xfId="2237"/>
    <cellStyle name="20% - Accent6 16 4" xfId="2238"/>
    <cellStyle name="20% - Accent6 17 2" xfId="2239"/>
    <cellStyle name="20% - Accent6 17 3" xfId="2240"/>
    <cellStyle name="20% - Accent6 17 4" xfId="2241"/>
    <cellStyle name="20% - Accent6 2" xfId="2242"/>
    <cellStyle name="20% - Accent6 2 2" xfId="2243"/>
    <cellStyle name="20% - Accent6 2 3" xfId="2244"/>
    <cellStyle name="20% - Accent6 2 4" xfId="2245"/>
    <cellStyle name="20% - Accent6 3" xfId="2246"/>
    <cellStyle name="20% - Accent6 3 2" xfId="2247"/>
    <cellStyle name="20% - Accent6 3 3" xfId="2248"/>
    <cellStyle name="20% - Accent6 3 4" xfId="2249"/>
    <cellStyle name="20% - Accent6 4" xfId="2250"/>
    <cellStyle name="20% - Accent6 4 2" xfId="2251"/>
    <cellStyle name="20% - Accent6 4 3" xfId="2252"/>
    <cellStyle name="20% - Accent6 4 4" xfId="2253"/>
    <cellStyle name="20% - Accent6 5" xfId="2254"/>
    <cellStyle name="20% - Accent6 5 2" xfId="2255"/>
    <cellStyle name="20% - Accent6 5 3" xfId="2256"/>
    <cellStyle name="20% - Accent6 5 4" xfId="2257"/>
    <cellStyle name="20% - Accent6 6" xfId="2258"/>
    <cellStyle name="20% - Accent6 6 2" xfId="2259"/>
    <cellStyle name="20% - Accent6 6 3" xfId="2260"/>
    <cellStyle name="20% - Accent6 6 4" xfId="2261"/>
    <cellStyle name="20% - Accent6 7 2" xfId="2262"/>
    <cellStyle name="20% - Accent6 7 3" xfId="2263"/>
    <cellStyle name="20% - Accent6 7 4" xfId="2264"/>
    <cellStyle name="20% - Accent6 8 2" xfId="2265"/>
    <cellStyle name="20% - Accent6 8 3" xfId="2266"/>
    <cellStyle name="20% - Accent6 8 4" xfId="2267"/>
    <cellStyle name="20% - Accent6 9 2" xfId="2268"/>
    <cellStyle name="20% - Accent6 9 3" xfId="2269"/>
    <cellStyle name="20% - Accent6 9 4" xfId="2270"/>
    <cellStyle name="3" xfId="2271"/>
    <cellStyle name="4" xfId="2272"/>
    <cellStyle name="40 % - Accent1" xfId="2273"/>
    <cellStyle name="40 % - Accent2" xfId="2274"/>
    <cellStyle name="40 % - Accent3" xfId="2275"/>
    <cellStyle name="40 % - Accent4" xfId="2276"/>
    <cellStyle name="40 % - Accent5" xfId="2277"/>
    <cellStyle name="40 % - Accent6" xfId="2278"/>
    <cellStyle name="40% - Accent1 1" xfId="2279"/>
    <cellStyle name="40% - Accent1 10 2" xfId="2280"/>
    <cellStyle name="40% - Accent1 10 3" xfId="2281"/>
    <cellStyle name="40% - Accent1 10 4" xfId="2282"/>
    <cellStyle name="40% - Accent1 11 2" xfId="2283"/>
    <cellStyle name="40% - Accent1 11 3" xfId="2284"/>
    <cellStyle name="40% - Accent1 11 4" xfId="2285"/>
    <cellStyle name="40% - Accent1 12 2" xfId="2286"/>
    <cellStyle name="40% - Accent1 12 3" xfId="2287"/>
    <cellStyle name="40% - Accent1 12 4" xfId="2288"/>
    <cellStyle name="40% - Accent1 13 2" xfId="2289"/>
    <cellStyle name="40% - Accent1 13 3" xfId="2290"/>
    <cellStyle name="40% - Accent1 13 4" xfId="2291"/>
    <cellStyle name="40% - Accent1 14 2" xfId="2292"/>
    <cellStyle name="40% - Accent1 14 3" xfId="2293"/>
    <cellStyle name="40% - Accent1 14 4" xfId="2294"/>
    <cellStyle name="40% - Accent1 15 2" xfId="2295"/>
    <cellStyle name="40% - Accent1 15 3" xfId="2296"/>
    <cellStyle name="40% - Accent1 15 4" xfId="2297"/>
    <cellStyle name="40% - Accent1 16 2" xfId="2298"/>
    <cellStyle name="40% - Accent1 16 3" xfId="2299"/>
    <cellStyle name="40% - Accent1 16 4" xfId="2300"/>
    <cellStyle name="40% - Accent1 17 2" xfId="2301"/>
    <cellStyle name="40% - Accent1 17 3" xfId="2302"/>
    <cellStyle name="40% - Accent1 17 4" xfId="2303"/>
    <cellStyle name="40% - Accent1 2" xfId="2304"/>
    <cellStyle name="40% - Accent1 2 2" xfId="2305"/>
    <cellStyle name="40% - Accent1 2 3" xfId="2306"/>
    <cellStyle name="40% - Accent1 2 4" xfId="2307"/>
    <cellStyle name="40% - Accent1 3" xfId="2308"/>
    <cellStyle name="40% - Accent1 3 2" xfId="2309"/>
    <cellStyle name="40% - Accent1 3 3" xfId="2310"/>
    <cellStyle name="40% - Accent1 3 4" xfId="2311"/>
    <cellStyle name="40% - Accent1 4" xfId="2312"/>
    <cellStyle name="40% - Accent1 4 2" xfId="2313"/>
    <cellStyle name="40% - Accent1 4 3" xfId="2314"/>
    <cellStyle name="40% - Accent1 4 4" xfId="2315"/>
    <cellStyle name="40% - Accent1 5" xfId="2316"/>
    <cellStyle name="40% - Accent1 5 2" xfId="2317"/>
    <cellStyle name="40% - Accent1 5 3" xfId="2318"/>
    <cellStyle name="40% - Accent1 5 4" xfId="2319"/>
    <cellStyle name="40% - Accent1 6" xfId="2320"/>
    <cellStyle name="40% - Accent1 6 2" xfId="2321"/>
    <cellStyle name="40% - Accent1 6 3" xfId="2322"/>
    <cellStyle name="40% - Accent1 6 4" xfId="2323"/>
    <cellStyle name="40% - Accent1 7" xfId="2324"/>
    <cellStyle name="40% - Accent1 7 2" xfId="2325"/>
    <cellStyle name="40% - Accent1 7 3" xfId="2326"/>
    <cellStyle name="40% - Accent1 7 4" xfId="2327"/>
    <cellStyle name="40% - Accent1 8 2" xfId="2328"/>
    <cellStyle name="40% - Accent1 8 3" xfId="2329"/>
    <cellStyle name="40% - Accent1 8 4" xfId="2330"/>
    <cellStyle name="40% - Accent1 9 2" xfId="2331"/>
    <cellStyle name="40% - Accent1 9 3" xfId="2332"/>
    <cellStyle name="40% - Accent1 9 4" xfId="2333"/>
    <cellStyle name="40% - Accent2 1" xfId="2334"/>
    <cellStyle name="40% - Accent2 10 2" xfId="2335"/>
    <cellStyle name="40% - Accent2 10 3" xfId="2336"/>
    <cellStyle name="40% - Accent2 10 4" xfId="2337"/>
    <cellStyle name="40% - Accent2 11 2" xfId="2338"/>
    <cellStyle name="40% - Accent2 11 3" xfId="2339"/>
    <cellStyle name="40% - Accent2 11 4" xfId="2340"/>
    <cellStyle name="40% - Accent2 12 2" xfId="2341"/>
    <cellStyle name="40% - Accent2 12 3" xfId="2342"/>
    <cellStyle name="40% - Accent2 12 4" xfId="2343"/>
    <cellStyle name="40% - Accent2 13 2" xfId="2344"/>
    <cellStyle name="40% - Accent2 13 3" xfId="2345"/>
    <cellStyle name="40% - Accent2 13 4" xfId="2346"/>
    <cellStyle name="40% - Accent2 14 2" xfId="2347"/>
    <cellStyle name="40% - Accent2 14 3" xfId="2348"/>
    <cellStyle name="40% - Accent2 14 4" xfId="2349"/>
    <cellStyle name="40% - Accent2 15 2" xfId="2350"/>
    <cellStyle name="40% - Accent2 15 3" xfId="2351"/>
    <cellStyle name="40% - Accent2 15 4" xfId="2352"/>
    <cellStyle name="40% - Accent2 16 2" xfId="2353"/>
    <cellStyle name="40% - Accent2 16 3" xfId="2354"/>
    <cellStyle name="40% - Accent2 16 4" xfId="2355"/>
    <cellStyle name="40% - Accent2 17 2" xfId="2356"/>
    <cellStyle name="40% - Accent2 17 3" xfId="2357"/>
    <cellStyle name="40% - Accent2 17 4" xfId="2358"/>
    <cellStyle name="40% - Accent2 2" xfId="2359"/>
    <cellStyle name="40% - Accent2 2 2" xfId="2360"/>
    <cellStyle name="40% - Accent2 2 3" xfId="2361"/>
    <cellStyle name="40% - Accent2 2 4" xfId="2362"/>
    <cellStyle name="40% - Accent2 3" xfId="2363"/>
    <cellStyle name="40% - Accent2 3 2" xfId="2364"/>
    <cellStyle name="40% - Accent2 3 3" xfId="2365"/>
    <cellStyle name="40% - Accent2 3 4" xfId="2366"/>
    <cellStyle name="40% - Accent2 4" xfId="2367"/>
    <cellStyle name="40% - Accent2 4 2" xfId="2368"/>
    <cellStyle name="40% - Accent2 4 3" xfId="2369"/>
    <cellStyle name="40% - Accent2 4 4" xfId="2370"/>
    <cellStyle name="40% - Accent2 5" xfId="2371"/>
    <cellStyle name="40% - Accent2 5 2" xfId="2372"/>
    <cellStyle name="40% - Accent2 5 3" xfId="2373"/>
    <cellStyle name="40% - Accent2 5 4" xfId="2374"/>
    <cellStyle name="40% - Accent2 6" xfId="2375"/>
    <cellStyle name="40% - Accent2 6 2" xfId="2376"/>
    <cellStyle name="40% - Accent2 6 3" xfId="2377"/>
    <cellStyle name="40% - Accent2 6 4" xfId="2378"/>
    <cellStyle name="40% - Accent2 7 2" xfId="2379"/>
    <cellStyle name="40% - Accent2 7 3" xfId="2380"/>
    <cellStyle name="40% - Accent2 7 4" xfId="2381"/>
    <cellStyle name="40% - Accent2 8 2" xfId="2382"/>
    <cellStyle name="40% - Accent2 8 3" xfId="2383"/>
    <cellStyle name="40% - Accent2 8 4" xfId="2384"/>
    <cellStyle name="40% - Accent2 9 2" xfId="2385"/>
    <cellStyle name="40% - Accent2 9 3" xfId="2386"/>
    <cellStyle name="40% - Accent2 9 4" xfId="2387"/>
    <cellStyle name="40% - Accent3 1" xfId="2388"/>
    <cellStyle name="40% - Accent3 10 2" xfId="2389"/>
    <cellStyle name="40% - Accent3 10 3" xfId="2390"/>
    <cellStyle name="40% - Accent3 10 4" xfId="2391"/>
    <cellStyle name="40% - Accent3 11 2" xfId="2392"/>
    <cellStyle name="40% - Accent3 11 3" xfId="2393"/>
    <cellStyle name="40% - Accent3 11 4" xfId="2394"/>
    <cellStyle name="40% - Accent3 12 2" xfId="2395"/>
    <cellStyle name="40% - Accent3 12 3" xfId="2396"/>
    <cellStyle name="40% - Accent3 12 4" xfId="2397"/>
    <cellStyle name="40% - Accent3 13 2" xfId="2398"/>
    <cellStyle name="40% - Accent3 13 3" xfId="2399"/>
    <cellStyle name="40% - Accent3 13 4" xfId="2400"/>
    <cellStyle name="40% - Accent3 14 2" xfId="2401"/>
    <cellStyle name="40% - Accent3 14 3" xfId="2402"/>
    <cellStyle name="40% - Accent3 14 4" xfId="2403"/>
    <cellStyle name="40% - Accent3 15 2" xfId="2404"/>
    <cellStyle name="40% - Accent3 15 3" xfId="2405"/>
    <cellStyle name="40% - Accent3 15 4" xfId="2406"/>
    <cellStyle name="40% - Accent3 16 2" xfId="2407"/>
    <cellStyle name="40% - Accent3 16 3" xfId="2408"/>
    <cellStyle name="40% - Accent3 16 4" xfId="2409"/>
    <cellStyle name="40% - Accent3 17 2" xfId="2410"/>
    <cellStyle name="40% - Accent3 17 3" xfId="2411"/>
    <cellStyle name="40% - Accent3 17 4" xfId="2412"/>
    <cellStyle name="40% - Accent3 2" xfId="2413"/>
    <cellStyle name="40% - Accent3 2 2" xfId="2414"/>
    <cellStyle name="40% - Accent3 2 3" xfId="2415"/>
    <cellStyle name="40% - Accent3 2 4" xfId="2416"/>
    <cellStyle name="40% - Accent3 3" xfId="2417"/>
    <cellStyle name="40% - Accent3 3 2" xfId="2418"/>
    <cellStyle name="40% - Accent3 3 3" xfId="2419"/>
    <cellStyle name="40% - Accent3 3 4" xfId="2420"/>
    <cellStyle name="40% - Accent3 4" xfId="2421"/>
    <cellStyle name="40% - Accent3 4 2" xfId="2422"/>
    <cellStyle name="40% - Accent3 4 3" xfId="2423"/>
    <cellStyle name="40% - Accent3 4 4" xfId="2424"/>
    <cellStyle name="40% - Accent3 5" xfId="2425"/>
    <cellStyle name="40% - Accent3 5 2" xfId="2426"/>
    <cellStyle name="40% - Accent3 5 3" xfId="2427"/>
    <cellStyle name="40% - Accent3 5 4" xfId="2428"/>
    <cellStyle name="40% - Accent3 6" xfId="2429"/>
    <cellStyle name="40% - Accent3 6 2" xfId="2430"/>
    <cellStyle name="40% - Accent3 6 3" xfId="2431"/>
    <cellStyle name="40% - Accent3 6 4" xfId="2432"/>
    <cellStyle name="40% - Accent3 7 2" xfId="2433"/>
    <cellStyle name="40% - Accent3 7 3" xfId="2434"/>
    <cellStyle name="40% - Accent3 7 4" xfId="2435"/>
    <cellStyle name="40% - Accent3 8 2" xfId="2436"/>
    <cellStyle name="40% - Accent3 8 3" xfId="2437"/>
    <cellStyle name="40% - Accent3 8 4" xfId="2438"/>
    <cellStyle name="40% - Accent3 9 2" xfId="2439"/>
    <cellStyle name="40% - Accent3 9 3" xfId="2440"/>
    <cellStyle name="40% - Accent3 9 4" xfId="2441"/>
    <cellStyle name="40% - Accent4 1" xfId="2442"/>
    <cellStyle name="40% - Accent4 10 2" xfId="2443"/>
    <cellStyle name="40% - Accent4 10 3" xfId="2444"/>
    <cellStyle name="40% - Accent4 10 4" xfId="2445"/>
    <cellStyle name="40% - Accent4 11 2" xfId="2446"/>
    <cellStyle name="40% - Accent4 11 3" xfId="2447"/>
    <cellStyle name="40% - Accent4 11 4" xfId="2448"/>
    <cellStyle name="40% - Accent4 12 2" xfId="2449"/>
    <cellStyle name="40% - Accent4 12 3" xfId="2450"/>
    <cellStyle name="40% - Accent4 12 4" xfId="2451"/>
    <cellStyle name="40% - Accent4 13 2" xfId="2452"/>
    <cellStyle name="40% - Accent4 13 3" xfId="2453"/>
    <cellStyle name="40% - Accent4 13 4" xfId="2454"/>
    <cellStyle name="40% - Accent4 14 2" xfId="2455"/>
    <cellStyle name="40% - Accent4 14 3" xfId="2456"/>
    <cellStyle name="40% - Accent4 14 4" xfId="2457"/>
    <cellStyle name="40% - Accent4 15 2" xfId="2458"/>
    <cellStyle name="40% - Accent4 15 3" xfId="2459"/>
    <cellStyle name="40% - Accent4 15 4" xfId="2460"/>
    <cellStyle name="40% - Accent4 16 2" xfId="2461"/>
    <cellStyle name="40% - Accent4 16 3" xfId="2462"/>
    <cellStyle name="40% - Accent4 16 4" xfId="2463"/>
    <cellStyle name="40% - Accent4 17 2" xfId="2464"/>
    <cellStyle name="40% - Accent4 17 3" xfId="2465"/>
    <cellStyle name="40% - Accent4 17 4" xfId="2466"/>
    <cellStyle name="40% - Accent4 2" xfId="2467"/>
    <cellStyle name="40% - Accent4 2 2" xfId="2468"/>
    <cellStyle name="40% - Accent4 2 3" xfId="2469"/>
    <cellStyle name="40% - Accent4 2 4" xfId="2470"/>
    <cellStyle name="40% - Accent4 3" xfId="2471"/>
    <cellStyle name="40% - Accent4 3 2" xfId="2472"/>
    <cellStyle name="40% - Accent4 3 3" xfId="2473"/>
    <cellStyle name="40% - Accent4 3 4" xfId="2474"/>
    <cellStyle name="40% - Accent4 4" xfId="2475"/>
    <cellStyle name="40% - Accent4 4 2" xfId="2476"/>
    <cellStyle name="40% - Accent4 4 3" xfId="2477"/>
    <cellStyle name="40% - Accent4 4 4" xfId="2478"/>
    <cellStyle name="40% - Accent4 5" xfId="2479"/>
    <cellStyle name="40% - Accent4 5 2" xfId="2480"/>
    <cellStyle name="40% - Accent4 5 3" xfId="2481"/>
    <cellStyle name="40% - Accent4 5 4" xfId="2482"/>
    <cellStyle name="40% - Accent4 6" xfId="2483"/>
    <cellStyle name="40% - Accent4 6 2" xfId="2484"/>
    <cellStyle name="40% - Accent4 6 3" xfId="2485"/>
    <cellStyle name="40% - Accent4 6 4" xfId="2486"/>
    <cellStyle name="40% - Accent4 7 2" xfId="2487"/>
    <cellStyle name="40% - Accent4 7 3" xfId="2488"/>
    <cellStyle name="40% - Accent4 7 4" xfId="2489"/>
    <cellStyle name="40% - Accent4 8 2" xfId="2490"/>
    <cellStyle name="40% - Accent4 8 3" xfId="2491"/>
    <cellStyle name="40% - Accent4 8 4" xfId="2492"/>
    <cellStyle name="40% - Accent4 9 2" xfId="2493"/>
    <cellStyle name="40% - Accent4 9 3" xfId="2494"/>
    <cellStyle name="40% - Accent4 9 4" xfId="2495"/>
    <cellStyle name="40% - Accent5 1" xfId="2496"/>
    <cellStyle name="40% - Accent5 10 2" xfId="2497"/>
    <cellStyle name="40% - Accent5 10 3" xfId="2498"/>
    <cellStyle name="40% - Accent5 10 4" xfId="2499"/>
    <cellStyle name="40% - Accent5 11 2" xfId="2500"/>
    <cellStyle name="40% - Accent5 11 3" xfId="2501"/>
    <cellStyle name="40% - Accent5 11 4" xfId="2502"/>
    <cellStyle name="40% - Accent5 12 2" xfId="2503"/>
    <cellStyle name="40% - Accent5 12 3" xfId="2504"/>
    <cellStyle name="40% - Accent5 12 4" xfId="2505"/>
    <cellStyle name="40% - Accent5 13 2" xfId="2506"/>
    <cellStyle name="40% - Accent5 13 3" xfId="2507"/>
    <cellStyle name="40% - Accent5 13 4" xfId="2508"/>
    <cellStyle name="40% - Accent5 14 2" xfId="2509"/>
    <cellStyle name="40% - Accent5 14 3" xfId="2510"/>
    <cellStyle name="40% - Accent5 14 4" xfId="2511"/>
    <cellStyle name="40% - Accent5 15 2" xfId="2512"/>
    <cellStyle name="40% - Accent5 15 3" xfId="2513"/>
    <cellStyle name="40% - Accent5 15 4" xfId="2514"/>
    <cellStyle name="40% - Accent5 16 2" xfId="2515"/>
    <cellStyle name="40% - Accent5 16 3" xfId="2516"/>
    <cellStyle name="40% - Accent5 16 4" xfId="2517"/>
    <cellStyle name="40% - Accent5 17 2" xfId="2518"/>
    <cellStyle name="40% - Accent5 17 3" xfId="2519"/>
    <cellStyle name="40% - Accent5 17 4" xfId="2520"/>
    <cellStyle name="40% - Accent5 2" xfId="2521"/>
    <cellStyle name="40% - Accent5 2 2" xfId="2522"/>
    <cellStyle name="40% - Accent5 2 3" xfId="2523"/>
    <cellStyle name="40% - Accent5 2 4" xfId="2524"/>
    <cellStyle name="40% - Accent5 3" xfId="2525"/>
    <cellStyle name="40% - Accent5 3 2" xfId="2526"/>
    <cellStyle name="40% - Accent5 3 3" xfId="2527"/>
    <cellStyle name="40% - Accent5 3 4" xfId="2528"/>
    <cellStyle name="40% - Accent5 4" xfId="2529"/>
    <cellStyle name="40% - Accent5 4 2" xfId="2530"/>
    <cellStyle name="40% - Accent5 4 3" xfId="2531"/>
    <cellStyle name="40% - Accent5 4 4" xfId="2532"/>
    <cellStyle name="40% - Accent5 5" xfId="2533"/>
    <cellStyle name="40% - Accent5 5 2" xfId="2534"/>
    <cellStyle name="40% - Accent5 5 3" xfId="2535"/>
    <cellStyle name="40% - Accent5 5 4" xfId="2536"/>
    <cellStyle name="40% - Accent5 6" xfId="2537"/>
    <cellStyle name="40% - Accent5 6 2" xfId="2538"/>
    <cellStyle name="40% - Accent5 6 3" xfId="2539"/>
    <cellStyle name="40% - Accent5 6 4" xfId="2540"/>
    <cellStyle name="40% - Accent5 7 2" xfId="2541"/>
    <cellStyle name="40% - Accent5 7 3" xfId="2542"/>
    <cellStyle name="40% - Accent5 7 4" xfId="2543"/>
    <cellStyle name="40% - Accent5 8 2" xfId="2544"/>
    <cellStyle name="40% - Accent5 8 3" xfId="2545"/>
    <cellStyle name="40% - Accent5 8 4" xfId="2546"/>
    <cellStyle name="40% - Accent5 9 2" xfId="2547"/>
    <cellStyle name="40% - Accent5 9 3" xfId="2548"/>
    <cellStyle name="40% - Accent5 9 4" xfId="2549"/>
    <cellStyle name="40% - Accent6 1" xfId="2550"/>
    <cellStyle name="40% - Accent6 10 2" xfId="2551"/>
    <cellStyle name="40% - Accent6 10 3" xfId="2552"/>
    <cellStyle name="40% - Accent6 10 4" xfId="2553"/>
    <cellStyle name="40% - Accent6 11 2" xfId="2554"/>
    <cellStyle name="40% - Accent6 11 3" xfId="2555"/>
    <cellStyle name="40% - Accent6 11 4" xfId="2556"/>
    <cellStyle name="40% - Accent6 12 2" xfId="2557"/>
    <cellStyle name="40% - Accent6 12 3" xfId="2558"/>
    <cellStyle name="40% - Accent6 12 4" xfId="2559"/>
    <cellStyle name="40% - Accent6 13 2" xfId="2560"/>
    <cellStyle name="40% - Accent6 13 3" xfId="2561"/>
    <cellStyle name="40% - Accent6 13 4" xfId="2562"/>
    <cellStyle name="40% - Accent6 14 2" xfId="2563"/>
    <cellStyle name="40% - Accent6 14 3" xfId="2564"/>
    <cellStyle name="40% - Accent6 14 4" xfId="2565"/>
    <cellStyle name="40% - Accent6 15 2" xfId="2566"/>
    <cellStyle name="40% - Accent6 15 3" xfId="2567"/>
    <cellStyle name="40% - Accent6 15 4" xfId="2568"/>
    <cellStyle name="40% - Accent6 16 2" xfId="2569"/>
    <cellStyle name="40% - Accent6 16 3" xfId="2570"/>
    <cellStyle name="40% - Accent6 16 4" xfId="2571"/>
    <cellStyle name="40% - Accent6 17 2" xfId="2572"/>
    <cellStyle name="40% - Accent6 17 3" xfId="2573"/>
    <cellStyle name="40% - Accent6 17 4" xfId="2574"/>
    <cellStyle name="40% - Accent6 2" xfId="2575"/>
    <cellStyle name="40% - Accent6 2 2" xfId="2576"/>
    <cellStyle name="40% - Accent6 2 3" xfId="2577"/>
    <cellStyle name="40% - Accent6 2 4" xfId="2578"/>
    <cellStyle name="40% - Accent6 3" xfId="2579"/>
    <cellStyle name="40% - Accent6 3 2" xfId="2580"/>
    <cellStyle name="40% - Accent6 3 3" xfId="2581"/>
    <cellStyle name="40% - Accent6 3 4" xfId="2582"/>
    <cellStyle name="40% - Accent6 4" xfId="2583"/>
    <cellStyle name="40% - Accent6 4 2" xfId="2584"/>
    <cellStyle name="40% - Accent6 4 3" xfId="2585"/>
    <cellStyle name="40% - Accent6 4 4" xfId="2586"/>
    <cellStyle name="40% - Accent6 5" xfId="2587"/>
    <cellStyle name="40% - Accent6 5 2" xfId="2588"/>
    <cellStyle name="40% - Accent6 5 3" xfId="2589"/>
    <cellStyle name="40% - Accent6 5 4" xfId="2590"/>
    <cellStyle name="40% - Accent6 6" xfId="2591"/>
    <cellStyle name="40% - Accent6 6 2" xfId="2592"/>
    <cellStyle name="40% - Accent6 6 3" xfId="2593"/>
    <cellStyle name="40% - Accent6 6 4" xfId="2594"/>
    <cellStyle name="40% - Accent6 7 2" xfId="2595"/>
    <cellStyle name="40% - Accent6 7 3" xfId="2596"/>
    <cellStyle name="40% - Accent6 7 4" xfId="2597"/>
    <cellStyle name="40% - Accent6 8 2" xfId="2598"/>
    <cellStyle name="40% - Accent6 8 3" xfId="2599"/>
    <cellStyle name="40% - Accent6 8 4" xfId="2600"/>
    <cellStyle name="40% - Accent6 9 2" xfId="2601"/>
    <cellStyle name="40% - Accent6 9 3" xfId="2602"/>
    <cellStyle name="40% - Accent6 9 4" xfId="2603"/>
    <cellStyle name="60 % - Accent1" xfId="2604"/>
    <cellStyle name="60 % - Accent2" xfId="2605"/>
    <cellStyle name="60 % - Accent3" xfId="2606"/>
    <cellStyle name="60 % - Accent4" xfId="2607"/>
    <cellStyle name="60 % - Accent5" xfId="2608"/>
    <cellStyle name="60 % - Accent6" xfId="2609"/>
    <cellStyle name="60% - Accent1 1" xfId="2610"/>
    <cellStyle name="60% - Accent1 10 2" xfId="2611"/>
    <cellStyle name="60% - Accent1 10 3" xfId="2612"/>
    <cellStyle name="60% - Accent1 10 4" xfId="2613"/>
    <cellStyle name="60% - Accent1 11 2" xfId="2614"/>
    <cellStyle name="60% - Accent1 11 3" xfId="2615"/>
    <cellStyle name="60% - Accent1 11 4" xfId="2616"/>
    <cellStyle name="60% - Accent1 12 2" xfId="2617"/>
    <cellStyle name="60% - Accent1 12 3" xfId="2618"/>
    <cellStyle name="60% - Accent1 12 4" xfId="2619"/>
    <cellStyle name="60% - Accent1 13 2" xfId="2620"/>
    <cellStyle name="60% - Accent1 13 3" xfId="2621"/>
    <cellStyle name="60% - Accent1 13 4" xfId="2622"/>
    <cellStyle name="60% - Accent1 14 2" xfId="2623"/>
    <cellStyle name="60% - Accent1 14 3" xfId="2624"/>
    <cellStyle name="60% - Accent1 14 4" xfId="2625"/>
    <cellStyle name="60% - Accent1 15 2" xfId="2626"/>
    <cellStyle name="60% - Accent1 15 3" xfId="2627"/>
    <cellStyle name="60% - Accent1 15 4" xfId="2628"/>
    <cellStyle name="60% - Accent1 16 2" xfId="2629"/>
    <cellStyle name="60% - Accent1 16 3" xfId="2630"/>
    <cellStyle name="60% - Accent1 16 4" xfId="2631"/>
    <cellStyle name="60% - Accent1 17 2" xfId="2632"/>
    <cellStyle name="60% - Accent1 17 3" xfId="2633"/>
    <cellStyle name="60% - Accent1 17 4" xfId="2634"/>
    <cellStyle name="60% - Accent1 2" xfId="2635"/>
    <cellStyle name="60% - Accent1 2 2" xfId="2636"/>
    <cellStyle name="60% - Accent1 2 3" xfId="2637"/>
    <cellStyle name="60% - Accent1 2 4" xfId="2638"/>
    <cellStyle name="60% - Accent1 3" xfId="2639"/>
    <cellStyle name="60% - Accent1 3 2" xfId="2640"/>
    <cellStyle name="60% - Accent1 3 3" xfId="2641"/>
    <cellStyle name="60% - Accent1 3 4" xfId="2642"/>
    <cellStyle name="60% - Accent1 4" xfId="2643"/>
    <cellStyle name="60% - Accent1 4 2" xfId="2644"/>
    <cellStyle name="60% - Accent1 4 3" xfId="2645"/>
    <cellStyle name="60% - Accent1 4 4" xfId="2646"/>
    <cellStyle name="60% - Accent1 5" xfId="2647"/>
    <cellStyle name="60% - Accent1 5 2" xfId="2648"/>
    <cellStyle name="60% - Accent1 5 3" xfId="2649"/>
    <cellStyle name="60% - Accent1 5 4" xfId="2650"/>
    <cellStyle name="60% - Accent1 6" xfId="2651"/>
    <cellStyle name="60% - Accent1 6 2" xfId="2652"/>
    <cellStyle name="60% - Accent1 6 3" xfId="2653"/>
    <cellStyle name="60% - Accent1 6 4" xfId="2654"/>
    <cellStyle name="60% - Accent1 7" xfId="2655"/>
    <cellStyle name="60% - Accent1 7 2" xfId="2656"/>
    <cellStyle name="60% - Accent1 7 3" xfId="2657"/>
    <cellStyle name="60% - Accent1 7 4" xfId="2658"/>
    <cellStyle name="60% - Accent1 8 2" xfId="2659"/>
    <cellStyle name="60% - Accent1 8 3" xfId="2660"/>
    <cellStyle name="60% - Accent1 8 4" xfId="2661"/>
    <cellStyle name="60% - Accent1 9 2" xfId="2662"/>
    <cellStyle name="60% - Accent1 9 3" xfId="2663"/>
    <cellStyle name="60% - Accent1 9 4" xfId="2664"/>
    <cellStyle name="60% - Accent2 1" xfId="2665"/>
    <cellStyle name="60% - Accent2 10 2" xfId="2666"/>
    <cellStyle name="60% - Accent2 10 3" xfId="2667"/>
    <cellStyle name="60% - Accent2 10 4" xfId="2668"/>
    <cellStyle name="60% - Accent2 11 2" xfId="2669"/>
    <cellStyle name="60% - Accent2 11 3" xfId="2670"/>
    <cellStyle name="60% - Accent2 11 4" xfId="2671"/>
    <cellStyle name="60% - Accent2 12 2" xfId="2672"/>
    <cellStyle name="60% - Accent2 12 3" xfId="2673"/>
    <cellStyle name="60% - Accent2 12 4" xfId="2674"/>
    <cellStyle name="60% - Accent2 13 2" xfId="2675"/>
    <cellStyle name="60% - Accent2 13 3" xfId="2676"/>
    <cellStyle name="60% - Accent2 13 4" xfId="2677"/>
    <cellStyle name="60% - Accent2 14 2" xfId="2678"/>
    <cellStyle name="60% - Accent2 14 3" xfId="2679"/>
    <cellStyle name="60% - Accent2 14 4" xfId="2680"/>
    <cellStyle name="60% - Accent2 15 2" xfId="2681"/>
    <cellStyle name="60% - Accent2 15 3" xfId="2682"/>
    <cellStyle name="60% - Accent2 15 4" xfId="2683"/>
    <cellStyle name="60% - Accent2 16 2" xfId="2684"/>
    <cellStyle name="60% - Accent2 16 3" xfId="2685"/>
    <cellStyle name="60% - Accent2 16 4" xfId="2686"/>
    <cellStyle name="60% - Accent2 17 2" xfId="2687"/>
    <cellStyle name="60% - Accent2 17 3" xfId="2688"/>
    <cellStyle name="60% - Accent2 17 4" xfId="2689"/>
    <cellStyle name="60% - Accent2 2" xfId="2690"/>
    <cellStyle name="60% - Accent2 2 2" xfId="2691"/>
    <cellStyle name="60% - Accent2 2 3" xfId="2692"/>
    <cellStyle name="60% - Accent2 2 4" xfId="2693"/>
    <cellStyle name="60% - Accent2 3" xfId="2694"/>
    <cellStyle name="60% - Accent2 3 2" xfId="2695"/>
    <cellStyle name="60% - Accent2 3 3" xfId="2696"/>
    <cellStyle name="60% - Accent2 3 4" xfId="2697"/>
    <cellStyle name="60% - Accent2 4" xfId="2698"/>
    <cellStyle name="60% - Accent2 4 2" xfId="2699"/>
    <cellStyle name="60% - Accent2 4 3" xfId="2700"/>
    <cellStyle name="60% - Accent2 4 4" xfId="2701"/>
    <cellStyle name="60% - Accent2 5" xfId="2702"/>
    <cellStyle name="60% - Accent2 5 2" xfId="2703"/>
    <cellStyle name="60% - Accent2 5 3" xfId="2704"/>
    <cellStyle name="60% - Accent2 5 4" xfId="2705"/>
    <cellStyle name="60% - Accent2 6" xfId="2706"/>
    <cellStyle name="60% - Accent2 6 2" xfId="2707"/>
    <cellStyle name="60% - Accent2 6 3" xfId="2708"/>
    <cellStyle name="60% - Accent2 6 4" xfId="2709"/>
    <cellStyle name="60% - Accent2 7 2" xfId="2710"/>
    <cellStyle name="60% - Accent2 7 3" xfId="2711"/>
    <cellStyle name="60% - Accent2 7 4" xfId="2712"/>
    <cellStyle name="60% - Accent2 8 2" xfId="2713"/>
    <cellStyle name="60% - Accent2 8 3" xfId="2714"/>
    <cellStyle name="60% - Accent2 8 4" xfId="2715"/>
    <cellStyle name="60% - Accent2 9 2" xfId="2716"/>
    <cellStyle name="60% - Accent2 9 3" xfId="2717"/>
    <cellStyle name="60% - Accent2 9 4" xfId="2718"/>
    <cellStyle name="60% - Accent3 1" xfId="2719"/>
    <cellStyle name="60% - Accent3 10 2" xfId="2720"/>
    <cellStyle name="60% - Accent3 10 3" xfId="2721"/>
    <cellStyle name="60% - Accent3 10 4" xfId="2722"/>
    <cellStyle name="60% - Accent3 11 2" xfId="2723"/>
    <cellStyle name="60% - Accent3 11 3" xfId="2724"/>
    <cellStyle name="60% - Accent3 11 4" xfId="2725"/>
    <cellStyle name="60% - Accent3 12 2" xfId="2726"/>
    <cellStyle name="60% - Accent3 12 3" xfId="2727"/>
    <cellStyle name="60% - Accent3 12 4" xfId="2728"/>
    <cellStyle name="60% - Accent3 13 2" xfId="2729"/>
    <cellStyle name="60% - Accent3 13 3" xfId="2730"/>
    <cellStyle name="60% - Accent3 13 4" xfId="2731"/>
    <cellStyle name="60% - Accent3 14 2" xfId="2732"/>
    <cellStyle name="60% - Accent3 14 3" xfId="2733"/>
    <cellStyle name="60% - Accent3 14 4" xfId="2734"/>
    <cellStyle name="60% - Accent3 15 2" xfId="2735"/>
    <cellStyle name="60% - Accent3 15 3" xfId="2736"/>
    <cellStyle name="60% - Accent3 15 4" xfId="2737"/>
    <cellStyle name="60% - Accent3 16 2" xfId="2738"/>
    <cellStyle name="60% - Accent3 16 3" xfId="2739"/>
    <cellStyle name="60% - Accent3 16 4" xfId="2740"/>
    <cellStyle name="60% - Accent3 17 2" xfId="2741"/>
    <cellStyle name="60% - Accent3 17 3" xfId="2742"/>
    <cellStyle name="60% - Accent3 17 4" xfId="2743"/>
    <cellStyle name="60% - Accent3 2" xfId="2744"/>
    <cellStyle name="60% - Accent3 2 2" xfId="2745"/>
    <cellStyle name="60% - Accent3 2 3" xfId="2746"/>
    <cellStyle name="60% - Accent3 2 4" xfId="2747"/>
    <cellStyle name="60% - Accent3 3" xfId="2748"/>
    <cellStyle name="60% - Accent3 3 2" xfId="2749"/>
    <cellStyle name="60% - Accent3 3 3" xfId="2750"/>
    <cellStyle name="60% - Accent3 3 4" xfId="2751"/>
    <cellStyle name="60% - Accent3 4" xfId="2752"/>
    <cellStyle name="60% - Accent3 4 2" xfId="2753"/>
    <cellStyle name="60% - Accent3 4 3" xfId="2754"/>
    <cellStyle name="60% - Accent3 4 4" xfId="2755"/>
    <cellStyle name="60% - Accent3 5" xfId="2756"/>
    <cellStyle name="60% - Accent3 5 2" xfId="2757"/>
    <cellStyle name="60% - Accent3 5 3" xfId="2758"/>
    <cellStyle name="60% - Accent3 5 4" xfId="2759"/>
    <cellStyle name="60% - Accent3 6" xfId="2760"/>
    <cellStyle name="60% - Accent3 6 2" xfId="2761"/>
    <cellStyle name="60% - Accent3 6 3" xfId="2762"/>
    <cellStyle name="60% - Accent3 6 4" xfId="2763"/>
    <cellStyle name="60% - Accent3 7 2" xfId="2764"/>
    <cellStyle name="60% - Accent3 7 3" xfId="2765"/>
    <cellStyle name="60% - Accent3 7 4" xfId="2766"/>
    <cellStyle name="60% - Accent3 8 2" xfId="2767"/>
    <cellStyle name="60% - Accent3 8 3" xfId="2768"/>
    <cellStyle name="60% - Accent3 8 4" xfId="2769"/>
    <cellStyle name="60% - Accent3 9 2" xfId="2770"/>
    <cellStyle name="60% - Accent3 9 3" xfId="2771"/>
    <cellStyle name="60% - Accent3 9 4" xfId="2772"/>
    <cellStyle name="60% - Accent4 1" xfId="2773"/>
    <cellStyle name="60% - Accent4 10 2" xfId="2774"/>
    <cellStyle name="60% - Accent4 10 3" xfId="2775"/>
    <cellStyle name="60% - Accent4 10 4" xfId="2776"/>
    <cellStyle name="60% - Accent4 11 2" xfId="2777"/>
    <cellStyle name="60% - Accent4 11 3" xfId="2778"/>
    <cellStyle name="60% - Accent4 11 4" xfId="2779"/>
    <cellStyle name="60% - Accent4 12 2" xfId="2780"/>
    <cellStyle name="60% - Accent4 12 3" xfId="2781"/>
    <cellStyle name="60% - Accent4 12 4" xfId="2782"/>
    <cellStyle name="60% - Accent4 13 2" xfId="2783"/>
    <cellStyle name="60% - Accent4 13 3" xfId="2784"/>
    <cellStyle name="60% - Accent4 13 4" xfId="2785"/>
    <cellStyle name="60% - Accent4 14 2" xfId="2786"/>
    <cellStyle name="60% - Accent4 14 3" xfId="2787"/>
    <cellStyle name="60% - Accent4 14 4" xfId="2788"/>
    <cellStyle name="60% - Accent4 15 2" xfId="2789"/>
    <cellStyle name="60% - Accent4 15 3" xfId="2790"/>
    <cellStyle name="60% - Accent4 15 4" xfId="2791"/>
    <cellStyle name="60% - Accent4 16 2" xfId="2792"/>
    <cellStyle name="60% - Accent4 16 3" xfId="2793"/>
    <cellStyle name="60% - Accent4 16 4" xfId="2794"/>
    <cellStyle name="60% - Accent4 17 2" xfId="2795"/>
    <cellStyle name="60% - Accent4 17 3" xfId="2796"/>
    <cellStyle name="60% - Accent4 17 4" xfId="2797"/>
    <cellStyle name="60% - Accent4 2" xfId="2798"/>
    <cellStyle name="60% - Accent4 2 2" xfId="2799"/>
    <cellStyle name="60% - Accent4 2 3" xfId="2800"/>
    <cellStyle name="60% - Accent4 2 4" xfId="2801"/>
    <cellStyle name="60% - Accent4 3" xfId="2802"/>
    <cellStyle name="60% - Accent4 3 2" xfId="2803"/>
    <cellStyle name="60% - Accent4 3 3" xfId="2804"/>
    <cellStyle name="60% - Accent4 3 4" xfId="2805"/>
    <cellStyle name="60% - Accent4 4" xfId="2806"/>
    <cellStyle name="60% - Accent4 4 2" xfId="2807"/>
    <cellStyle name="60% - Accent4 4 3" xfId="2808"/>
    <cellStyle name="60% - Accent4 4 4" xfId="2809"/>
    <cellStyle name="60% - Accent4 5" xfId="2810"/>
    <cellStyle name="60% - Accent4 5 2" xfId="2811"/>
    <cellStyle name="60% - Accent4 5 3" xfId="2812"/>
    <cellStyle name="60% - Accent4 5 4" xfId="2813"/>
    <cellStyle name="60% - Accent4 6" xfId="2814"/>
    <cellStyle name="60% - Accent4 6 2" xfId="2815"/>
    <cellStyle name="60% - Accent4 6 3" xfId="2816"/>
    <cellStyle name="60% - Accent4 6 4" xfId="2817"/>
    <cellStyle name="60% - Accent4 7 2" xfId="2818"/>
    <cellStyle name="60% - Accent4 7 3" xfId="2819"/>
    <cellStyle name="60% - Accent4 7 4" xfId="2820"/>
    <cellStyle name="60% - Accent4 8 2" xfId="2821"/>
    <cellStyle name="60% - Accent4 8 3" xfId="2822"/>
    <cellStyle name="60% - Accent4 8 4" xfId="2823"/>
    <cellStyle name="60% - Accent4 9 2" xfId="2824"/>
    <cellStyle name="60% - Accent4 9 3" xfId="2825"/>
    <cellStyle name="60% - Accent4 9 4" xfId="2826"/>
    <cellStyle name="60% - Accent5 1" xfId="2827"/>
    <cellStyle name="60% - Accent5 10 2" xfId="2828"/>
    <cellStyle name="60% - Accent5 10 3" xfId="2829"/>
    <cellStyle name="60% - Accent5 10 4" xfId="2830"/>
    <cellStyle name="60% - Accent5 11 2" xfId="2831"/>
    <cellStyle name="60% - Accent5 11 3" xfId="2832"/>
    <cellStyle name="60% - Accent5 11 4" xfId="2833"/>
    <cellStyle name="60% - Accent5 12 2" xfId="2834"/>
    <cellStyle name="60% - Accent5 12 3" xfId="2835"/>
    <cellStyle name="60% - Accent5 12 4" xfId="2836"/>
    <cellStyle name="60% - Accent5 13 2" xfId="2837"/>
    <cellStyle name="60% - Accent5 13 3" xfId="2838"/>
    <cellStyle name="60% - Accent5 13 4" xfId="2839"/>
    <cellStyle name="60% - Accent5 14 2" xfId="2840"/>
    <cellStyle name="60% - Accent5 14 3" xfId="2841"/>
    <cellStyle name="60% - Accent5 14 4" xfId="2842"/>
    <cellStyle name="60% - Accent5 15 2" xfId="2843"/>
    <cellStyle name="60% - Accent5 15 3" xfId="2844"/>
    <cellStyle name="60% - Accent5 15 4" xfId="2845"/>
    <cellStyle name="60% - Accent5 16 2" xfId="2846"/>
    <cellStyle name="60% - Accent5 16 3" xfId="2847"/>
    <cellStyle name="60% - Accent5 16 4" xfId="2848"/>
    <cellStyle name="60% - Accent5 17 2" xfId="2849"/>
    <cellStyle name="60% - Accent5 17 3" xfId="2850"/>
    <cellStyle name="60% - Accent5 17 4" xfId="2851"/>
    <cellStyle name="60% - Accent5 2" xfId="2852"/>
    <cellStyle name="60% - Accent5 2 2" xfId="2853"/>
    <cellStyle name="60% - Accent5 2 3" xfId="2854"/>
    <cellStyle name="60% - Accent5 2 4" xfId="2855"/>
    <cellStyle name="60% - Accent5 3" xfId="2856"/>
    <cellStyle name="60% - Accent5 3 2" xfId="2857"/>
    <cellStyle name="60% - Accent5 3 3" xfId="2858"/>
    <cellStyle name="60% - Accent5 3 4" xfId="2859"/>
    <cellStyle name="60% - Accent5 4" xfId="2860"/>
    <cellStyle name="60% - Accent5 4 2" xfId="2861"/>
    <cellStyle name="60% - Accent5 4 3" xfId="2862"/>
    <cellStyle name="60% - Accent5 4 4" xfId="2863"/>
    <cellStyle name="60% - Accent5 5" xfId="2864"/>
    <cellStyle name="60% - Accent5 5 2" xfId="2865"/>
    <cellStyle name="60% - Accent5 5 3" xfId="2866"/>
    <cellStyle name="60% - Accent5 5 4" xfId="2867"/>
    <cellStyle name="60% - Accent5 6" xfId="2868"/>
    <cellStyle name="60% - Accent5 6 2" xfId="2869"/>
    <cellStyle name="60% - Accent5 6 3" xfId="2870"/>
    <cellStyle name="60% - Accent5 6 4" xfId="2871"/>
    <cellStyle name="60% - Accent5 7 2" xfId="2872"/>
    <cellStyle name="60% - Accent5 7 3" xfId="2873"/>
    <cellStyle name="60% - Accent5 7 4" xfId="2874"/>
    <cellStyle name="60% - Accent5 8 2" xfId="2875"/>
    <cellStyle name="60% - Accent5 8 3" xfId="2876"/>
    <cellStyle name="60% - Accent5 8 4" xfId="2877"/>
    <cellStyle name="60% - Accent5 9 2" xfId="2878"/>
    <cellStyle name="60% - Accent5 9 3" xfId="2879"/>
    <cellStyle name="60% - Accent5 9 4" xfId="2880"/>
    <cellStyle name="60% - Accent6 1" xfId="2881"/>
    <cellStyle name="60% - Accent6 10 2" xfId="2882"/>
    <cellStyle name="60% - Accent6 10 3" xfId="2883"/>
    <cellStyle name="60% - Accent6 10 4" xfId="2884"/>
    <cellStyle name="60% - Accent6 11 2" xfId="2885"/>
    <cellStyle name="60% - Accent6 11 3" xfId="2886"/>
    <cellStyle name="60% - Accent6 11 4" xfId="2887"/>
    <cellStyle name="60% - Accent6 12 2" xfId="2888"/>
    <cellStyle name="60% - Accent6 12 3" xfId="2889"/>
    <cellStyle name="60% - Accent6 12 4" xfId="2890"/>
    <cellStyle name="60% - Accent6 13 2" xfId="2891"/>
    <cellStyle name="60% - Accent6 13 3" xfId="2892"/>
    <cellStyle name="60% - Accent6 13 4" xfId="2893"/>
    <cellStyle name="60% - Accent6 14 2" xfId="2894"/>
    <cellStyle name="60% - Accent6 14 3" xfId="2895"/>
    <cellStyle name="60% - Accent6 14 4" xfId="2896"/>
    <cellStyle name="60% - Accent6 15 2" xfId="2897"/>
    <cellStyle name="60% - Accent6 15 3" xfId="2898"/>
    <cellStyle name="60% - Accent6 15 4" xfId="2899"/>
    <cellStyle name="60% - Accent6 16 2" xfId="2900"/>
    <cellStyle name="60% - Accent6 16 3" xfId="2901"/>
    <cellStyle name="60% - Accent6 16 4" xfId="2902"/>
    <cellStyle name="60% - Accent6 17 2" xfId="2903"/>
    <cellStyle name="60% - Accent6 17 3" xfId="2904"/>
    <cellStyle name="60% - Accent6 17 4" xfId="2905"/>
    <cellStyle name="60% - Accent6 2" xfId="2906"/>
    <cellStyle name="60% - Accent6 2 2" xfId="2907"/>
    <cellStyle name="60% - Accent6 2 3" xfId="2908"/>
    <cellStyle name="60% - Accent6 2 4" xfId="2909"/>
    <cellStyle name="60% - Accent6 3" xfId="2910"/>
    <cellStyle name="60% - Accent6 3 2" xfId="2911"/>
    <cellStyle name="60% - Accent6 3 3" xfId="2912"/>
    <cellStyle name="60% - Accent6 3 4" xfId="2913"/>
    <cellStyle name="60% - Accent6 4" xfId="2914"/>
    <cellStyle name="60% - Accent6 4 2" xfId="2915"/>
    <cellStyle name="60% - Accent6 4 3" xfId="2916"/>
    <cellStyle name="60% - Accent6 4 4" xfId="2917"/>
    <cellStyle name="60% - Accent6 5" xfId="2918"/>
    <cellStyle name="60% - Accent6 5 2" xfId="2919"/>
    <cellStyle name="60% - Accent6 5 3" xfId="2920"/>
    <cellStyle name="60% - Accent6 5 4" xfId="2921"/>
    <cellStyle name="60% - Accent6 6" xfId="2922"/>
    <cellStyle name="60% - Accent6 6 2" xfId="2923"/>
    <cellStyle name="60% - Accent6 6 3" xfId="2924"/>
    <cellStyle name="60% - Accent6 6 4" xfId="2925"/>
    <cellStyle name="60% - Accent6 7 2" xfId="2926"/>
    <cellStyle name="60% - Accent6 7 3" xfId="2927"/>
    <cellStyle name="60% - Accent6 7 4" xfId="2928"/>
    <cellStyle name="60% - Accent6 8 2" xfId="2929"/>
    <cellStyle name="60% - Accent6 8 3" xfId="2930"/>
    <cellStyle name="60% - Accent6 8 4" xfId="2931"/>
    <cellStyle name="60% - Accent6 9 2" xfId="2932"/>
    <cellStyle name="60% - Accent6 9 3" xfId="2933"/>
    <cellStyle name="60% - Accent6 9 4" xfId="2934"/>
    <cellStyle name="75" xfId="2935"/>
    <cellStyle name="75 2" xfId="2936"/>
    <cellStyle name="75 3" xfId="2937"/>
    <cellStyle name="75 4" xfId="2938"/>
    <cellStyle name="75 5" xfId="2939"/>
    <cellStyle name="75 6" xfId="2940"/>
    <cellStyle name="75 7" xfId="2941"/>
    <cellStyle name="75 8" xfId="2942"/>
    <cellStyle name="9" xfId="2943"/>
    <cellStyle name="ÅE­ [0]_°èÈ¹" xfId="2944"/>
    <cellStyle name="ÅE­_°èÈ¹" xfId="2945"/>
    <cellStyle name="Accent1 1" xfId="2946"/>
    <cellStyle name="Accent1 10 2" xfId="2947"/>
    <cellStyle name="Accent1 10 3" xfId="2948"/>
    <cellStyle name="Accent1 10 4" xfId="2949"/>
    <cellStyle name="Accent1 11 2" xfId="2950"/>
    <cellStyle name="Accent1 11 3" xfId="2951"/>
    <cellStyle name="Accent1 11 4" xfId="2952"/>
    <cellStyle name="Accent1 12 2" xfId="2953"/>
    <cellStyle name="Accent1 12 3" xfId="2954"/>
    <cellStyle name="Accent1 12 4" xfId="2955"/>
    <cellStyle name="Accent1 13 2" xfId="2956"/>
    <cellStyle name="Accent1 13 3" xfId="2957"/>
    <cellStyle name="Accent1 13 4" xfId="2958"/>
    <cellStyle name="Accent1 14 2" xfId="2959"/>
    <cellStyle name="Accent1 14 3" xfId="2960"/>
    <cellStyle name="Accent1 14 4" xfId="2961"/>
    <cellStyle name="Accent1 15 2" xfId="2962"/>
    <cellStyle name="Accent1 15 3" xfId="2963"/>
    <cellStyle name="Accent1 15 4" xfId="2964"/>
    <cellStyle name="Accent1 16 2" xfId="2965"/>
    <cellStyle name="Accent1 16 3" xfId="2966"/>
    <cellStyle name="Accent1 16 4" xfId="2967"/>
    <cellStyle name="Accent1 17 2" xfId="2968"/>
    <cellStyle name="Accent1 17 3" xfId="2969"/>
    <cellStyle name="Accent1 17 4" xfId="2970"/>
    <cellStyle name="Accent1 2" xfId="2971"/>
    <cellStyle name="Accent1 2 2" xfId="2972"/>
    <cellStyle name="Accent1 2 3" xfId="2973"/>
    <cellStyle name="Accent1 2 4" xfId="2974"/>
    <cellStyle name="Accent1 3" xfId="2975"/>
    <cellStyle name="Accent1 3 2" xfId="2976"/>
    <cellStyle name="Accent1 3 3" xfId="2977"/>
    <cellStyle name="Accent1 3 4" xfId="2978"/>
    <cellStyle name="Accent1 4" xfId="2979"/>
    <cellStyle name="Accent1 4 2" xfId="2980"/>
    <cellStyle name="Accent1 4 3" xfId="2981"/>
    <cellStyle name="Accent1 4 4" xfId="2982"/>
    <cellStyle name="Accent1 5" xfId="2983"/>
    <cellStyle name="Accent1 5 2" xfId="2984"/>
    <cellStyle name="Accent1 5 3" xfId="2985"/>
    <cellStyle name="Accent1 5 4" xfId="2986"/>
    <cellStyle name="Accent1 6" xfId="2987"/>
    <cellStyle name="Accent1 6 2" xfId="2988"/>
    <cellStyle name="Accent1 6 3" xfId="2989"/>
    <cellStyle name="Accent1 6 4" xfId="2990"/>
    <cellStyle name="Accent1 7 2" xfId="2991"/>
    <cellStyle name="Accent1 7 3" xfId="2992"/>
    <cellStyle name="Accent1 7 4" xfId="2993"/>
    <cellStyle name="Accent1 8 2" xfId="2994"/>
    <cellStyle name="Accent1 8 3" xfId="2995"/>
    <cellStyle name="Accent1 8 4" xfId="2996"/>
    <cellStyle name="Accent1 9 2" xfId="2997"/>
    <cellStyle name="Accent1 9 3" xfId="2998"/>
    <cellStyle name="Accent1 9 4" xfId="2999"/>
    <cellStyle name="Accent2 1" xfId="3000"/>
    <cellStyle name="Accent2 10 2" xfId="3001"/>
    <cellStyle name="Accent2 10 3" xfId="3002"/>
    <cellStyle name="Accent2 10 4" xfId="3003"/>
    <cellStyle name="Accent2 11 2" xfId="3004"/>
    <cellStyle name="Accent2 11 3" xfId="3005"/>
    <cellStyle name="Accent2 11 4" xfId="3006"/>
    <cellStyle name="Accent2 12 2" xfId="3007"/>
    <cellStyle name="Accent2 12 3" xfId="3008"/>
    <cellStyle name="Accent2 12 4" xfId="3009"/>
    <cellStyle name="Accent2 13 2" xfId="3010"/>
    <cellStyle name="Accent2 13 3" xfId="3011"/>
    <cellStyle name="Accent2 13 4" xfId="3012"/>
    <cellStyle name="Accent2 14 2" xfId="3013"/>
    <cellStyle name="Accent2 14 3" xfId="3014"/>
    <cellStyle name="Accent2 14 4" xfId="3015"/>
    <cellStyle name="Accent2 15 2" xfId="3016"/>
    <cellStyle name="Accent2 15 3" xfId="3017"/>
    <cellStyle name="Accent2 15 4" xfId="3018"/>
    <cellStyle name="Accent2 16 2" xfId="3019"/>
    <cellStyle name="Accent2 16 3" xfId="3020"/>
    <cellStyle name="Accent2 16 4" xfId="3021"/>
    <cellStyle name="Accent2 17 2" xfId="3022"/>
    <cellStyle name="Accent2 17 3" xfId="3023"/>
    <cellStyle name="Accent2 17 4" xfId="3024"/>
    <cellStyle name="Accent2 2" xfId="3025"/>
    <cellStyle name="Accent2 2 2" xfId="3026"/>
    <cellStyle name="Accent2 2 3" xfId="3027"/>
    <cellStyle name="Accent2 2 4" xfId="3028"/>
    <cellStyle name="Accent2 3" xfId="3029"/>
    <cellStyle name="Accent2 3 2" xfId="3030"/>
    <cellStyle name="Accent2 3 3" xfId="3031"/>
    <cellStyle name="Accent2 3 4" xfId="3032"/>
    <cellStyle name="Accent2 4" xfId="3033"/>
    <cellStyle name="Accent2 4 2" xfId="3034"/>
    <cellStyle name="Accent2 4 3" xfId="3035"/>
    <cellStyle name="Accent2 4 4" xfId="3036"/>
    <cellStyle name="Accent2 5" xfId="3037"/>
    <cellStyle name="Accent2 5 2" xfId="3038"/>
    <cellStyle name="Accent2 5 3" xfId="3039"/>
    <cellStyle name="Accent2 5 4" xfId="3040"/>
    <cellStyle name="Accent2 6" xfId="3041"/>
    <cellStyle name="Accent2 6 2" xfId="3042"/>
    <cellStyle name="Accent2 6 3" xfId="3043"/>
    <cellStyle name="Accent2 6 4" xfId="3044"/>
    <cellStyle name="Accent2 7 2" xfId="3045"/>
    <cellStyle name="Accent2 7 3" xfId="3046"/>
    <cellStyle name="Accent2 7 4" xfId="3047"/>
    <cellStyle name="Accent2 8 2" xfId="3048"/>
    <cellStyle name="Accent2 8 3" xfId="3049"/>
    <cellStyle name="Accent2 8 4" xfId="3050"/>
    <cellStyle name="Accent2 9 2" xfId="3051"/>
    <cellStyle name="Accent2 9 3" xfId="3052"/>
    <cellStyle name="Accent2 9 4" xfId="3053"/>
    <cellStyle name="Accent3 1" xfId="3054"/>
    <cellStyle name="Accent3 10 2" xfId="3055"/>
    <cellStyle name="Accent3 10 3" xfId="3056"/>
    <cellStyle name="Accent3 10 4" xfId="3057"/>
    <cellStyle name="Accent3 11 2" xfId="3058"/>
    <cellStyle name="Accent3 11 3" xfId="3059"/>
    <cellStyle name="Accent3 11 4" xfId="3060"/>
    <cellStyle name="Accent3 12 2" xfId="3061"/>
    <cellStyle name="Accent3 12 3" xfId="3062"/>
    <cellStyle name="Accent3 12 4" xfId="3063"/>
    <cellStyle name="Accent3 13 2" xfId="3064"/>
    <cellStyle name="Accent3 13 3" xfId="3065"/>
    <cellStyle name="Accent3 13 4" xfId="3066"/>
    <cellStyle name="Accent3 14 2" xfId="3067"/>
    <cellStyle name="Accent3 14 3" xfId="3068"/>
    <cellStyle name="Accent3 14 4" xfId="3069"/>
    <cellStyle name="Accent3 15 2" xfId="3070"/>
    <cellStyle name="Accent3 15 3" xfId="3071"/>
    <cellStyle name="Accent3 15 4" xfId="3072"/>
    <cellStyle name="Accent3 16 2" xfId="3073"/>
    <cellStyle name="Accent3 16 3" xfId="3074"/>
    <cellStyle name="Accent3 16 4" xfId="3075"/>
    <cellStyle name="Accent3 17 2" xfId="3076"/>
    <cellStyle name="Accent3 17 3" xfId="3077"/>
    <cellStyle name="Accent3 17 4" xfId="3078"/>
    <cellStyle name="Accent3 2" xfId="3079"/>
    <cellStyle name="Accent3 2 2" xfId="3080"/>
    <cellStyle name="Accent3 2 3" xfId="3081"/>
    <cellStyle name="Accent3 2 4" xfId="3082"/>
    <cellStyle name="Accent3 3" xfId="3083"/>
    <cellStyle name="Accent3 3 2" xfId="3084"/>
    <cellStyle name="Accent3 3 3" xfId="3085"/>
    <cellStyle name="Accent3 3 4" xfId="3086"/>
    <cellStyle name="Accent3 4" xfId="3087"/>
    <cellStyle name="Accent3 4 2" xfId="3088"/>
    <cellStyle name="Accent3 4 3" xfId="3089"/>
    <cellStyle name="Accent3 4 4" xfId="3090"/>
    <cellStyle name="Accent3 5" xfId="3091"/>
    <cellStyle name="Accent3 5 2" xfId="3092"/>
    <cellStyle name="Accent3 5 3" xfId="3093"/>
    <cellStyle name="Accent3 5 4" xfId="3094"/>
    <cellStyle name="Accent3 6" xfId="3095"/>
    <cellStyle name="Accent3 6 2" xfId="3096"/>
    <cellStyle name="Accent3 6 3" xfId="3097"/>
    <cellStyle name="Accent3 6 4" xfId="3098"/>
    <cellStyle name="Accent3 7 2" xfId="3099"/>
    <cellStyle name="Accent3 7 3" xfId="3100"/>
    <cellStyle name="Accent3 7 4" xfId="3101"/>
    <cellStyle name="Accent3 8 2" xfId="3102"/>
    <cellStyle name="Accent3 8 3" xfId="3103"/>
    <cellStyle name="Accent3 8 4" xfId="3104"/>
    <cellStyle name="Accent3 9 2" xfId="3105"/>
    <cellStyle name="Accent3 9 3" xfId="3106"/>
    <cellStyle name="Accent3 9 4" xfId="3107"/>
    <cellStyle name="Accent4 1" xfId="3108"/>
    <cellStyle name="Accent4 10 2" xfId="3109"/>
    <cellStyle name="Accent4 10 3" xfId="3110"/>
    <cellStyle name="Accent4 10 4" xfId="3111"/>
    <cellStyle name="Accent4 11 2" xfId="3112"/>
    <cellStyle name="Accent4 11 3" xfId="3113"/>
    <cellStyle name="Accent4 11 4" xfId="3114"/>
    <cellStyle name="Accent4 12 2" xfId="3115"/>
    <cellStyle name="Accent4 12 3" xfId="3116"/>
    <cellStyle name="Accent4 12 4" xfId="3117"/>
    <cellStyle name="Accent4 13 2" xfId="3118"/>
    <cellStyle name="Accent4 13 3" xfId="3119"/>
    <cellStyle name="Accent4 13 4" xfId="3120"/>
    <cellStyle name="Accent4 14 2" xfId="3121"/>
    <cellStyle name="Accent4 14 3" xfId="3122"/>
    <cellStyle name="Accent4 14 4" xfId="3123"/>
    <cellStyle name="Accent4 15 2" xfId="3124"/>
    <cellStyle name="Accent4 15 3" xfId="3125"/>
    <cellStyle name="Accent4 15 4" xfId="3126"/>
    <cellStyle name="Accent4 16 2" xfId="3127"/>
    <cellStyle name="Accent4 16 3" xfId="3128"/>
    <cellStyle name="Accent4 16 4" xfId="3129"/>
    <cellStyle name="Accent4 17 2" xfId="3130"/>
    <cellStyle name="Accent4 17 3" xfId="3131"/>
    <cellStyle name="Accent4 17 4" xfId="3132"/>
    <cellStyle name="Accent4 2" xfId="3133"/>
    <cellStyle name="Accent4 2 2" xfId="3134"/>
    <cellStyle name="Accent4 2 3" xfId="3135"/>
    <cellStyle name="Accent4 2 4" xfId="3136"/>
    <cellStyle name="Accent4 3" xfId="3137"/>
    <cellStyle name="Accent4 3 2" xfId="3138"/>
    <cellStyle name="Accent4 3 3" xfId="3139"/>
    <cellStyle name="Accent4 3 4" xfId="3140"/>
    <cellStyle name="Accent4 4" xfId="3141"/>
    <cellStyle name="Accent4 4 2" xfId="3142"/>
    <cellStyle name="Accent4 4 3" xfId="3143"/>
    <cellStyle name="Accent4 4 4" xfId="3144"/>
    <cellStyle name="Accent4 5" xfId="3145"/>
    <cellStyle name="Accent4 5 2" xfId="3146"/>
    <cellStyle name="Accent4 5 3" xfId="3147"/>
    <cellStyle name="Accent4 5 4" xfId="3148"/>
    <cellStyle name="Accent4 6" xfId="3149"/>
    <cellStyle name="Accent4 6 2" xfId="3150"/>
    <cellStyle name="Accent4 6 3" xfId="3151"/>
    <cellStyle name="Accent4 6 4" xfId="3152"/>
    <cellStyle name="Accent4 7 2" xfId="3153"/>
    <cellStyle name="Accent4 7 3" xfId="3154"/>
    <cellStyle name="Accent4 7 4" xfId="3155"/>
    <cellStyle name="Accent4 8 2" xfId="3156"/>
    <cellStyle name="Accent4 8 3" xfId="3157"/>
    <cellStyle name="Accent4 8 4" xfId="3158"/>
    <cellStyle name="Accent4 9 2" xfId="3159"/>
    <cellStyle name="Accent4 9 3" xfId="3160"/>
    <cellStyle name="Accent4 9 4" xfId="3161"/>
    <cellStyle name="Accent5 1" xfId="3162"/>
    <cellStyle name="Accent5 10 2" xfId="3163"/>
    <cellStyle name="Accent5 10 3" xfId="3164"/>
    <cellStyle name="Accent5 10 4" xfId="3165"/>
    <cellStyle name="Accent5 11 2" xfId="3166"/>
    <cellStyle name="Accent5 11 3" xfId="3167"/>
    <cellStyle name="Accent5 11 4" xfId="3168"/>
    <cellStyle name="Accent5 12 2" xfId="3169"/>
    <cellStyle name="Accent5 12 3" xfId="3170"/>
    <cellStyle name="Accent5 12 4" xfId="3171"/>
    <cellStyle name="Accent5 13 2" xfId="3172"/>
    <cellStyle name="Accent5 13 3" xfId="3173"/>
    <cellStyle name="Accent5 13 4" xfId="3174"/>
    <cellStyle name="Accent5 14 2" xfId="3175"/>
    <cellStyle name="Accent5 14 3" xfId="3176"/>
    <cellStyle name="Accent5 14 4" xfId="3177"/>
    <cellStyle name="Accent5 15 2" xfId="3178"/>
    <cellStyle name="Accent5 15 3" xfId="3179"/>
    <cellStyle name="Accent5 15 4" xfId="3180"/>
    <cellStyle name="Accent5 16 2" xfId="3181"/>
    <cellStyle name="Accent5 16 3" xfId="3182"/>
    <cellStyle name="Accent5 16 4" xfId="3183"/>
    <cellStyle name="Accent5 17 2" xfId="3184"/>
    <cellStyle name="Accent5 17 3" xfId="3185"/>
    <cellStyle name="Accent5 17 4" xfId="3186"/>
    <cellStyle name="Accent5 2" xfId="3187"/>
    <cellStyle name="Accent5 2 2" xfId="3188"/>
    <cellStyle name="Accent5 2 3" xfId="3189"/>
    <cellStyle name="Accent5 2 4" xfId="3190"/>
    <cellStyle name="Accent5 3" xfId="3191"/>
    <cellStyle name="Accent5 3 2" xfId="3192"/>
    <cellStyle name="Accent5 3 3" xfId="3193"/>
    <cellStyle name="Accent5 3 4" xfId="3194"/>
    <cellStyle name="Accent5 4" xfId="3195"/>
    <cellStyle name="Accent5 4 2" xfId="3196"/>
    <cellStyle name="Accent5 4 3" xfId="3197"/>
    <cellStyle name="Accent5 4 4" xfId="3198"/>
    <cellStyle name="Accent5 5" xfId="3199"/>
    <cellStyle name="Accent5 5 2" xfId="3200"/>
    <cellStyle name="Accent5 5 3" xfId="3201"/>
    <cellStyle name="Accent5 5 4" xfId="3202"/>
    <cellStyle name="Accent5 6" xfId="3203"/>
    <cellStyle name="Accent5 6 2" xfId="3204"/>
    <cellStyle name="Accent5 6 3" xfId="3205"/>
    <cellStyle name="Accent5 6 4" xfId="3206"/>
    <cellStyle name="Accent5 7 2" xfId="3207"/>
    <cellStyle name="Accent5 7 3" xfId="3208"/>
    <cellStyle name="Accent5 7 4" xfId="3209"/>
    <cellStyle name="Accent5 8 2" xfId="3210"/>
    <cellStyle name="Accent5 8 3" xfId="3211"/>
    <cellStyle name="Accent5 8 4" xfId="3212"/>
    <cellStyle name="Accent5 9 2" xfId="3213"/>
    <cellStyle name="Accent5 9 3" xfId="3214"/>
    <cellStyle name="Accent5 9 4" xfId="3215"/>
    <cellStyle name="Accent6 1" xfId="3216"/>
    <cellStyle name="Accent6 10 2" xfId="3217"/>
    <cellStyle name="Accent6 10 3" xfId="3218"/>
    <cellStyle name="Accent6 10 4" xfId="3219"/>
    <cellStyle name="Accent6 11 2" xfId="3220"/>
    <cellStyle name="Accent6 11 3" xfId="3221"/>
    <cellStyle name="Accent6 11 4" xfId="3222"/>
    <cellStyle name="Accent6 12 2" xfId="3223"/>
    <cellStyle name="Accent6 12 3" xfId="3224"/>
    <cellStyle name="Accent6 12 4" xfId="3225"/>
    <cellStyle name="Accent6 13 2" xfId="3226"/>
    <cellStyle name="Accent6 13 3" xfId="3227"/>
    <cellStyle name="Accent6 13 4" xfId="3228"/>
    <cellStyle name="Accent6 14 2" xfId="3229"/>
    <cellStyle name="Accent6 14 3" xfId="3230"/>
    <cellStyle name="Accent6 14 4" xfId="3231"/>
    <cellStyle name="Accent6 15 2" xfId="3232"/>
    <cellStyle name="Accent6 15 3" xfId="3233"/>
    <cellStyle name="Accent6 15 4" xfId="3234"/>
    <cellStyle name="Accent6 16 2" xfId="3235"/>
    <cellStyle name="Accent6 16 3" xfId="3236"/>
    <cellStyle name="Accent6 16 4" xfId="3237"/>
    <cellStyle name="Accent6 17 2" xfId="3238"/>
    <cellStyle name="Accent6 17 3" xfId="3239"/>
    <cellStyle name="Accent6 17 4" xfId="3240"/>
    <cellStyle name="Accent6 2" xfId="3241"/>
    <cellStyle name="Accent6 2 2" xfId="3242"/>
    <cellStyle name="Accent6 2 3" xfId="3243"/>
    <cellStyle name="Accent6 2 4" xfId="3244"/>
    <cellStyle name="Accent6 3" xfId="3245"/>
    <cellStyle name="Accent6 3 2" xfId="3246"/>
    <cellStyle name="Accent6 3 3" xfId="3247"/>
    <cellStyle name="Accent6 3 4" xfId="3248"/>
    <cellStyle name="Accent6 4" xfId="3249"/>
    <cellStyle name="Accent6 4 2" xfId="3250"/>
    <cellStyle name="Accent6 4 3" xfId="3251"/>
    <cellStyle name="Accent6 4 4" xfId="3252"/>
    <cellStyle name="Accent6 5" xfId="3253"/>
    <cellStyle name="Accent6 5 2" xfId="3254"/>
    <cellStyle name="Accent6 5 3" xfId="3255"/>
    <cellStyle name="Accent6 5 4" xfId="3256"/>
    <cellStyle name="Accent6 6" xfId="3257"/>
    <cellStyle name="Accent6 6 2" xfId="3258"/>
    <cellStyle name="Accent6 6 3" xfId="3259"/>
    <cellStyle name="Accent6 6 4" xfId="3260"/>
    <cellStyle name="Accent6 7 2" xfId="3261"/>
    <cellStyle name="Accent6 7 3" xfId="3262"/>
    <cellStyle name="Accent6 7 4" xfId="3263"/>
    <cellStyle name="Accent6 8 2" xfId="3264"/>
    <cellStyle name="Accent6 8 3" xfId="3265"/>
    <cellStyle name="Accent6 8 4" xfId="3266"/>
    <cellStyle name="Accent6 9 2" xfId="3267"/>
    <cellStyle name="Accent6 9 3" xfId="3268"/>
    <cellStyle name="Accent6 9 4" xfId="3269"/>
    <cellStyle name="ÅëÈ­ [0]_¿ì¹°Åë" xfId="3270"/>
    <cellStyle name="AeE­ [0]_INQUIRY ¿?¾÷AßAø " xfId="3271"/>
    <cellStyle name="ÅëÈ­ [0]_L601CPT" xfId="3272"/>
    <cellStyle name="ÅëÈ­_¿ì¹°Åë" xfId="3273"/>
    <cellStyle name="AeE­_INQUIRY ¿?¾÷AßAø " xfId="3274"/>
    <cellStyle name="ÅëÈ­_L601CPT" xfId="3275"/>
    <cellStyle name="args.style" xfId="3276"/>
    <cellStyle name="ÄÞ¸¶ [0]_¿ì¹°Åë" xfId="3277"/>
    <cellStyle name="AÞ¸¶ [0]_INQUIRY ¿?¾÷AßAø " xfId="3278"/>
    <cellStyle name="ÄÞ¸¶ [0]_L601CPT" xfId="3279"/>
    <cellStyle name="ÄÞ¸¶_¿ì¹°Åë" xfId="3280"/>
    <cellStyle name="AÞ¸¶_INQUIRY ¿?¾÷AßAø " xfId="3281"/>
    <cellStyle name="ÄÞ¸¶_L601CPT" xfId="3282"/>
    <cellStyle name="AutoFormat Options" xfId="3283"/>
    <cellStyle name="AutoFormat Options 2" xfId="3284"/>
    <cellStyle name="AutoFormat Options 3" xfId="3285"/>
    <cellStyle name="AutoFormat Options 4" xfId="3286"/>
    <cellStyle name="AutoFormat Options 5" xfId="3287"/>
    <cellStyle name="AutoFormat Options 6" xfId="3288"/>
    <cellStyle name="AutoFormat Options 7" xfId="3289"/>
    <cellStyle name="AutoFormat Options 8" xfId="3290"/>
    <cellStyle name="AutoFormat Options_ALLIANZ AGUSTUS 09" xfId="3291"/>
    <cellStyle name="Avertissement" xfId="3292"/>
    <cellStyle name="Bad 1" xfId="3293"/>
    <cellStyle name="Bad 10 2" xfId="3294"/>
    <cellStyle name="Bad 10 3" xfId="3295"/>
    <cellStyle name="Bad 10 4" xfId="3296"/>
    <cellStyle name="Bad 11 2" xfId="3297"/>
    <cellStyle name="Bad 11 3" xfId="3298"/>
    <cellStyle name="Bad 11 4" xfId="3299"/>
    <cellStyle name="Bad 12 2" xfId="3300"/>
    <cellStyle name="Bad 12 3" xfId="3301"/>
    <cellStyle name="Bad 12 4" xfId="3302"/>
    <cellStyle name="Bad 13 2" xfId="3303"/>
    <cellStyle name="Bad 13 3" xfId="3304"/>
    <cellStyle name="Bad 13 4" xfId="3305"/>
    <cellStyle name="Bad 14 2" xfId="3306"/>
    <cellStyle name="Bad 14 3" xfId="3307"/>
    <cellStyle name="Bad 14 4" xfId="3308"/>
    <cellStyle name="Bad 15 2" xfId="3309"/>
    <cellStyle name="Bad 15 3" xfId="3310"/>
    <cellStyle name="Bad 15 4" xfId="3311"/>
    <cellStyle name="Bad 16 2" xfId="3312"/>
    <cellStyle name="Bad 16 3" xfId="3313"/>
    <cellStyle name="Bad 16 4" xfId="3314"/>
    <cellStyle name="Bad 17 2" xfId="3315"/>
    <cellStyle name="Bad 17 3" xfId="3316"/>
    <cellStyle name="Bad 17 4" xfId="3317"/>
    <cellStyle name="Bad 2" xfId="3318"/>
    <cellStyle name="Bad 2 2" xfId="3319"/>
    <cellStyle name="Bad 2 3" xfId="3320"/>
    <cellStyle name="Bad 2 4" xfId="3321"/>
    <cellStyle name="Bad 3" xfId="3322"/>
    <cellStyle name="Bad 3 2" xfId="3323"/>
    <cellStyle name="Bad 3 3" xfId="3324"/>
    <cellStyle name="Bad 3 4" xfId="3325"/>
    <cellStyle name="Bad 4" xfId="3326"/>
    <cellStyle name="Bad 4 2" xfId="3327"/>
    <cellStyle name="Bad 4 3" xfId="3328"/>
    <cellStyle name="Bad 4 4" xfId="3329"/>
    <cellStyle name="Bad 5" xfId="3330"/>
    <cellStyle name="Bad 5 2" xfId="3331"/>
    <cellStyle name="Bad 5 3" xfId="3332"/>
    <cellStyle name="Bad 5 4" xfId="3333"/>
    <cellStyle name="Bad 6" xfId="3334"/>
    <cellStyle name="Bad 6 2" xfId="3335"/>
    <cellStyle name="Bad 6 3" xfId="3336"/>
    <cellStyle name="Bad 6 4" xfId="3337"/>
    <cellStyle name="Bad 7 2" xfId="3338"/>
    <cellStyle name="Bad 7 3" xfId="3339"/>
    <cellStyle name="Bad 7 4" xfId="3340"/>
    <cellStyle name="Bad 8 2" xfId="3341"/>
    <cellStyle name="Bad 8 3" xfId="3342"/>
    <cellStyle name="Bad 8 4" xfId="3343"/>
    <cellStyle name="Bad 9 2" xfId="3344"/>
    <cellStyle name="Bad 9 3" xfId="3345"/>
    <cellStyle name="Bad 9 4" xfId="3346"/>
    <cellStyle name="Body" xfId="3347"/>
    <cellStyle name="Body 2" xfId="3348"/>
    <cellStyle name="Body 3" xfId="3349"/>
    <cellStyle name="Body 4" xfId="3350"/>
    <cellStyle name="Body 5" xfId="3351"/>
    <cellStyle name="Body 6" xfId="3352"/>
    <cellStyle name="Body 7" xfId="3353"/>
    <cellStyle name="Body 8" xfId="3354"/>
    <cellStyle name="Border" xfId="3355"/>
    <cellStyle name="Border1" xfId="3356"/>
    <cellStyle name="Border2" xfId="3357"/>
    <cellStyle name="Border3" xfId="3358"/>
    <cellStyle name="BuiltOpt_Content" xfId="3359"/>
    <cellStyle name="C?AØ_¿?¾÷CoE² " xfId="3360"/>
    <cellStyle name="Ç¥ÁØ_#2(M17)_1" xfId="3361"/>
    <cellStyle name="C￥AØ_¿μ¾÷CoE² " xfId="3362"/>
    <cellStyle name="Ç¥ÁØ_±¸¹Ì´ëÃ¥" xfId="3363"/>
    <cellStyle name="Calc Currency (0)" xfId="3364"/>
    <cellStyle name="Calc Currency (0) 2" xfId="3365"/>
    <cellStyle name="Calc Currency (0) 3" xfId="3366"/>
    <cellStyle name="Calc Currency (0) 4" xfId="3367"/>
    <cellStyle name="Calc Currency (0) 5" xfId="3368"/>
    <cellStyle name="Calc Currency (0) 6" xfId="3369"/>
    <cellStyle name="Calc Currency (0) 7" xfId="3370"/>
    <cellStyle name="Calc Currency (0) 8" xfId="3371"/>
    <cellStyle name="Calc Currency (2)" xfId="3372"/>
    <cellStyle name="Calc Currency (2) 2" xfId="3373"/>
    <cellStyle name="Calc Currency (2) 3" xfId="3374"/>
    <cellStyle name="Calc Currency (2) 4" xfId="3375"/>
    <cellStyle name="Calc Currency (2) 5" xfId="3376"/>
    <cellStyle name="Calc Currency (2) 6" xfId="3377"/>
    <cellStyle name="Calc Currency (2) 7" xfId="3378"/>
    <cellStyle name="Calc Currency (2) 8" xfId="3379"/>
    <cellStyle name="Calc Percent (0)" xfId="3380"/>
    <cellStyle name="Calc Percent (0) 2" xfId="3381"/>
    <cellStyle name="Calc Percent (0) 3" xfId="3382"/>
    <cellStyle name="Calc Percent (0) 4" xfId="3383"/>
    <cellStyle name="Calc Percent (0) 5" xfId="3384"/>
    <cellStyle name="Calc Percent (0) 6" xfId="3385"/>
    <cellStyle name="Calc Percent (0) 7" xfId="3386"/>
    <cellStyle name="Calc Percent (0) 8" xfId="3387"/>
    <cellStyle name="Calc Percent (1)" xfId="3388"/>
    <cellStyle name="Calc Percent (1) 2" xfId="3389"/>
    <cellStyle name="Calc Percent (1) 3" xfId="3390"/>
    <cellStyle name="Calc Percent (1) 4" xfId="3391"/>
    <cellStyle name="Calc Percent (1) 5" xfId="3392"/>
    <cellStyle name="Calc Percent (1) 6" xfId="3393"/>
    <cellStyle name="Calc Percent (1) 7" xfId="3394"/>
    <cellStyle name="Calc Percent (1) 8" xfId="3395"/>
    <cellStyle name="Calc Percent (2)" xfId="3396"/>
    <cellStyle name="Calc Percent (2) 2" xfId="3397"/>
    <cellStyle name="Calc Percent (2) 3" xfId="3398"/>
    <cellStyle name="Calc Percent (2) 4" xfId="3399"/>
    <cellStyle name="Calc Percent (2) 5" xfId="3400"/>
    <cellStyle name="Calc Percent (2) 6" xfId="3401"/>
    <cellStyle name="Calc Percent (2) 7" xfId="3402"/>
    <cellStyle name="Calc Percent (2) 8" xfId="3403"/>
    <cellStyle name="Calc Units (0)" xfId="3404"/>
    <cellStyle name="Calc Units (0) 2" xfId="3405"/>
    <cellStyle name="Calc Units (0) 3" xfId="3406"/>
    <cellStyle name="Calc Units (0) 4" xfId="3407"/>
    <cellStyle name="Calc Units (0) 5" xfId="3408"/>
    <cellStyle name="Calc Units (0) 6" xfId="3409"/>
    <cellStyle name="Calc Units (0) 7" xfId="3410"/>
    <cellStyle name="Calc Units (0) 8" xfId="3411"/>
    <cellStyle name="Calc Units (1)" xfId="3412"/>
    <cellStyle name="Calc Units (1) 2" xfId="3413"/>
    <cellStyle name="Calc Units (1) 3" xfId="3414"/>
    <cellStyle name="Calc Units (1) 4" xfId="3415"/>
    <cellStyle name="Calc Units (1) 5" xfId="3416"/>
    <cellStyle name="Calc Units (1) 6" xfId="3417"/>
    <cellStyle name="Calc Units (1) 7" xfId="3418"/>
    <cellStyle name="Calc Units (1) 8" xfId="3419"/>
    <cellStyle name="Calc Units (2)" xfId="3420"/>
    <cellStyle name="Calc Units (2) 2" xfId="3421"/>
    <cellStyle name="Calc Units (2) 3" xfId="3422"/>
    <cellStyle name="Calc Units (2) 4" xfId="3423"/>
    <cellStyle name="Calc Units (2) 5" xfId="3424"/>
    <cellStyle name="Calc Units (2) 6" xfId="3425"/>
    <cellStyle name="Calc Units (2) 7" xfId="3426"/>
    <cellStyle name="Calc Units (2) 8" xfId="3427"/>
    <cellStyle name="Calcul" xfId="3428"/>
    <cellStyle name="Calculation 1" xfId="3429"/>
    <cellStyle name="Calculation 10 2" xfId="3430"/>
    <cellStyle name="Calculation 10 2 2" xfId="3431"/>
    <cellStyle name="Calculation 10 2 3" xfId="3432"/>
    <cellStyle name="Calculation 10 3" xfId="3433"/>
    <cellStyle name="Calculation 10 3 2" xfId="3434"/>
    <cellStyle name="Calculation 10 3 3" xfId="3435"/>
    <cellStyle name="Calculation 10 4" xfId="3436"/>
    <cellStyle name="Calculation 10 4 2" xfId="3437"/>
    <cellStyle name="Calculation 10 4 3" xfId="3438"/>
    <cellStyle name="Calculation 11 2" xfId="3439"/>
    <cellStyle name="Calculation 11 2 2" xfId="3440"/>
    <cellStyle name="Calculation 11 2 3" xfId="3441"/>
    <cellStyle name="Calculation 11 3" xfId="3442"/>
    <cellStyle name="Calculation 11 3 2" xfId="3443"/>
    <cellStyle name="Calculation 11 3 3" xfId="3444"/>
    <cellStyle name="Calculation 11 4" xfId="3445"/>
    <cellStyle name="Calculation 11 4 2" xfId="3446"/>
    <cellStyle name="Calculation 11 4 3" xfId="3447"/>
    <cellStyle name="Calculation 12 2" xfId="3448"/>
    <cellStyle name="Calculation 12 2 2" xfId="3449"/>
    <cellStyle name="Calculation 12 2 3" xfId="3450"/>
    <cellStyle name="Calculation 12 3" xfId="3451"/>
    <cellStyle name="Calculation 12 3 2" xfId="3452"/>
    <cellStyle name="Calculation 12 3 3" xfId="3453"/>
    <cellStyle name="Calculation 12 4" xfId="3454"/>
    <cellStyle name="Calculation 12 4 2" xfId="3455"/>
    <cellStyle name="Calculation 12 4 3" xfId="3456"/>
    <cellStyle name="Calculation 13 2" xfId="3457"/>
    <cellStyle name="Calculation 13 2 2" xfId="3458"/>
    <cellStyle name="Calculation 13 2 3" xfId="3459"/>
    <cellStyle name="Calculation 13 3" xfId="3460"/>
    <cellStyle name="Calculation 13 3 2" xfId="3461"/>
    <cellStyle name="Calculation 13 3 3" xfId="3462"/>
    <cellStyle name="Calculation 13 4" xfId="3463"/>
    <cellStyle name="Calculation 13 4 2" xfId="3464"/>
    <cellStyle name="Calculation 13 4 3" xfId="3465"/>
    <cellStyle name="Calculation 14 2" xfId="3466"/>
    <cellStyle name="Calculation 14 2 2" xfId="3467"/>
    <cellStyle name="Calculation 14 2 3" xfId="3468"/>
    <cellStyle name="Calculation 14 3" xfId="3469"/>
    <cellStyle name="Calculation 14 3 2" xfId="3470"/>
    <cellStyle name="Calculation 14 3 3" xfId="3471"/>
    <cellStyle name="Calculation 14 4" xfId="3472"/>
    <cellStyle name="Calculation 14 4 2" xfId="3473"/>
    <cellStyle name="Calculation 14 4 3" xfId="3474"/>
    <cellStyle name="Calculation 15 2" xfId="3475"/>
    <cellStyle name="Calculation 15 2 2" xfId="3476"/>
    <cellStyle name="Calculation 15 2 3" xfId="3477"/>
    <cellStyle name="Calculation 15 3" xfId="3478"/>
    <cellStyle name="Calculation 15 3 2" xfId="3479"/>
    <cellStyle name="Calculation 15 3 3" xfId="3480"/>
    <cellStyle name="Calculation 15 4" xfId="3481"/>
    <cellStyle name="Calculation 15 4 2" xfId="3482"/>
    <cellStyle name="Calculation 15 4 3" xfId="3483"/>
    <cellStyle name="Calculation 16 2" xfId="3484"/>
    <cellStyle name="Calculation 16 2 2" xfId="3485"/>
    <cellStyle name="Calculation 16 2 3" xfId="3486"/>
    <cellStyle name="Calculation 16 3" xfId="3487"/>
    <cellStyle name="Calculation 16 3 2" xfId="3488"/>
    <cellStyle name="Calculation 16 3 3" xfId="3489"/>
    <cellStyle name="Calculation 16 4" xfId="3490"/>
    <cellStyle name="Calculation 16 4 2" xfId="3491"/>
    <cellStyle name="Calculation 16 4 3" xfId="3492"/>
    <cellStyle name="Calculation 17 2" xfId="3493"/>
    <cellStyle name="Calculation 17 2 2" xfId="3494"/>
    <cellStyle name="Calculation 17 2 3" xfId="3495"/>
    <cellStyle name="Calculation 17 3" xfId="3496"/>
    <cellStyle name="Calculation 17 3 2" xfId="3497"/>
    <cellStyle name="Calculation 17 3 3" xfId="3498"/>
    <cellStyle name="Calculation 17 4" xfId="3499"/>
    <cellStyle name="Calculation 17 4 2" xfId="3500"/>
    <cellStyle name="Calculation 17 4 3" xfId="3501"/>
    <cellStyle name="Calculation 2" xfId="3502"/>
    <cellStyle name="Calculation 2 2" xfId="3503"/>
    <cellStyle name="Calculation 2 2 2" xfId="3504"/>
    <cellStyle name="Calculation 2 2 3" xfId="3505"/>
    <cellStyle name="Calculation 2 3" xfId="3506"/>
    <cellStyle name="Calculation 2 3 2" xfId="3507"/>
    <cellStyle name="Calculation 2 3 3" xfId="3508"/>
    <cellStyle name="Calculation 2 4" xfId="3509"/>
    <cellStyle name="Calculation 2 4 2" xfId="3510"/>
    <cellStyle name="Calculation 2 4 3" xfId="3511"/>
    <cellStyle name="Calculation 2 5" xfId="3512"/>
    <cellStyle name="Calculation 2 6" xfId="3513"/>
    <cellStyle name="Calculation 3" xfId="3514"/>
    <cellStyle name="Calculation 3 2" xfId="3515"/>
    <cellStyle name="Calculation 3 2 2" xfId="3516"/>
    <cellStyle name="Calculation 3 2 3" xfId="3517"/>
    <cellStyle name="Calculation 3 3" xfId="3518"/>
    <cellStyle name="Calculation 3 3 2" xfId="3519"/>
    <cellStyle name="Calculation 3 3 3" xfId="3520"/>
    <cellStyle name="Calculation 3 4" xfId="3521"/>
    <cellStyle name="Calculation 3 4 2" xfId="3522"/>
    <cellStyle name="Calculation 3 4 3" xfId="3523"/>
    <cellStyle name="Calculation 3 5" xfId="3524"/>
    <cellStyle name="Calculation 3 6" xfId="3525"/>
    <cellStyle name="Calculation 4" xfId="3526"/>
    <cellStyle name="Calculation 4 2" xfId="3527"/>
    <cellStyle name="Calculation 4 2 2" xfId="3528"/>
    <cellStyle name="Calculation 4 2 3" xfId="3529"/>
    <cellStyle name="Calculation 4 3" xfId="3530"/>
    <cellStyle name="Calculation 4 3 2" xfId="3531"/>
    <cellStyle name="Calculation 4 3 3" xfId="3532"/>
    <cellStyle name="Calculation 4 4" xfId="3533"/>
    <cellStyle name="Calculation 4 4 2" xfId="3534"/>
    <cellStyle name="Calculation 4 4 3" xfId="3535"/>
    <cellStyle name="Calculation 4 5" xfId="3536"/>
    <cellStyle name="Calculation 4 6" xfId="3537"/>
    <cellStyle name="Calculation 5" xfId="3538"/>
    <cellStyle name="Calculation 5 2" xfId="3539"/>
    <cellStyle name="Calculation 5 2 2" xfId="3540"/>
    <cellStyle name="Calculation 5 2 3" xfId="3541"/>
    <cellStyle name="Calculation 5 3" xfId="3542"/>
    <cellStyle name="Calculation 5 3 2" xfId="3543"/>
    <cellStyle name="Calculation 5 3 3" xfId="3544"/>
    <cellStyle name="Calculation 5 4" xfId="3545"/>
    <cellStyle name="Calculation 5 4 2" xfId="3546"/>
    <cellStyle name="Calculation 5 4 3" xfId="3547"/>
    <cellStyle name="Calculation 6" xfId="3548"/>
    <cellStyle name="Calculation 6 2" xfId="3549"/>
    <cellStyle name="Calculation 6 2 2" xfId="3550"/>
    <cellStyle name="Calculation 6 2 3" xfId="3551"/>
    <cellStyle name="Calculation 6 3" xfId="3552"/>
    <cellStyle name="Calculation 6 3 2" xfId="3553"/>
    <cellStyle name="Calculation 6 3 3" xfId="3554"/>
    <cellStyle name="Calculation 6 4" xfId="3555"/>
    <cellStyle name="Calculation 6 4 2" xfId="3556"/>
    <cellStyle name="Calculation 6 4 3" xfId="3557"/>
    <cellStyle name="Calculation 7 2" xfId="3558"/>
    <cellStyle name="Calculation 7 2 2" xfId="3559"/>
    <cellStyle name="Calculation 7 2 3" xfId="3560"/>
    <cellStyle name="Calculation 7 3" xfId="3561"/>
    <cellStyle name="Calculation 7 3 2" xfId="3562"/>
    <cellStyle name="Calculation 7 3 3" xfId="3563"/>
    <cellStyle name="Calculation 7 4" xfId="3564"/>
    <cellStyle name="Calculation 7 4 2" xfId="3565"/>
    <cellStyle name="Calculation 7 4 3" xfId="3566"/>
    <cellStyle name="Calculation 8 2" xfId="3567"/>
    <cellStyle name="Calculation 8 2 2" xfId="3568"/>
    <cellStyle name="Calculation 8 2 3" xfId="3569"/>
    <cellStyle name="Calculation 8 3" xfId="3570"/>
    <cellStyle name="Calculation 8 3 2" xfId="3571"/>
    <cellStyle name="Calculation 8 3 3" xfId="3572"/>
    <cellStyle name="Calculation 8 4" xfId="3573"/>
    <cellStyle name="Calculation 8 4 2" xfId="3574"/>
    <cellStyle name="Calculation 8 4 3" xfId="3575"/>
    <cellStyle name="Calculation 9 2" xfId="3576"/>
    <cellStyle name="Calculation 9 2 2" xfId="3577"/>
    <cellStyle name="Calculation 9 2 3" xfId="3578"/>
    <cellStyle name="Calculation 9 3" xfId="3579"/>
    <cellStyle name="Calculation 9 3 2" xfId="3580"/>
    <cellStyle name="Calculation 9 3 3" xfId="3581"/>
    <cellStyle name="Calculation 9 4" xfId="3582"/>
    <cellStyle name="Calculation 9 4 2" xfId="3583"/>
    <cellStyle name="Calculation 9 4 3" xfId="3584"/>
    <cellStyle name="Cancel" xfId="3585"/>
    <cellStyle name="category" xfId="3586"/>
    <cellStyle name="Cellule liée" xfId="3587"/>
    <cellStyle name="Cerrency_Sheet2_XANGDAU" xfId="3588"/>
    <cellStyle name="CExplanatory Text 2" xfId="3589"/>
    <cellStyle name="Check Cell 1" xfId="3590"/>
    <cellStyle name="Check Cell 10 2" xfId="3591"/>
    <cellStyle name="Check Cell 10 3" xfId="3592"/>
    <cellStyle name="Check Cell 10 4" xfId="3593"/>
    <cellStyle name="Check Cell 11 2" xfId="3594"/>
    <cellStyle name="Check Cell 11 3" xfId="3595"/>
    <cellStyle name="Check Cell 11 4" xfId="3596"/>
    <cellStyle name="Check Cell 12 2" xfId="3597"/>
    <cellStyle name="Check Cell 12 3" xfId="3598"/>
    <cellStyle name="Check Cell 12 4" xfId="3599"/>
    <cellStyle name="Check Cell 13 2" xfId="3600"/>
    <cellStyle name="Check Cell 13 3" xfId="3601"/>
    <cellStyle name="Check Cell 13 4" xfId="3602"/>
    <cellStyle name="Check Cell 14 2" xfId="3603"/>
    <cellStyle name="Check Cell 14 3" xfId="3604"/>
    <cellStyle name="Check Cell 14 4" xfId="3605"/>
    <cellStyle name="Check Cell 15 2" xfId="3606"/>
    <cellStyle name="Check Cell 15 3" xfId="3607"/>
    <cellStyle name="Check Cell 15 4" xfId="3608"/>
    <cellStyle name="Check Cell 16 2" xfId="3609"/>
    <cellStyle name="Check Cell 16 3" xfId="3610"/>
    <cellStyle name="Check Cell 16 4" xfId="3611"/>
    <cellStyle name="Check Cell 17 2" xfId="3612"/>
    <cellStyle name="Check Cell 17 3" xfId="3613"/>
    <cellStyle name="Check Cell 17 4" xfId="3614"/>
    <cellStyle name="Check Cell 17 4 2" xfId="3615"/>
    <cellStyle name="Check Cell 2" xfId="3616"/>
    <cellStyle name="Check Cell 2 2" xfId="3617"/>
    <cellStyle name="Check Cell 2 3" xfId="3618"/>
    <cellStyle name="Check Cell 2 4" xfId="3619"/>
    <cellStyle name="Check Cell 3" xfId="3620"/>
    <cellStyle name="Check Cell 3 2" xfId="3621"/>
    <cellStyle name="Check Cell 3 3" xfId="3622"/>
    <cellStyle name="Check Cell 3 4" xfId="3623"/>
    <cellStyle name="Check Cell 4" xfId="3624"/>
    <cellStyle name="Check Cell 4 2" xfId="3625"/>
    <cellStyle name="Check Cell 4 3" xfId="3626"/>
    <cellStyle name="Check Cell 4 4" xfId="3627"/>
    <cellStyle name="Check Cell 5" xfId="3628"/>
    <cellStyle name="Check Cell 5 2" xfId="3629"/>
    <cellStyle name="Check Cell 5 3" xfId="3630"/>
    <cellStyle name="Check Cell 5 4" xfId="3631"/>
    <cellStyle name="Check Cell 6" xfId="3632"/>
    <cellStyle name="Check Cell 6 2" xfId="3633"/>
    <cellStyle name="Check Cell 6 3" xfId="3634"/>
    <cellStyle name="Check Cell 6 4" xfId="3635"/>
    <cellStyle name="Check Cell 7 2" xfId="3636"/>
    <cellStyle name="Check Cell 7 3" xfId="3637"/>
    <cellStyle name="Check Cell 7 4" xfId="3638"/>
    <cellStyle name="Check Cell 8 2" xfId="3639"/>
    <cellStyle name="Check Cell 8 3" xfId="3640"/>
    <cellStyle name="Check Cell 8 4" xfId="3641"/>
    <cellStyle name="Check Cell 9 2" xfId="3642"/>
    <cellStyle name="Check Cell 9 3" xfId="3643"/>
    <cellStyle name="Check Cell 9 4" xfId="3644"/>
    <cellStyle name="CHUONG" xfId="3645"/>
    <cellStyle name="CombinedVol_Data" xfId="3646"/>
    <cellStyle name="Comma" xfId="3647" builtinId="3"/>
    <cellStyle name="Comma  - Style1" xfId="3648"/>
    <cellStyle name="Comma  - Style2" xfId="3649"/>
    <cellStyle name="Comma  - Style3" xfId="3650"/>
    <cellStyle name="Comma  - Style4" xfId="3651"/>
    <cellStyle name="Comma  - Style5" xfId="3652"/>
    <cellStyle name="Comma  - Style6" xfId="3653"/>
    <cellStyle name="Comma  - Style7" xfId="3654"/>
    <cellStyle name="Comma  - Style8" xfId="3655"/>
    <cellStyle name="Comma [0] 10" xfId="3656"/>
    <cellStyle name="Comma [0] 10 2" xfId="3657"/>
    <cellStyle name="Comma [0] 11" xfId="3658"/>
    <cellStyle name="Comma [0] 11 2" xfId="3659"/>
    <cellStyle name="Comma [0] 11 3" xfId="3660"/>
    <cellStyle name="Comma [0] 11 4" xfId="3661"/>
    <cellStyle name="Comma [0] 11 5" xfId="3662"/>
    <cellStyle name="Comma [0] 12" xfId="3663"/>
    <cellStyle name="Comma [0] 12 2" xfId="3664"/>
    <cellStyle name="Comma [0] 12 3" xfId="3665"/>
    <cellStyle name="Comma [0] 12 4" xfId="3666"/>
    <cellStyle name="Comma [0] 12 5" xfId="3667"/>
    <cellStyle name="Comma [0] 13" xfId="3668"/>
    <cellStyle name="Comma [0] 13 2" xfId="3669"/>
    <cellStyle name="Comma [0] 13 3" xfId="3670"/>
    <cellStyle name="Comma [0] 13 4" xfId="3671"/>
    <cellStyle name="Comma [0] 13 5" xfId="3672"/>
    <cellStyle name="Comma [0] 14" xfId="3673"/>
    <cellStyle name="Comma [0] 14 2" xfId="3674"/>
    <cellStyle name="Comma [0] 15" xfId="3675"/>
    <cellStyle name="Comma [0] 16" xfId="3676"/>
    <cellStyle name="Comma [0] 17" xfId="3677"/>
    <cellStyle name="Comma [0] 18" xfId="3678"/>
    <cellStyle name="Comma [0] 19" xfId="3679"/>
    <cellStyle name="Comma [0] 2" xfId="3680"/>
    <cellStyle name="Comma [0] 2 10" xfId="3681"/>
    <cellStyle name="Comma [0] 2 10 10" xfId="3682"/>
    <cellStyle name="Comma [0] 2 10 11" xfId="3683"/>
    <cellStyle name="Comma [0] 2 10 12" xfId="3684"/>
    <cellStyle name="Comma [0] 2 10 2" xfId="3685"/>
    <cellStyle name="Comma [0] 2 10 2 2" xfId="3686"/>
    <cellStyle name="Comma [0] 2 10 2 2 2" xfId="3687"/>
    <cellStyle name="Comma [0] 2 10 2 2 3" xfId="3688"/>
    <cellStyle name="Comma [0] 2 10 2 2 4" xfId="3689"/>
    <cellStyle name="Comma [0] 2 10 2 3" xfId="3690"/>
    <cellStyle name="Comma [0] 2 10 2 4" xfId="3691"/>
    <cellStyle name="Comma [0] 2 10 2 5" xfId="3692"/>
    <cellStyle name="Comma [0] 2 10 2 6" xfId="3693"/>
    <cellStyle name="Comma [0] 2 10 2 7" xfId="3694"/>
    <cellStyle name="Comma [0] 2 10 2 8" xfId="3695"/>
    <cellStyle name="Comma [0] 2 10 2 9" xfId="3696"/>
    <cellStyle name="Comma [0] 2 10 3" xfId="3697"/>
    <cellStyle name="Comma [0] 2 10 3 2" xfId="3698"/>
    <cellStyle name="Comma [0] 2 10 3 3" xfId="3699"/>
    <cellStyle name="Comma [0] 2 10 3 4" xfId="3700"/>
    <cellStyle name="Comma [0] 2 10 3 5" xfId="3701"/>
    <cellStyle name="Comma [0] 2 10 3 6" xfId="3702"/>
    <cellStyle name="Comma [0] 2 10 3 7" xfId="3703"/>
    <cellStyle name="Comma [0] 2 10 3 8" xfId="3704"/>
    <cellStyle name="Comma [0] 2 10 4" xfId="3705"/>
    <cellStyle name="Comma [0] 2 10 4 2" xfId="3706"/>
    <cellStyle name="Comma [0] 2 10 4 3" xfId="3707"/>
    <cellStyle name="Comma [0] 2 10 4 4" xfId="3708"/>
    <cellStyle name="Comma [0] 2 10 4 5" xfId="3709"/>
    <cellStyle name="Comma [0] 2 10 5" xfId="3710"/>
    <cellStyle name="Comma [0] 2 10 5 2" xfId="3711"/>
    <cellStyle name="Comma [0] 2 10 5 3" xfId="3712"/>
    <cellStyle name="Comma [0] 2 10 5 4" xfId="3713"/>
    <cellStyle name="Comma [0] 2 10 5 5" xfId="3714"/>
    <cellStyle name="Comma [0] 2 10 6" xfId="3715"/>
    <cellStyle name="Comma [0] 2 10 6 2" xfId="3716"/>
    <cellStyle name="Comma [0] 2 10 6 3" xfId="3717"/>
    <cellStyle name="Comma [0] 2 10 6 4" xfId="3718"/>
    <cellStyle name="Comma [0] 2 10 6 5" xfId="3719"/>
    <cellStyle name="Comma [0] 2 10 7" xfId="3720"/>
    <cellStyle name="Comma [0] 2 10 8" xfId="3721"/>
    <cellStyle name="Comma [0] 2 10 9" xfId="3722"/>
    <cellStyle name="Comma [0] 2 11" xfId="3723"/>
    <cellStyle name="Comma [0] 2 11 10" xfId="3724"/>
    <cellStyle name="Comma [0] 2 11 11" xfId="3725"/>
    <cellStyle name="Comma [0] 2 11 2" xfId="3726"/>
    <cellStyle name="Comma [0] 2 11 2 2" xfId="3727"/>
    <cellStyle name="Comma [0] 2 11 2 3" xfId="3728"/>
    <cellStyle name="Comma [0] 2 11 2 4" xfId="3729"/>
    <cellStyle name="Comma [0] 2 11 2 5" xfId="3730"/>
    <cellStyle name="Comma [0] 2 11 3" xfId="3731"/>
    <cellStyle name="Comma [0] 2 11 3 2" xfId="3732"/>
    <cellStyle name="Comma [0] 2 11 3 3" xfId="3733"/>
    <cellStyle name="Comma [0] 2 11 3 4" xfId="3734"/>
    <cellStyle name="Comma [0] 2 11 3 5" xfId="3735"/>
    <cellStyle name="Comma [0] 2 11 4" xfId="3736"/>
    <cellStyle name="Comma [0] 2 11 5" xfId="3737"/>
    <cellStyle name="Comma [0] 2 11 6" xfId="3738"/>
    <cellStyle name="Comma [0] 2 11 7" xfId="3739"/>
    <cellStyle name="Comma [0] 2 11 8" xfId="3740"/>
    <cellStyle name="Comma [0] 2 11 9" xfId="3741"/>
    <cellStyle name="Comma [0] 2 12" xfId="3742"/>
    <cellStyle name="Comma [0] 2 12 10" xfId="3743"/>
    <cellStyle name="Comma [0] 2 12 11" xfId="3744"/>
    <cellStyle name="Comma [0] 2 12 2" xfId="3745"/>
    <cellStyle name="Comma [0] 2 12 2 2" xfId="3746"/>
    <cellStyle name="Comma [0] 2 12 2 3" xfId="3747"/>
    <cellStyle name="Comma [0] 2 12 2 4" xfId="3748"/>
    <cellStyle name="Comma [0] 2 12 2 5" xfId="3749"/>
    <cellStyle name="Comma [0] 2 12 2 6" xfId="3750"/>
    <cellStyle name="Comma [0] 2 12 2 7" xfId="3751"/>
    <cellStyle name="Comma [0] 2 12 2 8" xfId="3752"/>
    <cellStyle name="Comma [0] 2 12 3" xfId="3753"/>
    <cellStyle name="Comma [0] 2 12 3 2" xfId="3754"/>
    <cellStyle name="Comma [0] 2 12 3 3" xfId="3755"/>
    <cellStyle name="Comma [0] 2 12 3 4" xfId="3756"/>
    <cellStyle name="Comma [0] 2 12 3 5" xfId="3757"/>
    <cellStyle name="Comma [0] 2 12 4" xfId="3758"/>
    <cellStyle name="Comma [0] 2 12 4 2" xfId="3759"/>
    <cellStyle name="Comma [0] 2 12 4 3" xfId="3760"/>
    <cellStyle name="Comma [0] 2 12 4 4" xfId="3761"/>
    <cellStyle name="Comma [0] 2 12 4 5" xfId="3762"/>
    <cellStyle name="Comma [0] 2 12 5" xfId="3763"/>
    <cellStyle name="Comma [0] 2 12 5 2" xfId="3764"/>
    <cellStyle name="Comma [0] 2 12 5 3" xfId="3765"/>
    <cellStyle name="Comma [0] 2 12 5 4" xfId="3766"/>
    <cellStyle name="Comma [0] 2 12 5 5" xfId="3767"/>
    <cellStyle name="Comma [0] 2 12 6" xfId="3768"/>
    <cellStyle name="Comma [0] 2 12 7" xfId="3769"/>
    <cellStyle name="Comma [0] 2 12 8" xfId="3770"/>
    <cellStyle name="Comma [0] 2 12 9" xfId="3771"/>
    <cellStyle name="Comma [0] 2 13" xfId="3772"/>
    <cellStyle name="Comma [0] 2 13 10" xfId="3773"/>
    <cellStyle name="Comma [0] 2 13 11" xfId="3774"/>
    <cellStyle name="Comma [0] 2 13 2" xfId="3775"/>
    <cellStyle name="Comma [0] 2 13 2 2" xfId="3776"/>
    <cellStyle name="Comma [0] 2 13 2 3" xfId="3777"/>
    <cellStyle name="Comma [0] 2 13 2 4" xfId="3778"/>
    <cellStyle name="Comma [0] 2 13 2 5" xfId="3779"/>
    <cellStyle name="Comma [0] 2 13 2 6" xfId="3780"/>
    <cellStyle name="Comma [0] 2 13 2 7" xfId="3781"/>
    <cellStyle name="Comma [0] 2 13 2 8" xfId="3782"/>
    <cellStyle name="Comma [0] 2 13 3" xfId="3783"/>
    <cellStyle name="Comma [0] 2 13 3 2" xfId="3784"/>
    <cellStyle name="Comma [0] 2 13 3 3" xfId="3785"/>
    <cellStyle name="Comma [0] 2 13 3 4" xfId="3786"/>
    <cellStyle name="Comma [0] 2 13 3 5" xfId="3787"/>
    <cellStyle name="Comma [0] 2 13 4" xfId="3788"/>
    <cellStyle name="Comma [0] 2 13 4 2" xfId="3789"/>
    <cellStyle name="Comma [0] 2 13 4 3" xfId="3790"/>
    <cellStyle name="Comma [0] 2 13 4 4" xfId="3791"/>
    <cellStyle name="Comma [0] 2 13 4 5" xfId="3792"/>
    <cellStyle name="Comma [0] 2 13 5" xfId="3793"/>
    <cellStyle name="Comma [0] 2 13 5 2" xfId="3794"/>
    <cellStyle name="Comma [0] 2 13 5 3" xfId="3795"/>
    <cellStyle name="Comma [0] 2 13 5 4" xfId="3796"/>
    <cellStyle name="Comma [0] 2 13 5 5" xfId="3797"/>
    <cellStyle name="Comma [0] 2 13 6" xfId="3798"/>
    <cellStyle name="Comma [0] 2 13 7" xfId="3799"/>
    <cellStyle name="Comma [0] 2 13 8" xfId="3800"/>
    <cellStyle name="Comma [0] 2 13 9" xfId="3801"/>
    <cellStyle name="Comma [0] 2 14" xfId="3802"/>
    <cellStyle name="Comma [0] 2 14 10" xfId="3803"/>
    <cellStyle name="Comma [0] 2 14 11" xfId="3804"/>
    <cellStyle name="Comma [0] 2 14 2" xfId="3805"/>
    <cellStyle name="Comma [0] 2 14 2 2" xfId="3806"/>
    <cellStyle name="Comma [0] 2 14 2 3" xfId="3807"/>
    <cellStyle name="Comma [0] 2 14 2 4" xfId="3808"/>
    <cellStyle name="Comma [0] 2 14 2 5" xfId="3809"/>
    <cellStyle name="Comma [0] 2 14 3" xfId="3810"/>
    <cellStyle name="Comma [0] 2 14 3 2" xfId="3811"/>
    <cellStyle name="Comma [0] 2 14 3 3" xfId="3812"/>
    <cellStyle name="Comma [0] 2 14 3 4" xfId="3813"/>
    <cellStyle name="Comma [0] 2 14 3 5" xfId="3814"/>
    <cellStyle name="Comma [0] 2 14 4" xfId="3815"/>
    <cellStyle name="Comma [0] 2 14 4 2" xfId="3816"/>
    <cellStyle name="Comma [0] 2 14 4 3" xfId="3817"/>
    <cellStyle name="Comma [0] 2 14 4 4" xfId="3818"/>
    <cellStyle name="Comma [0] 2 14 4 5" xfId="3819"/>
    <cellStyle name="Comma [0] 2 14 5" xfId="3820"/>
    <cellStyle name="Comma [0] 2 14 6" xfId="3821"/>
    <cellStyle name="Comma [0] 2 14 7" xfId="3822"/>
    <cellStyle name="Comma [0] 2 14 8" xfId="3823"/>
    <cellStyle name="Comma [0] 2 14 9" xfId="3824"/>
    <cellStyle name="Comma [0] 2 15" xfId="3825"/>
    <cellStyle name="Comma [0] 2 15 10" xfId="3826"/>
    <cellStyle name="Comma [0] 2 15 11" xfId="3827"/>
    <cellStyle name="Comma [0] 2 15 2" xfId="3828"/>
    <cellStyle name="Comma [0] 2 15 2 2" xfId="3829"/>
    <cellStyle name="Comma [0] 2 15 2 3" xfId="3830"/>
    <cellStyle name="Comma [0] 2 15 2 4" xfId="3831"/>
    <cellStyle name="Comma [0] 2 15 2 5" xfId="3832"/>
    <cellStyle name="Comma [0] 2 15 3" xfId="3833"/>
    <cellStyle name="Comma [0] 2 15 3 2" xfId="3834"/>
    <cellStyle name="Comma [0] 2 15 3 3" xfId="3835"/>
    <cellStyle name="Comma [0] 2 15 3 4" xfId="3836"/>
    <cellStyle name="Comma [0] 2 15 3 5" xfId="3837"/>
    <cellStyle name="Comma [0] 2 15 4" xfId="3838"/>
    <cellStyle name="Comma [0] 2 15 4 2" xfId="3839"/>
    <cellStyle name="Comma [0] 2 15 4 3" xfId="3840"/>
    <cellStyle name="Comma [0] 2 15 4 4" xfId="3841"/>
    <cellStyle name="Comma [0] 2 15 4 5" xfId="3842"/>
    <cellStyle name="Comma [0] 2 15 5" xfId="3843"/>
    <cellStyle name="Comma [0] 2 15 6" xfId="3844"/>
    <cellStyle name="Comma [0] 2 15 7" xfId="3845"/>
    <cellStyle name="Comma [0] 2 15 8" xfId="3846"/>
    <cellStyle name="Comma [0] 2 15 9" xfId="3847"/>
    <cellStyle name="Comma [0] 2 16" xfId="3848"/>
    <cellStyle name="Comma [0] 2 16 10" xfId="3849"/>
    <cellStyle name="Comma [0] 2 16 11" xfId="3850"/>
    <cellStyle name="Comma [0] 2 16 2" xfId="3851"/>
    <cellStyle name="Comma [0] 2 16 3" xfId="3852"/>
    <cellStyle name="Comma [0] 2 16 4" xfId="3853"/>
    <cellStyle name="Comma [0] 2 16 5" xfId="3854"/>
    <cellStyle name="Comma [0] 2 16 6" xfId="3855"/>
    <cellStyle name="Comma [0] 2 16 7" xfId="3856"/>
    <cellStyle name="Comma [0] 2 16 8" xfId="3857"/>
    <cellStyle name="Comma [0] 2 16 9" xfId="3858"/>
    <cellStyle name="Comma [0] 2 17" xfId="3859"/>
    <cellStyle name="Comma [0] 2 17 10" xfId="3860"/>
    <cellStyle name="Comma [0] 2 17 11" xfId="3861"/>
    <cellStyle name="Comma [0] 2 17 2" xfId="3862"/>
    <cellStyle name="Comma [0] 2 17 3" xfId="3863"/>
    <cellStyle name="Comma [0] 2 17 4" xfId="3864"/>
    <cellStyle name="Comma [0] 2 17 5" xfId="3865"/>
    <cellStyle name="Comma [0] 2 17 6" xfId="3866"/>
    <cellStyle name="Comma [0] 2 17 7" xfId="3867"/>
    <cellStyle name="Comma [0] 2 17 8" xfId="3868"/>
    <cellStyle name="Comma [0] 2 17 9" xfId="3869"/>
    <cellStyle name="Comma [0] 2 18" xfId="3870"/>
    <cellStyle name="Comma [0] 2 18 10" xfId="3871"/>
    <cellStyle name="Comma [0] 2 18 11" xfId="3872"/>
    <cellStyle name="Comma [0] 2 18 2" xfId="3873"/>
    <cellStyle name="Comma [0] 2 18 3" xfId="3874"/>
    <cellStyle name="Comma [0] 2 18 4" xfId="3875"/>
    <cellStyle name="Comma [0] 2 18 5" xfId="3876"/>
    <cellStyle name="Comma [0] 2 18 6" xfId="3877"/>
    <cellStyle name="Comma [0] 2 18 7" xfId="3878"/>
    <cellStyle name="Comma [0] 2 18 8" xfId="3879"/>
    <cellStyle name="Comma [0] 2 18 9" xfId="3880"/>
    <cellStyle name="Comma [0] 2 19" xfId="3881"/>
    <cellStyle name="Comma [0] 2 19 10" xfId="3882"/>
    <cellStyle name="Comma [0] 2 19 11" xfId="3883"/>
    <cellStyle name="Comma [0] 2 19 2" xfId="3884"/>
    <cellStyle name="Comma [0] 2 19 3" xfId="3885"/>
    <cellStyle name="Comma [0] 2 19 4" xfId="3886"/>
    <cellStyle name="Comma [0] 2 19 5" xfId="3887"/>
    <cellStyle name="Comma [0] 2 19 6" xfId="3888"/>
    <cellStyle name="Comma [0] 2 19 7" xfId="3889"/>
    <cellStyle name="Comma [0] 2 19 8" xfId="3890"/>
    <cellStyle name="Comma [0] 2 19 9" xfId="3891"/>
    <cellStyle name="Comma [0] 2 2" xfId="3892"/>
    <cellStyle name="Comma [0] 2 2 10" xfId="3893"/>
    <cellStyle name="Comma [0] 2 2 10 2" xfId="3894"/>
    <cellStyle name="Comma [0] 2 2 10 2 2" xfId="3895"/>
    <cellStyle name="Comma [0] 2 2 10 2 3" xfId="3896"/>
    <cellStyle name="Comma [0] 2 2 10 2 4" xfId="3897"/>
    <cellStyle name="Comma [0] 2 2 10 3" xfId="3898"/>
    <cellStyle name="Comma [0] 2 2 10 4" xfId="3899"/>
    <cellStyle name="Comma [0] 2 2 10 5" xfId="3900"/>
    <cellStyle name="Comma [0] 2 2 10 6" xfId="3901"/>
    <cellStyle name="Comma [0] 2 2 10 7" xfId="3902"/>
    <cellStyle name="Comma [0] 2 2 10 8" xfId="3903"/>
    <cellStyle name="Comma [0] 2 2 10 9" xfId="3904"/>
    <cellStyle name="Comma [0] 2 2 11" xfId="3905"/>
    <cellStyle name="Comma [0] 2 2 11 2" xfId="3906"/>
    <cellStyle name="Comma [0] 2 2 11 3" xfId="3907"/>
    <cellStyle name="Comma [0] 2 2 11 4" xfId="3908"/>
    <cellStyle name="Comma [0] 2 2 11 5" xfId="3909"/>
    <cellStyle name="Comma [0] 2 2 11 6" xfId="3910"/>
    <cellStyle name="Comma [0] 2 2 11 7" xfId="3911"/>
    <cellStyle name="Comma [0] 2 2 11 8" xfId="3912"/>
    <cellStyle name="Comma [0] 2 2 12" xfId="3913"/>
    <cellStyle name="Comma [0] 2 2 12 2" xfId="3914"/>
    <cellStyle name="Comma [0] 2 2 12 3" xfId="3915"/>
    <cellStyle name="Comma [0] 2 2 12 4" xfId="3916"/>
    <cellStyle name="Comma [0] 2 2 12 5" xfId="3917"/>
    <cellStyle name="Comma [0] 2 2 12 6" xfId="3918"/>
    <cellStyle name="Comma [0] 2 2 12 7" xfId="3919"/>
    <cellStyle name="Comma [0] 2 2 12 8" xfId="3920"/>
    <cellStyle name="Comma [0] 2 2 13" xfId="3921"/>
    <cellStyle name="Comma [0] 2 2 13 2" xfId="3922"/>
    <cellStyle name="Comma [0] 2 2 13 3" xfId="3923"/>
    <cellStyle name="Comma [0] 2 2 13 4" xfId="3924"/>
    <cellStyle name="Comma [0] 2 2 13 5" xfId="3925"/>
    <cellStyle name="Comma [0] 2 2 13 6" xfId="3926"/>
    <cellStyle name="Comma [0] 2 2 13 7" xfId="3927"/>
    <cellStyle name="Comma [0] 2 2 13 8" xfId="3928"/>
    <cellStyle name="Comma [0] 2 2 14" xfId="3929"/>
    <cellStyle name="Comma [0] 2 2 14 2" xfId="3930"/>
    <cellStyle name="Comma [0] 2 2 14 3" xfId="3931"/>
    <cellStyle name="Comma [0] 2 2 14 4" xfId="3932"/>
    <cellStyle name="Comma [0] 2 2 14 5" xfId="3933"/>
    <cellStyle name="Comma [0] 2 2 15" xfId="3934"/>
    <cellStyle name="Comma [0] 2 2 15 2" xfId="3935"/>
    <cellStyle name="Comma [0] 2 2 15 3" xfId="3936"/>
    <cellStyle name="Comma [0] 2 2 15 4" xfId="3937"/>
    <cellStyle name="Comma [0] 2 2 15 5" xfId="3938"/>
    <cellStyle name="Comma [0] 2 2 16" xfId="3939"/>
    <cellStyle name="Comma [0] 2 2 17" xfId="3940"/>
    <cellStyle name="Comma [0] 2 2 18" xfId="3941"/>
    <cellStyle name="Comma [0] 2 2 19" xfId="3942"/>
    <cellStyle name="Comma [0] 2 2 2" xfId="3943"/>
    <cellStyle name="Comma [0] 2 2 2 10" xfId="3944"/>
    <cellStyle name="Comma [0] 2 2 2 11" xfId="3945"/>
    <cellStyle name="Comma [0] 2 2 2 12" xfId="3946"/>
    <cellStyle name="Comma [0] 2 2 2 13" xfId="3947"/>
    <cellStyle name="Comma [0] 2 2 2 14" xfId="3948"/>
    <cellStyle name="Comma [0] 2 2 2 15" xfId="3949"/>
    <cellStyle name="Comma [0] 2 2 2 16" xfId="3950"/>
    <cellStyle name="Comma [0] 2 2 2 2" xfId="3951"/>
    <cellStyle name="Comma [0] 2 2 2 2 10" xfId="3952"/>
    <cellStyle name="Comma [0] 2 2 2 2 2" xfId="3953"/>
    <cellStyle name="Comma [0] 2 2 2 2 2 2" xfId="3954"/>
    <cellStyle name="Comma [0] 2 2 2 2 2 2 2" xfId="3955"/>
    <cellStyle name="Comma [0] 2 2 2 2 2 2 2 2" xfId="3956"/>
    <cellStyle name="Comma [0] 2 2 2 2 2 2 2 3" xfId="3957"/>
    <cellStyle name="Comma [0] 2 2 2 2 2 2 2 4" xfId="3958"/>
    <cellStyle name="Comma [0] 2 2 2 2 2 2 3" xfId="3959"/>
    <cellStyle name="Comma [0] 2 2 2 2 2 2 4" xfId="3960"/>
    <cellStyle name="Comma [0] 2 2 2 2 2 2 5" xfId="3961"/>
    <cellStyle name="Comma [0] 2 2 2 2 2 3" xfId="3962"/>
    <cellStyle name="Comma [0] 2 2 2 2 2 3 2" xfId="3963"/>
    <cellStyle name="Comma [0] 2 2 2 2 2 3 3" xfId="3964"/>
    <cellStyle name="Comma [0] 2 2 2 2 2 3 4" xfId="3965"/>
    <cellStyle name="Comma [0] 2 2 2 2 2 4" xfId="3966"/>
    <cellStyle name="Comma [0] 2 2 2 2 2 5" xfId="3967"/>
    <cellStyle name="Comma [0] 2 2 2 2 2 6" xfId="3968"/>
    <cellStyle name="Comma [0] 2 2 2 2 3" xfId="3969"/>
    <cellStyle name="Comma [0] 2 2 2 2 3 2" xfId="3970"/>
    <cellStyle name="Comma [0] 2 2 2 2 3 2 2" xfId="3971"/>
    <cellStyle name="Comma [0] 2 2 2 2 3 2 2 2" xfId="3972"/>
    <cellStyle name="Comma [0] 2 2 2 2 3 2 2 3" xfId="3973"/>
    <cellStyle name="Comma [0] 2 2 2 2 3 2 2 4" xfId="3974"/>
    <cellStyle name="Comma [0] 2 2 2 2 3 2 3" xfId="3975"/>
    <cellStyle name="Comma [0] 2 2 2 2 3 2 4" xfId="3976"/>
    <cellStyle name="Comma [0] 2 2 2 2 3 2 5" xfId="3977"/>
    <cellStyle name="Comma [0] 2 2 2 2 3 3" xfId="3978"/>
    <cellStyle name="Comma [0] 2 2 2 2 3 3 2" xfId="3979"/>
    <cellStyle name="Comma [0] 2 2 2 2 3 3 3" xfId="3980"/>
    <cellStyle name="Comma [0] 2 2 2 2 3 3 4" xfId="3981"/>
    <cellStyle name="Comma [0] 2 2 2 2 3 4" xfId="3982"/>
    <cellStyle name="Comma [0] 2 2 2 2 3 5" xfId="3983"/>
    <cellStyle name="Comma [0] 2 2 2 2 3 6" xfId="3984"/>
    <cellStyle name="Comma [0] 2 2 2 2 4" xfId="3985"/>
    <cellStyle name="Comma [0] 2 2 2 2 4 2" xfId="3986"/>
    <cellStyle name="Comma [0] 2 2 2 2 4 2 2" xfId="3987"/>
    <cellStyle name="Comma [0] 2 2 2 2 4 2 3" xfId="3988"/>
    <cellStyle name="Comma [0] 2 2 2 2 4 2 4" xfId="3989"/>
    <cellStyle name="Comma [0] 2 2 2 2 4 3" xfId="3990"/>
    <cellStyle name="Comma [0] 2 2 2 2 4 4" xfId="3991"/>
    <cellStyle name="Comma [0] 2 2 2 2 4 5" xfId="3992"/>
    <cellStyle name="Comma [0] 2 2 2 2 5" xfId="3993"/>
    <cellStyle name="Comma [0] 2 2 2 2 5 2" xfId="3994"/>
    <cellStyle name="Comma [0] 2 2 2 2 5 2 2" xfId="3995"/>
    <cellStyle name="Comma [0] 2 2 2 2 5 2 3" xfId="3996"/>
    <cellStyle name="Comma [0] 2 2 2 2 5 2 4" xfId="3997"/>
    <cellStyle name="Comma [0] 2 2 2 2 5 3" xfId="3998"/>
    <cellStyle name="Comma [0] 2 2 2 2 5 4" xfId="3999"/>
    <cellStyle name="Comma [0] 2 2 2 2 5 5" xfId="4000"/>
    <cellStyle name="Comma [0] 2 2 2 2 6" xfId="4001"/>
    <cellStyle name="Comma [0] 2 2 2 2 6 2" xfId="4002"/>
    <cellStyle name="Comma [0] 2 2 2 2 6 3" xfId="4003"/>
    <cellStyle name="Comma [0] 2 2 2 2 6 4" xfId="4004"/>
    <cellStyle name="Comma [0] 2 2 2 2 7" xfId="4005"/>
    <cellStyle name="Comma [0] 2 2 2 2 7 2" xfId="4006"/>
    <cellStyle name="Comma [0] 2 2 2 2 7 3" xfId="4007"/>
    <cellStyle name="Comma [0] 2 2 2 2 7 4" xfId="4008"/>
    <cellStyle name="Comma [0] 2 2 2 2 8" xfId="4009"/>
    <cellStyle name="Comma [0] 2 2 2 2 9" xfId="4010"/>
    <cellStyle name="Comma [0] 2 2 2 3" xfId="4011"/>
    <cellStyle name="Comma [0] 2 2 2 4" xfId="4012"/>
    <cellStyle name="Comma [0] 2 2 2 4 2" xfId="4013"/>
    <cellStyle name="Comma [0] 2 2 2 4 2 2" xfId="4014"/>
    <cellStyle name="Comma [0] 2 2 2 4 2 2 2" xfId="4015"/>
    <cellStyle name="Comma [0] 2 2 2 4 2 2 3" xfId="4016"/>
    <cellStyle name="Comma [0] 2 2 2 4 2 2 4" xfId="4017"/>
    <cellStyle name="Comma [0] 2 2 2 4 2 3" xfId="4018"/>
    <cellStyle name="Comma [0] 2 2 2 4 2 4" xfId="4019"/>
    <cellStyle name="Comma [0] 2 2 2 4 2 5" xfId="4020"/>
    <cellStyle name="Comma [0] 2 2 2 4 3" xfId="4021"/>
    <cellStyle name="Comma [0] 2 2 2 4 3 2" xfId="4022"/>
    <cellStyle name="Comma [0] 2 2 2 4 3 3" xfId="4023"/>
    <cellStyle name="Comma [0] 2 2 2 4 3 4" xfId="4024"/>
    <cellStyle name="Comma [0] 2 2 2 4 4" xfId="4025"/>
    <cellStyle name="Comma [0] 2 2 2 4 5" xfId="4026"/>
    <cellStyle name="Comma [0] 2 2 2 4 6" xfId="4027"/>
    <cellStyle name="Comma [0] 2 2 2 5" xfId="4028"/>
    <cellStyle name="Comma [0] 2 2 2 5 2" xfId="4029"/>
    <cellStyle name="Comma [0] 2 2 2 5 2 2" xfId="4030"/>
    <cellStyle name="Comma [0] 2 2 2 5 2 2 2" xfId="4031"/>
    <cellStyle name="Comma [0] 2 2 2 5 2 2 3" xfId="4032"/>
    <cellStyle name="Comma [0] 2 2 2 5 2 2 4" xfId="4033"/>
    <cellStyle name="Comma [0] 2 2 2 5 2 3" xfId="4034"/>
    <cellStyle name="Comma [0] 2 2 2 5 2 4" xfId="4035"/>
    <cellStyle name="Comma [0] 2 2 2 5 2 5" xfId="4036"/>
    <cellStyle name="Comma [0] 2 2 2 5 3" xfId="4037"/>
    <cellStyle name="Comma [0] 2 2 2 5 3 2" xfId="4038"/>
    <cellStyle name="Comma [0] 2 2 2 5 3 3" xfId="4039"/>
    <cellStyle name="Comma [0] 2 2 2 5 3 4" xfId="4040"/>
    <cellStyle name="Comma [0] 2 2 2 5 4" xfId="4041"/>
    <cellStyle name="Comma [0] 2 2 2 5 5" xfId="4042"/>
    <cellStyle name="Comma [0] 2 2 2 5 6" xfId="4043"/>
    <cellStyle name="Comma [0] 2 2 2 6" xfId="4044"/>
    <cellStyle name="Comma [0] 2 2 2 6 2" xfId="4045"/>
    <cellStyle name="Comma [0] 2 2 2 6 2 2" xfId="4046"/>
    <cellStyle name="Comma [0] 2 2 2 6 2 3" xfId="4047"/>
    <cellStyle name="Comma [0] 2 2 2 6 2 4" xfId="4048"/>
    <cellStyle name="Comma [0] 2 2 2 6 3" xfId="4049"/>
    <cellStyle name="Comma [0] 2 2 2 6 4" xfId="4050"/>
    <cellStyle name="Comma [0] 2 2 2 6 5" xfId="4051"/>
    <cellStyle name="Comma [0] 2 2 2 7" xfId="4052"/>
    <cellStyle name="Comma [0] 2 2 2 7 2" xfId="4053"/>
    <cellStyle name="Comma [0] 2 2 2 7 2 2" xfId="4054"/>
    <cellStyle name="Comma [0] 2 2 2 7 2 3" xfId="4055"/>
    <cellStyle name="Comma [0] 2 2 2 7 2 4" xfId="4056"/>
    <cellStyle name="Comma [0] 2 2 2 7 3" xfId="4057"/>
    <cellStyle name="Comma [0] 2 2 2 7 4" xfId="4058"/>
    <cellStyle name="Comma [0] 2 2 2 7 5" xfId="4059"/>
    <cellStyle name="Comma [0] 2 2 2 8" xfId="4060"/>
    <cellStyle name="Comma [0] 2 2 2 8 2" xfId="4061"/>
    <cellStyle name="Comma [0] 2 2 2 8 3" xfId="4062"/>
    <cellStyle name="Comma [0] 2 2 2 8 4" xfId="4063"/>
    <cellStyle name="Comma [0] 2 2 2 9" xfId="4064"/>
    <cellStyle name="Comma [0] 2 2 2 9 2" xfId="4065"/>
    <cellStyle name="Comma [0] 2 2 2 9 3" xfId="4066"/>
    <cellStyle name="Comma [0] 2 2 2 9 4" xfId="4067"/>
    <cellStyle name="Comma [0] 2 2 20" xfId="4068"/>
    <cellStyle name="Comma [0] 2 2 21" xfId="4069"/>
    <cellStyle name="Comma [0] 2 2 3" xfId="4070"/>
    <cellStyle name="Comma [0] 2 2 3 10" xfId="4071"/>
    <cellStyle name="Comma [0] 2 2 3 11" xfId="4072"/>
    <cellStyle name="Comma [0] 2 2 3 2" xfId="4073"/>
    <cellStyle name="Comma [0] 2 2 3 3" xfId="4074"/>
    <cellStyle name="Comma [0] 2 2 3 3 2" xfId="4075"/>
    <cellStyle name="Comma [0] 2 2 3 3 2 2" xfId="4076"/>
    <cellStyle name="Comma [0] 2 2 3 3 2 2 2" xfId="4077"/>
    <cellStyle name="Comma [0] 2 2 3 3 2 2 3" xfId="4078"/>
    <cellStyle name="Comma [0] 2 2 3 3 2 2 4" xfId="4079"/>
    <cellStyle name="Comma [0] 2 2 3 3 2 3" xfId="4080"/>
    <cellStyle name="Comma [0] 2 2 3 3 2 4" xfId="4081"/>
    <cellStyle name="Comma [0] 2 2 3 3 2 5" xfId="4082"/>
    <cellStyle name="Comma [0] 2 2 3 3 3" xfId="4083"/>
    <cellStyle name="Comma [0] 2 2 3 3 3 2" xfId="4084"/>
    <cellStyle name="Comma [0] 2 2 3 3 3 3" xfId="4085"/>
    <cellStyle name="Comma [0] 2 2 3 3 3 4" xfId="4086"/>
    <cellStyle name="Comma [0] 2 2 3 3 4" xfId="4087"/>
    <cellStyle name="Comma [0] 2 2 3 3 5" xfId="4088"/>
    <cellStyle name="Comma [0] 2 2 3 3 6" xfId="4089"/>
    <cellStyle name="Comma [0] 2 2 3 4" xfId="4090"/>
    <cellStyle name="Comma [0] 2 2 3 4 2" xfId="4091"/>
    <cellStyle name="Comma [0] 2 2 3 4 2 2" xfId="4092"/>
    <cellStyle name="Comma [0] 2 2 3 4 2 2 2" xfId="4093"/>
    <cellStyle name="Comma [0] 2 2 3 4 2 2 3" xfId="4094"/>
    <cellStyle name="Comma [0] 2 2 3 4 2 2 4" xfId="4095"/>
    <cellStyle name="Comma [0] 2 2 3 4 2 3" xfId="4096"/>
    <cellStyle name="Comma [0] 2 2 3 4 2 4" xfId="4097"/>
    <cellStyle name="Comma [0] 2 2 3 4 2 5" xfId="4098"/>
    <cellStyle name="Comma [0] 2 2 3 4 3" xfId="4099"/>
    <cellStyle name="Comma [0] 2 2 3 4 3 2" xfId="4100"/>
    <cellStyle name="Comma [0] 2 2 3 4 3 3" xfId="4101"/>
    <cellStyle name="Comma [0] 2 2 3 4 3 4" xfId="4102"/>
    <cellStyle name="Comma [0] 2 2 3 4 4" xfId="4103"/>
    <cellStyle name="Comma [0] 2 2 3 4 5" xfId="4104"/>
    <cellStyle name="Comma [0] 2 2 3 4 6" xfId="4105"/>
    <cellStyle name="Comma [0] 2 2 3 5" xfId="4106"/>
    <cellStyle name="Comma [0] 2 2 3 5 2" xfId="4107"/>
    <cellStyle name="Comma [0] 2 2 3 5 2 2" xfId="4108"/>
    <cellStyle name="Comma [0] 2 2 3 5 2 3" xfId="4109"/>
    <cellStyle name="Comma [0] 2 2 3 5 2 4" xfId="4110"/>
    <cellStyle name="Comma [0] 2 2 3 5 3" xfId="4111"/>
    <cellStyle name="Comma [0] 2 2 3 5 4" xfId="4112"/>
    <cellStyle name="Comma [0] 2 2 3 5 5" xfId="4113"/>
    <cellStyle name="Comma [0] 2 2 3 6" xfId="4114"/>
    <cellStyle name="Comma [0] 2 2 3 6 2" xfId="4115"/>
    <cellStyle name="Comma [0] 2 2 3 6 2 2" xfId="4116"/>
    <cellStyle name="Comma [0] 2 2 3 6 2 3" xfId="4117"/>
    <cellStyle name="Comma [0] 2 2 3 6 2 4" xfId="4118"/>
    <cellStyle name="Comma [0] 2 2 3 6 3" xfId="4119"/>
    <cellStyle name="Comma [0] 2 2 3 6 4" xfId="4120"/>
    <cellStyle name="Comma [0] 2 2 3 6 5" xfId="4121"/>
    <cellStyle name="Comma [0] 2 2 3 7" xfId="4122"/>
    <cellStyle name="Comma [0] 2 2 3 7 2" xfId="4123"/>
    <cellStyle name="Comma [0] 2 2 3 7 3" xfId="4124"/>
    <cellStyle name="Comma [0] 2 2 3 7 4" xfId="4125"/>
    <cellStyle name="Comma [0] 2 2 3 8" xfId="4126"/>
    <cellStyle name="Comma [0] 2 2 3 8 2" xfId="4127"/>
    <cellStyle name="Comma [0] 2 2 3 8 3" xfId="4128"/>
    <cellStyle name="Comma [0] 2 2 3 8 4" xfId="4129"/>
    <cellStyle name="Comma [0] 2 2 3 9" xfId="4130"/>
    <cellStyle name="Comma [0] 2 2 4" xfId="4131"/>
    <cellStyle name="Comma [0] 2 2 4 10" xfId="4132"/>
    <cellStyle name="Comma [0] 2 2 4 2" xfId="4133"/>
    <cellStyle name="Comma [0] 2 2 4 2 2" xfId="4134"/>
    <cellStyle name="Comma [0] 2 2 4 2 2 2" xfId="4135"/>
    <cellStyle name="Comma [0] 2 2 4 2 2 2 2" xfId="4136"/>
    <cellStyle name="Comma [0] 2 2 4 2 2 2 3" xfId="4137"/>
    <cellStyle name="Comma [0] 2 2 4 2 2 2 4" xfId="4138"/>
    <cellStyle name="Comma [0] 2 2 4 2 2 3" xfId="4139"/>
    <cellStyle name="Comma [0] 2 2 4 2 2 4" xfId="4140"/>
    <cellStyle name="Comma [0] 2 2 4 2 2 5" xfId="4141"/>
    <cellStyle name="Comma [0] 2 2 4 2 3" xfId="4142"/>
    <cellStyle name="Comma [0] 2 2 4 2 3 2" xfId="4143"/>
    <cellStyle name="Comma [0] 2 2 4 2 3 3" xfId="4144"/>
    <cellStyle name="Comma [0] 2 2 4 2 3 4" xfId="4145"/>
    <cellStyle name="Comma [0] 2 2 4 2 4" xfId="4146"/>
    <cellStyle name="Comma [0] 2 2 4 2 5" xfId="4147"/>
    <cellStyle name="Comma [0] 2 2 4 2 6" xfId="4148"/>
    <cellStyle name="Comma [0] 2 2 4 3" xfId="4149"/>
    <cellStyle name="Comma [0] 2 2 4 3 2" xfId="4150"/>
    <cellStyle name="Comma [0] 2 2 4 3 2 2" xfId="4151"/>
    <cellStyle name="Comma [0] 2 2 4 3 2 2 2" xfId="4152"/>
    <cellStyle name="Comma [0] 2 2 4 3 2 2 3" xfId="4153"/>
    <cellStyle name="Comma [0] 2 2 4 3 2 2 4" xfId="4154"/>
    <cellStyle name="Comma [0] 2 2 4 3 2 3" xfId="4155"/>
    <cellStyle name="Comma [0] 2 2 4 3 2 4" xfId="4156"/>
    <cellStyle name="Comma [0] 2 2 4 3 2 5" xfId="4157"/>
    <cellStyle name="Comma [0] 2 2 4 3 3" xfId="4158"/>
    <cellStyle name="Comma [0] 2 2 4 3 3 2" xfId="4159"/>
    <cellStyle name="Comma [0] 2 2 4 3 3 3" xfId="4160"/>
    <cellStyle name="Comma [0] 2 2 4 3 3 4" xfId="4161"/>
    <cellStyle name="Comma [0] 2 2 4 3 4" xfId="4162"/>
    <cellStyle name="Comma [0] 2 2 4 3 5" xfId="4163"/>
    <cellStyle name="Comma [0] 2 2 4 3 6" xfId="4164"/>
    <cellStyle name="Comma [0] 2 2 4 4" xfId="4165"/>
    <cellStyle name="Comma [0] 2 2 4 4 2" xfId="4166"/>
    <cellStyle name="Comma [0] 2 2 4 4 2 2" xfId="4167"/>
    <cellStyle name="Comma [0] 2 2 4 4 2 3" xfId="4168"/>
    <cellStyle name="Comma [0] 2 2 4 4 2 4" xfId="4169"/>
    <cellStyle name="Comma [0] 2 2 4 4 3" xfId="4170"/>
    <cellStyle name="Comma [0] 2 2 4 4 4" xfId="4171"/>
    <cellStyle name="Comma [0] 2 2 4 4 5" xfId="4172"/>
    <cellStyle name="Comma [0] 2 2 4 5" xfId="4173"/>
    <cellStyle name="Comma [0] 2 2 4 5 2" xfId="4174"/>
    <cellStyle name="Comma [0] 2 2 4 5 2 2" xfId="4175"/>
    <cellStyle name="Comma [0] 2 2 4 5 2 3" xfId="4176"/>
    <cellStyle name="Comma [0] 2 2 4 5 2 4" xfId="4177"/>
    <cellStyle name="Comma [0] 2 2 4 5 3" xfId="4178"/>
    <cellStyle name="Comma [0] 2 2 4 5 4" xfId="4179"/>
    <cellStyle name="Comma [0] 2 2 4 5 5" xfId="4180"/>
    <cellStyle name="Comma [0] 2 2 4 6" xfId="4181"/>
    <cellStyle name="Comma [0] 2 2 4 6 2" xfId="4182"/>
    <cellStyle name="Comma [0] 2 2 4 6 3" xfId="4183"/>
    <cellStyle name="Comma [0] 2 2 4 6 4" xfId="4184"/>
    <cellStyle name="Comma [0] 2 2 4 7" xfId="4185"/>
    <cellStyle name="Comma [0] 2 2 4 7 2" xfId="4186"/>
    <cellStyle name="Comma [0] 2 2 4 7 3" xfId="4187"/>
    <cellStyle name="Comma [0] 2 2 4 7 4" xfId="4188"/>
    <cellStyle name="Comma [0] 2 2 4 8" xfId="4189"/>
    <cellStyle name="Comma [0] 2 2 4 9" xfId="4190"/>
    <cellStyle name="Comma [0] 2 2 5" xfId="4191"/>
    <cellStyle name="Comma [0] 2 2 5 10" xfId="4192"/>
    <cellStyle name="Comma [0] 2 2 5 2" xfId="4193"/>
    <cellStyle name="Comma [0] 2 2 5 2 2" xfId="4194"/>
    <cellStyle name="Comma [0] 2 2 5 2 2 2" xfId="4195"/>
    <cellStyle name="Comma [0] 2 2 5 2 2 2 2" xfId="4196"/>
    <cellStyle name="Comma [0] 2 2 5 2 2 2 3" xfId="4197"/>
    <cellStyle name="Comma [0] 2 2 5 2 2 2 4" xfId="4198"/>
    <cellStyle name="Comma [0] 2 2 5 2 2 3" xfId="4199"/>
    <cellStyle name="Comma [0] 2 2 5 2 2 4" xfId="4200"/>
    <cellStyle name="Comma [0] 2 2 5 2 2 5" xfId="4201"/>
    <cellStyle name="Comma [0] 2 2 5 2 3" xfId="4202"/>
    <cellStyle name="Comma [0] 2 2 5 2 3 2" xfId="4203"/>
    <cellStyle name="Comma [0] 2 2 5 2 3 3" xfId="4204"/>
    <cellStyle name="Comma [0] 2 2 5 2 3 4" xfId="4205"/>
    <cellStyle name="Comma [0] 2 2 5 2 4" xfId="4206"/>
    <cellStyle name="Comma [0] 2 2 5 2 5" xfId="4207"/>
    <cellStyle name="Comma [0] 2 2 5 2 6" xfId="4208"/>
    <cellStyle name="Comma [0] 2 2 5 3" xfId="4209"/>
    <cellStyle name="Comma [0] 2 2 5 3 2" xfId="4210"/>
    <cellStyle name="Comma [0] 2 2 5 3 2 2" xfId="4211"/>
    <cellStyle name="Comma [0] 2 2 5 3 2 2 2" xfId="4212"/>
    <cellStyle name="Comma [0] 2 2 5 3 2 2 3" xfId="4213"/>
    <cellStyle name="Comma [0] 2 2 5 3 2 2 4" xfId="4214"/>
    <cellStyle name="Comma [0] 2 2 5 3 2 3" xfId="4215"/>
    <cellStyle name="Comma [0] 2 2 5 3 2 4" xfId="4216"/>
    <cellStyle name="Comma [0] 2 2 5 3 2 5" xfId="4217"/>
    <cellStyle name="Comma [0] 2 2 5 3 3" xfId="4218"/>
    <cellStyle name="Comma [0] 2 2 5 3 3 2" xfId="4219"/>
    <cellStyle name="Comma [0] 2 2 5 3 3 3" xfId="4220"/>
    <cellStyle name="Comma [0] 2 2 5 3 3 4" xfId="4221"/>
    <cellStyle name="Comma [0] 2 2 5 3 4" xfId="4222"/>
    <cellStyle name="Comma [0] 2 2 5 3 5" xfId="4223"/>
    <cellStyle name="Comma [0] 2 2 5 3 6" xfId="4224"/>
    <cellStyle name="Comma [0] 2 2 5 4" xfId="4225"/>
    <cellStyle name="Comma [0] 2 2 5 4 2" xfId="4226"/>
    <cellStyle name="Comma [0] 2 2 5 4 2 2" xfId="4227"/>
    <cellStyle name="Comma [0] 2 2 5 4 2 3" xfId="4228"/>
    <cellStyle name="Comma [0] 2 2 5 4 2 4" xfId="4229"/>
    <cellStyle name="Comma [0] 2 2 5 4 3" xfId="4230"/>
    <cellStyle name="Comma [0] 2 2 5 4 4" xfId="4231"/>
    <cellStyle name="Comma [0] 2 2 5 4 5" xfId="4232"/>
    <cellStyle name="Comma [0] 2 2 5 5" xfId="4233"/>
    <cellStyle name="Comma [0] 2 2 5 5 2" xfId="4234"/>
    <cellStyle name="Comma [0] 2 2 5 5 2 2" xfId="4235"/>
    <cellStyle name="Comma [0] 2 2 5 5 2 3" xfId="4236"/>
    <cellStyle name="Comma [0] 2 2 5 5 2 4" xfId="4237"/>
    <cellStyle name="Comma [0] 2 2 5 5 3" xfId="4238"/>
    <cellStyle name="Comma [0] 2 2 5 5 4" xfId="4239"/>
    <cellStyle name="Comma [0] 2 2 5 5 5" xfId="4240"/>
    <cellStyle name="Comma [0] 2 2 5 6" xfId="4241"/>
    <cellStyle name="Comma [0] 2 2 5 6 2" xfId="4242"/>
    <cellStyle name="Comma [0] 2 2 5 6 3" xfId="4243"/>
    <cellStyle name="Comma [0] 2 2 5 6 4" xfId="4244"/>
    <cellStyle name="Comma [0] 2 2 5 7" xfId="4245"/>
    <cellStyle name="Comma [0] 2 2 5 7 2" xfId="4246"/>
    <cellStyle name="Comma [0] 2 2 5 7 3" xfId="4247"/>
    <cellStyle name="Comma [0] 2 2 5 7 4" xfId="4248"/>
    <cellStyle name="Comma [0] 2 2 5 8" xfId="4249"/>
    <cellStyle name="Comma [0] 2 2 5 9" xfId="4250"/>
    <cellStyle name="Comma [0] 2 2 6" xfId="4251"/>
    <cellStyle name="Comma [0] 2 2 6 2" xfId="4252"/>
    <cellStyle name="Comma [0] 2 2 6 3" xfId="4253"/>
    <cellStyle name="Comma [0] 2 2 6 4" xfId="4254"/>
    <cellStyle name="Comma [0] 2 2 6 5" xfId="4255"/>
    <cellStyle name="Comma [0] 2 2 7" xfId="4256"/>
    <cellStyle name="Comma [0] 2 2 7 2" xfId="4257"/>
    <cellStyle name="Comma [0] 2 2 7 2 2" xfId="4258"/>
    <cellStyle name="Comma [0] 2 2 7 2 2 2" xfId="4259"/>
    <cellStyle name="Comma [0] 2 2 7 2 2 3" xfId="4260"/>
    <cellStyle name="Comma [0] 2 2 7 2 2 4" xfId="4261"/>
    <cellStyle name="Comma [0] 2 2 7 2 3" xfId="4262"/>
    <cellStyle name="Comma [0] 2 2 7 2 4" xfId="4263"/>
    <cellStyle name="Comma [0] 2 2 7 2 5" xfId="4264"/>
    <cellStyle name="Comma [0] 2 2 7 3" xfId="4265"/>
    <cellStyle name="Comma [0] 2 2 7 3 2" xfId="4266"/>
    <cellStyle name="Comma [0] 2 2 7 3 3" xfId="4267"/>
    <cellStyle name="Comma [0] 2 2 7 3 4" xfId="4268"/>
    <cellStyle name="Comma [0] 2 2 7 4" xfId="4269"/>
    <cellStyle name="Comma [0] 2 2 7 5" xfId="4270"/>
    <cellStyle name="Comma [0] 2 2 7 6" xfId="4271"/>
    <cellStyle name="Comma [0] 2 2 8" xfId="4272"/>
    <cellStyle name="Comma [0] 2 2 8 10" xfId="4273"/>
    <cellStyle name="Comma [0] 2 2 8 11" xfId="4274"/>
    <cellStyle name="Comma [0] 2 2 8 2" xfId="4275"/>
    <cellStyle name="Comma [0] 2 2 8 2 2" xfId="4276"/>
    <cellStyle name="Comma [0] 2 2 8 2 2 2" xfId="4277"/>
    <cellStyle name="Comma [0] 2 2 8 2 2 3" xfId="4278"/>
    <cellStyle name="Comma [0] 2 2 8 2 2 4" xfId="4279"/>
    <cellStyle name="Comma [0] 2 2 8 2 3" xfId="4280"/>
    <cellStyle name="Comma [0] 2 2 8 2 4" xfId="4281"/>
    <cellStyle name="Comma [0] 2 2 8 2 5" xfId="4282"/>
    <cellStyle name="Comma [0] 2 2 8 3" xfId="4283"/>
    <cellStyle name="Comma [0] 2 2 8 3 2" xfId="4284"/>
    <cellStyle name="Comma [0] 2 2 8 3 3" xfId="4285"/>
    <cellStyle name="Comma [0] 2 2 8 3 4" xfId="4286"/>
    <cellStyle name="Comma [0] 2 2 8 4" xfId="4287"/>
    <cellStyle name="Comma [0] 2 2 8 5" xfId="4288"/>
    <cellStyle name="Comma [0] 2 2 8 5 2" xfId="4289"/>
    <cellStyle name="Comma [0] 2 2 8 5 3" xfId="4290"/>
    <cellStyle name="Comma [0] 2 2 8 5 4" xfId="4291"/>
    <cellStyle name="Comma [0] 2 2 8 5 5" xfId="4292"/>
    <cellStyle name="Comma [0] 2 2 8 6" xfId="4293"/>
    <cellStyle name="Comma [0] 2 2 8 6 2" xfId="4294"/>
    <cellStyle name="Comma [0] 2 2 8 6 3" xfId="4295"/>
    <cellStyle name="Comma [0] 2 2 8 6 4" xfId="4296"/>
    <cellStyle name="Comma [0] 2 2 8 6 5" xfId="4297"/>
    <cellStyle name="Comma [0] 2 2 8 7" xfId="4298"/>
    <cellStyle name="Comma [0] 2 2 8 7 2" xfId="4299"/>
    <cellStyle name="Comma [0] 2 2 8 7 3" xfId="4300"/>
    <cellStyle name="Comma [0] 2 2 8 7 4" xfId="4301"/>
    <cellStyle name="Comma [0] 2 2 8 7 5" xfId="4302"/>
    <cellStyle name="Comma [0] 2 2 8 8" xfId="4303"/>
    <cellStyle name="Comma [0] 2 2 8 9" xfId="4304"/>
    <cellStyle name="Comma [0] 2 2 9" xfId="4305"/>
    <cellStyle name="Comma [0] 2 2 9 2" xfId="4306"/>
    <cellStyle name="Comma [0] 2 2 9 2 2" xfId="4307"/>
    <cellStyle name="Comma [0] 2 2 9 2 3" xfId="4308"/>
    <cellStyle name="Comma [0] 2 2 9 2 4" xfId="4309"/>
    <cellStyle name="Comma [0] 2 2 9 3" xfId="4310"/>
    <cellStyle name="Comma [0] 2 2 9 4" xfId="4311"/>
    <cellStyle name="Comma [0] 2 2 9 5" xfId="4312"/>
    <cellStyle name="Comma [0] 2 2 9 6" xfId="4313"/>
    <cellStyle name="Comma [0] 2 2 9 7" xfId="4314"/>
    <cellStyle name="Comma [0] 2 2 9 8" xfId="4315"/>
    <cellStyle name="Comma [0] 2 2 9 9" xfId="4316"/>
    <cellStyle name="Comma [0] 2 20" xfId="4317"/>
    <cellStyle name="Comma [0] 2 20 10" xfId="4318"/>
    <cellStyle name="Comma [0] 2 20 11" xfId="4319"/>
    <cellStyle name="Comma [0] 2 20 2" xfId="4320"/>
    <cellStyle name="Comma [0] 2 20 3" xfId="4321"/>
    <cellStyle name="Comma [0] 2 20 4" xfId="4322"/>
    <cellStyle name="Comma [0] 2 20 5" xfId="4323"/>
    <cellStyle name="Comma [0] 2 20 6" xfId="4324"/>
    <cellStyle name="Comma [0] 2 20 7" xfId="4325"/>
    <cellStyle name="Comma [0] 2 20 8" xfId="4326"/>
    <cellStyle name="Comma [0] 2 20 9" xfId="4327"/>
    <cellStyle name="Comma [0] 2 21" xfId="4328"/>
    <cellStyle name="Comma [0] 2 21 2" xfId="4329"/>
    <cellStyle name="Comma [0] 2 21 3" xfId="4330"/>
    <cellStyle name="Comma [0] 2 21 4" xfId="4331"/>
    <cellStyle name="Comma [0] 2 21 5" xfId="4332"/>
    <cellStyle name="Comma [0] 2 21 6" xfId="4333"/>
    <cellStyle name="Comma [0] 2 21 7" xfId="4334"/>
    <cellStyle name="Comma [0] 2 21 8" xfId="4335"/>
    <cellStyle name="Comma [0] 2 22" xfId="4336"/>
    <cellStyle name="Comma [0] 2 22 2" xfId="4337"/>
    <cellStyle name="Comma [0] 2 22 3" xfId="4338"/>
    <cellStyle name="Comma [0] 2 22 4" xfId="4339"/>
    <cellStyle name="Comma [0] 2 22 5" xfId="4340"/>
    <cellStyle name="Comma [0] 2 22 6" xfId="4341"/>
    <cellStyle name="Comma [0] 2 22 7" xfId="4342"/>
    <cellStyle name="Comma [0] 2 22 8" xfId="4343"/>
    <cellStyle name="Comma [0] 2 23" xfId="4344"/>
    <cellStyle name="Comma [0] 2 23 2" xfId="4345"/>
    <cellStyle name="Comma [0] 2 23 3" xfId="4346"/>
    <cellStyle name="Comma [0] 2 23 4" xfId="4347"/>
    <cellStyle name="Comma [0] 2 23 5" xfId="4348"/>
    <cellStyle name="Comma [0] 2 23 6" xfId="4349"/>
    <cellStyle name="Comma [0] 2 23 7" xfId="4350"/>
    <cellStyle name="Comma [0] 2 23 8" xfId="4351"/>
    <cellStyle name="Comma [0] 2 24" xfId="4352"/>
    <cellStyle name="Comma [0] 2 24 2" xfId="4353"/>
    <cellStyle name="Comma [0] 2 24 3" xfId="4354"/>
    <cellStyle name="Comma [0] 2 24 4" xfId="4355"/>
    <cellStyle name="Comma [0] 2 24 5" xfId="4356"/>
    <cellStyle name="Comma [0] 2 24 6" xfId="4357"/>
    <cellStyle name="Comma [0] 2 24 7" xfId="4358"/>
    <cellStyle name="Comma [0] 2 24 8" xfId="4359"/>
    <cellStyle name="Comma [0] 2 25" xfId="4360"/>
    <cellStyle name="Comma [0] 2 25 2" xfId="4361"/>
    <cellStyle name="Comma [0] 2 25 3" xfId="4362"/>
    <cellStyle name="Comma [0] 2 25 4" xfId="4363"/>
    <cellStyle name="Comma [0] 2 25 5" xfId="4364"/>
    <cellStyle name="Comma [0] 2 25 6" xfId="4365"/>
    <cellStyle name="Comma [0] 2 25 7" xfId="4366"/>
    <cellStyle name="Comma [0] 2 25 8" xfId="4367"/>
    <cellStyle name="Comma [0] 2 26" xfId="4368"/>
    <cellStyle name="Comma [0] 2 26 2" xfId="4369"/>
    <cellStyle name="Comma [0] 2 26 3" xfId="4370"/>
    <cellStyle name="Comma [0] 2 26 4" xfId="4371"/>
    <cellStyle name="Comma [0] 2 26 5" xfId="4372"/>
    <cellStyle name="Comma [0] 2 26 6" xfId="4373"/>
    <cellStyle name="Comma [0] 2 26 7" xfId="4374"/>
    <cellStyle name="Comma [0] 2 26 8" xfId="4375"/>
    <cellStyle name="Comma [0] 2 27" xfId="4376"/>
    <cellStyle name="Comma [0] 2 27 2" xfId="4377"/>
    <cellStyle name="Comma [0] 2 27 3" xfId="4378"/>
    <cellStyle name="Comma [0] 2 27 4" xfId="4379"/>
    <cellStyle name="Comma [0] 2 27 5" xfId="4380"/>
    <cellStyle name="Comma [0] 2 27 6" xfId="4381"/>
    <cellStyle name="Comma [0] 2 27 7" xfId="4382"/>
    <cellStyle name="Comma [0] 2 27 8" xfId="4383"/>
    <cellStyle name="Comma [0] 2 28" xfId="4384"/>
    <cellStyle name="Comma [0] 2 28 2" xfId="4385"/>
    <cellStyle name="Comma [0] 2 28 3" xfId="4386"/>
    <cellStyle name="Comma [0] 2 28 4" xfId="4387"/>
    <cellStyle name="Comma [0] 2 28 5" xfId="4388"/>
    <cellStyle name="Comma [0] 2 28 6" xfId="4389"/>
    <cellStyle name="Comma [0] 2 28 7" xfId="4390"/>
    <cellStyle name="Comma [0] 2 28 8" xfId="4391"/>
    <cellStyle name="Comma [0] 2 29" xfId="4392"/>
    <cellStyle name="Comma [0] 2 29 2" xfId="4393"/>
    <cellStyle name="Comma [0] 2 29 3" xfId="4394"/>
    <cellStyle name="Comma [0] 2 29 4" xfId="4395"/>
    <cellStyle name="Comma [0] 2 29 5" xfId="4396"/>
    <cellStyle name="Comma [0] 2 29 6" xfId="4397"/>
    <cellStyle name="Comma [0] 2 29 7" xfId="4398"/>
    <cellStyle name="Comma [0] 2 29 8" xfId="4399"/>
    <cellStyle name="Comma [0] 2 3" xfId="4400"/>
    <cellStyle name="Comma [0] 2 3 10" xfId="4401"/>
    <cellStyle name="Comma [0] 2 3 10 2" xfId="4402"/>
    <cellStyle name="Comma [0] 2 3 10 2 2" xfId="4403"/>
    <cellStyle name="Comma [0] 2 3 10 2 3" xfId="4404"/>
    <cellStyle name="Comma [0] 2 3 10 2 4" xfId="4405"/>
    <cellStyle name="Comma [0] 2 3 10 3" xfId="4406"/>
    <cellStyle name="Comma [0] 2 3 10 4" xfId="4407"/>
    <cellStyle name="Comma [0] 2 3 10 5" xfId="4408"/>
    <cellStyle name="Comma [0] 2 3 11" xfId="4409"/>
    <cellStyle name="Comma [0] 2 3 11 2" xfId="4410"/>
    <cellStyle name="Comma [0] 2 3 11 3" xfId="4411"/>
    <cellStyle name="Comma [0] 2 3 11 4" xfId="4412"/>
    <cellStyle name="Comma [0] 2 3 12" xfId="4413"/>
    <cellStyle name="Comma [0] 2 3 12 2" xfId="4414"/>
    <cellStyle name="Comma [0] 2 3 12 3" xfId="4415"/>
    <cellStyle name="Comma [0] 2 3 12 4" xfId="4416"/>
    <cellStyle name="Comma [0] 2 3 13" xfId="4417"/>
    <cellStyle name="Comma [0] 2 3 14" xfId="4418"/>
    <cellStyle name="Comma [0] 2 3 15" xfId="4419"/>
    <cellStyle name="Comma [0] 2 3 16" xfId="4420"/>
    <cellStyle name="Comma [0] 2 3 17" xfId="4421"/>
    <cellStyle name="Comma [0] 2 3 18" xfId="4422"/>
    <cellStyle name="Comma [0] 2 3 19" xfId="4423"/>
    <cellStyle name="Comma [0] 2 3 2" xfId="4424"/>
    <cellStyle name="Comma [0] 2 3 2 10" xfId="4425"/>
    <cellStyle name="Comma [0] 2 3 2 11" xfId="4426"/>
    <cellStyle name="Comma [0] 2 3 2 12" xfId="4427"/>
    <cellStyle name="Comma [0] 2 3 2 13" xfId="4428"/>
    <cellStyle name="Comma [0] 2 3 2 14" xfId="4429"/>
    <cellStyle name="Comma [0] 2 3 2 15" xfId="4430"/>
    <cellStyle name="Comma [0] 2 3 2 2" xfId="4431"/>
    <cellStyle name="Comma [0] 2 3 2 3" xfId="4432"/>
    <cellStyle name="Comma [0] 2 3 2 3 2" xfId="4433"/>
    <cellStyle name="Comma [0] 2 3 2 3 2 2" xfId="4434"/>
    <cellStyle name="Comma [0] 2 3 2 3 2 2 2" xfId="4435"/>
    <cellStyle name="Comma [0] 2 3 2 3 2 2 3" xfId="4436"/>
    <cellStyle name="Comma [0] 2 3 2 3 2 2 4" xfId="4437"/>
    <cellStyle name="Comma [0] 2 3 2 3 2 3" xfId="4438"/>
    <cellStyle name="Comma [0] 2 3 2 3 2 4" xfId="4439"/>
    <cellStyle name="Comma [0] 2 3 2 3 2 5" xfId="4440"/>
    <cellStyle name="Comma [0] 2 3 2 3 3" xfId="4441"/>
    <cellStyle name="Comma [0] 2 3 2 3 3 2" xfId="4442"/>
    <cellStyle name="Comma [0] 2 3 2 3 3 3" xfId="4443"/>
    <cellStyle name="Comma [0] 2 3 2 3 3 4" xfId="4444"/>
    <cellStyle name="Comma [0] 2 3 2 3 4" xfId="4445"/>
    <cellStyle name="Comma [0] 2 3 2 3 5" xfId="4446"/>
    <cellStyle name="Comma [0] 2 3 2 3 6" xfId="4447"/>
    <cellStyle name="Comma [0] 2 3 2 4" xfId="4448"/>
    <cellStyle name="Comma [0] 2 3 2 4 2" xfId="4449"/>
    <cellStyle name="Comma [0] 2 3 2 4 2 2" xfId="4450"/>
    <cellStyle name="Comma [0] 2 3 2 4 2 2 2" xfId="4451"/>
    <cellStyle name="Comma [0] 2 3 2 4 2 2 3" xfId="4452"/>
    <cellStyle name="Comma [0] 2 3 2 4 2 2 4" xfId="4453"/>
    <cellStyle name="Comma [0] 2 3 2 4 2 3" xfId="4454"/>
    <cellStyle name="Comma [0] 2 3 2 4 2 4" xfId="4455"/>
    <cellStyle name="Comma [0] 2 3 2 4 2 5" xfId="4456"/>
    <cellStyle name="Comma [0] 2 3 2 4 3" xfId="4457"/>
    <cellStyle name="Comma [0] 2 3 2 4 3 2" xfId="4458"/>
    <cellStyle name="Comma [0] 2 3 2 4 3 3" xfId="4459"/>
    <cellStyle name="Comma [0] 2 3 2 4 3 4" xfId="4460"/>
    <cellStyle name="Comma [0] 2 3 2 4 4" xfId="4461"/>
    <cellStyle name="Comma [0] 2 3 2 4 5" xfId="4462"/>
    <cellStyle name="Comma [0] 2 3 2 4 6" xfId="4463"/>
    <cellStyle name="Comma [0] 2 3 2 5" xfId="4464"/>
    <cellStyle name="Comma [0] 2 3 2 5 2" xfId="4465"/>
    <cellStyle name="Comma [0] 2 3 2 5 2 2" xfId="4466"/>
    <cellStyle name="Comma [0] 2 3 2 5 2 3" xfId="4467"/>
    <cellStyle name="Comma [0] 2 3 2 5 2 4" xfId="4468"/>
    <cellStyle name="Comma [0] 2 3 2 5 3" xfId="4469"/>
    <cellStyle name="Comma [0] 2 3 2 5 4" xfId="4470"/>
    <cellStyle name="Comma [0] 2 3 2 5 5" xfId="4471"/>
    <cellStyle name="Comma [0] 2 3 2 6" xfId="4472"/>
    <cellStyle name="Comma [0] 2 3 2 6 2" xfId="4473"/>
    <cellStyle name="Comma [0] 2 3 2 6 2 2" xfId="4474"/>
    <cellStyle name="Comma [0] 2 3 2 6 2 3" xfId="4475"/>
    <cellStyle name="Comma [0] 2 3 2 6 2 4" xfId="4476"/>
    <cellStyle name="Comma [0] 2 3 2 6 3" xfId="4477"/>
    <cellStyle name="Comma [0] 2 3 2 6 4" xfId="4478"/>
    <cellStyle name="Comma [0] 2 3 2 6 5" xfId="4479"/>
    <cellStyle name="Comma [0] 2 3 2 7" xfId="4480"/>
    <cellStyle name="Comma [0] 2 3 2 7 2" xfId="4481"/>
    <cellStyle name="Comma [0] 2 3 2 7 3" xfId="4482"/>
    <cellStyle name="Comma [0] 2 3 2 7 4" xfId="4483"/>
    <cellStyle name="Comma [0] 2 3 2 8" xfId="4484"/>
    <cellStyle name="Comma [0] 2 3 2 8 2" xfId="4485"/>
    <cellStyle name="Comma [0] 2 3 2 8 3" xfId="4486"/>
    <cellStyle name="Comma [0] 2 3 2 8 4" xfId="4487"/>
    <cellStyle name="Comma [0] 2 3 2 9" xfId="4488"/>
    <cellStyle name="Comma [0] 2 3 3" xfId="4489"/>
    <cellStyle name="Comma [0] 2 3 3 10" xfId="4490"/>
    <cellStyle name="Comma [0] 2 3 3 11" xfId="4491"/>
    <cellStyle name="Comma [0] 2 3 3 12" xfId="4492"/>
    <cellStyle name="Comma [0] 2 3 3 13" xfId="4493"/>
    <cellStyle name="Comma [0] 2 3 3 14" xfId="4494"/>
    <cellStyle name="Comma [0] 2 3 3 15" xfId="4495"/>
    <cellStyle name="Comma [0] 2 3 3 2" xfId="4496"/>
    <cellStyle name="Comma [0] 2 3 3 3" xfId="4497"/>
    <cellStyle name="Comma [0] 2 3 3 3 2" xfId="4498"/>
    <cellStyle name="Comma [0] 2 3 3 3 2 2" xfId="4499"/>
    <cellStyle name="Comma [0] 2 3 3 3 2 2 2" xfId="4500"/>
    <cellStyle name="Comma [0] 2 3 3 3 2 2 3" xfId="4501"/>
    <cellStyle name="Comma [0] 2 3 3 3 2 2 4" xfId="4502"/>
    <cellStyle name="Comma [0] 2 3 3 3 2 3" xfId="4503"/>
    <cellStyle name="Comma [0] 2 3 3 3 2 4" xfId="4504"/>
    <cellStyle name="Comma [0] 2 3 3 3 2 5" xfId="4505"/>
    <cellStyle name="Comma [0] 2 3 3 3 3" xfId="4506"/>
    <cellStyle name="Comma [0] 2 3 3 3 3 2" xfId="4507"/>
    <cellStyle name="Comma [0] 2 3 3 3 3 3" xfId="4508"/>
    <cellStyle name="Comma [0] 2 3 3 3 3 4" xfId="4509"/>
    <cellStyle name="Comma [0] 2 3 3 3 4" xfId="4510"/>
    <cellStyle name="Comma [0] 2 3 3 3 5" xfId="4511"/>
    <cellStyle name="Comma [0] 2 3 3 3 6" xfId="4512"/>
    <cellStyle name="Comma [0] 2 3 3 4" xfId="4513"/>
    <cellStyle name="Comma [0] 2 3 3 4 2" xfId="4514"/>
    <cellStyle name="Comma [0] 2 3 3 4 2 2" xfId="4515"/>
    <cellStyle name="Comma [0] 2 3 3 4 2 2 2" xfId="4516"/>
    <cellStyle name="Comma [0] 2 3 3 4 2 2 3" xfId="4517"/>
    <cellStyle name="Comma [0] 2 3 3 4 2 2 4" xfId="4518"/>
    <cellStyle name="Comma [0] 2 3 3 4 2 3" xfId="4519"/>
    <cellStyle name="Comma [0] 2 3 3 4 2 4" xfId="4520"/>
    <cellStyle name="Comma [0] 2 3 3 4 2 5" xfId="4521"/>
    <cellStyle name="Comma [0] 2 3 3 4 3" xfId="4522"/>
    <cellStyle name="Comma [0] 2 3 3 4 3 2" xfId="4523"/>
    <cellStyle name="Comma [0] 2 3 3 4 3 3" xfId="4524"/>
    <cellStyle name="Comma [0] 2 3 3 4 3 4" xfId="4525"/>
    <cellStyle name="Comma [0] 2 3 3 4 4" xfId="4526"/>
    <cellStyle name="Comma [0] 2 3 3 4 5" xfId="4527"/>
    <cellStyle name="Comma [0] 2 3 3 4 6" xfId="4528"/>
    <cellStyle name="Comma [0] 2 3 3 5" xfId="4529"/>
    <cellStyle name="Comma [0] 2 3 3 5 2" xfId="4530"/>
    <cellStyle name="Comma [0] 2 3 3 5 2 2" xfId="4531"/>
    <cellStyle name="Comma [0] 2 3 3 5 2 3" xfId="4532"/>
    <cellStyle name="Comma [0] 2 3 3 5 2 4" xfId="4533"/>
    <cellStyle name="Comma [0] 2 3 3 5 3" xfId="4534"/>
    <cellStyle name="Comma [0] 2 3 3 5 4" xfId="4535"/>
    <cellStyle name="Comma [0] 2 3 3 5 5" xfId="4536"/>
    <cellStyle name="Comma [0] 2 3 3 6" xfId="4537"/>
    <cellStyle name="Comma [0] 2 3 3 6 2" xfId="4538"/>
    <cellStyle name="Comma [0] 2 3 3 6 2 2" xfId="4539"/>
    <cellStyle name="Comma [0] 2 3 3 6 2 3" xfId="4540"/>
    <cellStyle name="Comma [0] 2 3 3 6 2 4" xfId="4541"/>
    <cellStyle name="Comma [0] 2 3 3 6 3" xfId="4542"/>
    <cellStyle name="Comma [0] 2 3 3 6 4" xfId="4543"/>
    <cellStyle name="Comma [0] 2 3 3 6 5" xfId="4544"/>
    <cellStyle name="Comma [0] 2 3 3 7" xfId="4545"/>
    <cellStyle name="Comma [0] 2 3 3 7 2" xfId="4546"/>
    <cellStyle name="Comma [0] 2 3 3 7 3" xfId="4547"/>
    <cellStyle name="Comma [0] 2 3 3 7 4" xfId="4548"/>
    <cellStyle name="Comma [0] 2 3 3 8" xfId="4549"/>
    <cellStyle name="Comma [0] 2 3 3 8 2" xfId="4550"/>
    <cellStyle name="Comma [0] 2 3 3 8 3" xfId="4551"/>
    <cellStyle name="Comma [0] 2 3 3 8 4" xfId="4552"/>
    <cellStyle name="Comma [0] 2 3 3 9" xfId="4553"/>
    <cellStyle name="Comma [0] 2 3 4" xfId="4554"/>
    <cellStyle name="Comma [0] 2 3 4 10" xfId="4555"/>
    <cellStyle name="Comma [0] 2 3 4 11" xfId="4556"/>
    <cellStyle name="Comma [0] 2 3 4 12" xfId="4557"/>
    <cellStyle name="Comma [0] 2 3 4 13" xfId="4558"/>
    <cellStyle name="Comma [0] 2 3 4 14" xfId="4559"/>
    <cellStyle name="Comma [0] 2 3 4 2" xfId="4560"/>
    <cellStyle name="Comma [0] 2 3 4 2 2" xfId="4561"/>
    <cellStyle name="Comma [0] 2 3 4 2 2 2" xfId="4562"/>
    <cellStyle name="Comma [0] 2 3 4 2 2 2 2" xfId="4563"/>
    <cellStyle name="Comma [0] 2 3 4 2 2 2 3" xfId="4564"/>
    <cellStyle name="Comma [0] 2 3 4 2 2 2 4" xfId="4565"/>
    <cellStyle name="Comma [0] 2 3 4 2 2 3" xfId="4566"/>
    <cellStyle name="Comma [0] 2 3 4 2 2 4" xfId="4567"/>
    <cellStyle name="Comma [0] 2 3 4 2 2 5" xfId="4568"/>
    <cellStyle name="Comma [0] 2 3 4 2 3" xfId="4569"/>
    <cellStyle name="Comma [0] 2 3 4 2 3 2" xfId="4570"/>
    <cellStyle name="Comma [0] 2 3 4 2 3 3" xfId="4571"/>
    <cellStyle name="Comma [0] 2 3 4 2 3 4" xfId="4572"/>
    <cellStyle name="Comma [0] 2 3 4 2 4" xfId="4573"/>
    <cellStyle name="Comma [0] 2 3 4 2 5" xfId="4574"/>
    <cellStyle name="Comma [0] 2 3 4 2 6" xfId="4575"/>
    <cellStyle name="Comma [0] 2 3 4 3" xfId="4576"/>
    <cellStyle name="Comma [0] 2 3 4 3 2" xfId="4577"/>
    <cellStyle name="Comma [0] 2 3 4 3 2 2" xfId="4578"/>
    <cellStyle name="Comma [0] 2 3 4 3 2 2 2" xfId="4579"/>
    <cellStyle name="Comma [0] 2 3 4 3 2 2 3" xfId="4580"/>
    <cellStyle name="Comma [0] 2 3 4 3 2 2 4" xfId="4581"/>
    <cellStyle name="Comma [0] 2 3 4 3 2 3" xfId="4582"/>
    <cellStyle name="Comma [0] 2 3 4 3 2 4" xfId="4583"/>
    <cellStyle name="Comma [0] 2 3 4 3 2 5" xfId="4584"/>
    <cellStyle name="Comma [0] 2 3 4 3 3" xfId="4585"/>
    <cellStyle name="Comma [0] 2 3 4 3 3 2" xfId="4586"/>
    <cellStyle name="Comma [0] 2 3 4 3 3 3" xfId="4587"/>
    <cellStyle name="Comma [0] 2 3 4 3 3 4" xfId="4588"/>
    <cellStyle name="Comma [0] 2 3 4 3 4" xfId="4589"/>
    <cellStyle name="Comma [0] 2 3 4 3 5" xfId="4590"/>
    <cellStyle name="Comma [0] 2 3 4 3 6" xfId="4591"/>
    <cellStyle name="Comma [0] 2 3 4 4" xfId="4592"/>
    <cellStyle name="Comma [0] 2 3 4 4 2" xfId="4593"/>
    <cellStyle name="Comma [0] 2 3 4 4 2 2" xfId="4594"/>
    <cellStyle name="Comma [0] 2 3 4 4 2 3" xfId="4595"/>
    <cellStyle name="Comma [0] 2 3 4 4 2 4" xfId="4596"/>
    <cellStyle name="Comma [0] 2 3 4 4 3" xfId="4597"/>
    <cellStyle name="Comma [0] 2 3 4 4 4" xfId="4598"/>
    <cellStyle name="Comma [0] 2 3 4 4 5" xfId="4599"/>
    <cellStyle name="Comma [0] 2 3 4 5" xfId="4600"/>
    <cellStyle name="Comma [0] 2 3 4 5 2" xfId="4601"/>
    <cellStyle name="Comma [0] 2 3 4 5 2 2" xfId="4602"/>
    <cellStyle name="Comma [0] 2 3 4 5 2 3" xfId="4603"/>
    <cellStyle name="Comma [0] 2 3 4 5 2 4" xfId="4604"/>
    <cellStyle name="Comma [0] 2 3 4 5 3" xfId="4605"/>
    <cellStyle name="Comma [0] 2 3 4 5 4" xfId="4606"/>
    <cellStyle name="Comma [0] 2 3 4 5 5" xfId="4607"/>
    <cellStyle name="Comma [0] 2 3 4 6" xfId="4608"/>
    <cellStyle name="Comma [0] 2 3 4 6 2" xfId="4609"/>
    <cellStyle name="Comma [0] 2 3 4 6 3" xfId="4610"/>
    <cellStyle name="Comma [0] 2 3 4 6 4" xfId="4611"/>
    <cellStyle name="Comma [0] 2 3 4 7" xfId="4612"/>
    <cellStyle name="Comma [0] 2 3 4 7 2" xfId="4613"/>
    <cellStyle name="Comma [0] 2 3 4 7 3" xfId="4614"/>
    <cellStyle name="Comma [0] 2 3 4 7 4" xfId="4615"/>
    <cellStyle name="Comma [0] 2 3 4 8" xfId="4616"/>
    <cellStyle name="Comma [0] 2 3 4 9" xfId="4617"/>
    <cellStyle name="Comma [0] 2 3 5" xfId="4618"/>
    <cellStyle name="Comma [0] 2 3 5 10" xfId="4619"/>
    <cellStyle name="Comma [0] 2 3 5 11" xfId="4620"/>
    <cellStyle name="Comma [0] 2 3 5 12" xfId="4621"/>
    <cellStyle name="Comma [0] 2 3 5 13" xfId="4622"/>
    <cellStyle name="Comma [0] 2 3 5 14" xfId="4623"/>
    <cellStyle name="Comma [0] 2 3 5 2" xfId="4624"/>
    <cellStyle name="Comma [0] 2 3 5 2 2" xfId="4625"/>
    <cellStyle name="Comma [0] 2 3 5 2 2 2" xfId="4626"/>
    <cellStyle name="Comma [0] 2 3 5 2 2 2 2" xfId="4627"/>
    <cellStyle name="Comma [0] 2 3 5 2 2 2 3" xfId="4628"/>
    <cellStyle name="Comma [0] 2 3 5 2 2 2 4" xfId="4629"/>
    <cellStyle name="Comma [0] 2 3 5 2 2 3" xfId="4630"/>
    <cellStyle name="Comma [0] 2 3 5 2 2 4" xfId="4631"/>
    <cellStyle name="Comma [0] 2 3 5 2 2 5" xfId="4632"/>
    <cellStyle name="Comma [0] 2 3 5 2 3" xfId="4633"/>
    <cellStyle name="Comma [0] 2 3 5 2 3 2" xfId="4634"/>
    <cellStyle name="Comma [0] 2 3 5 2 3 3" xfId="4635"/>
    <cellStyle name="Comma [0] 2 3 5 2 3 4" xfId="4636"/>
    <cellStyle name="Comma [0] 2 3 5 2 4" xfId="4637"/>
    <cellStyle name="Comma [0] 2 3 5 2 5" xfId="4638"/>
    <cellStyle name="Comma [0] 2 3 5 2 6" xfId="4639"/>
    <cellStyle name="Comma [0] 2 3 5 3" xfId="4640"/>
    <cellStyle name="Comma [0] 2 3 5 3 2" xfId="4641"/>
    <cellStyle name="Comma [0] 2 3 5 3 2 2" xfId="4642"/>
    <cellStyle name="Comma [0] 2 3 5 3 2 2 2" xfId="4643"/>
    <cellStyle name="Comma [0] 2 3 5 3 2 2 3" xfId="4644"/>
    <cellStyle name="Comma [0] 2 3 5 3 2 2 4" xfId="4645"/>
    <cellStyle name="Comma [0] 2 3 5 3 2 3" xfId="4646"/>
    <cellStyle name="Comma [0] 2 3 5 3 2 4" xfId="4647"/>
    <cellStyle name="Comma [0] 2 3 5 3 2 5" xfId="4648"/>
    <cellStyle name="Comma [0] 2 3 5 3 3" xfId="4649"/>
    <cellStyle name="Comma [0] 2 3 5 3 3 2" xfId="4650"/>
    <cellStyle name="Comma [0] 2 3 5 3 3 3" xfId="4651"/>
    <cellStyle name="Comma [0] 2 3 5 3 3 4" xfId="4652"/>
    <cellStyle name="Comma [0] 2 3 5 3 4" xfId="4653"/>
    <cellStyle name="Comma [0] 2 3 5 3 5" xfId="4654"/>
    <cellStyle name="Comma [0] 2 3 5 3 6" xfId="4655"/>
    <cellStyle name="Comma [0] 2 3 5 4" xfId="4656"/>
    <cellStyle name="Comma [0] 2 3 5 4 2" xfId="4657"/>
    <cellStyle name="Comma [0] 2 3 5 4 2 2" xfId="4658"/>
    <cellStyle name="Comma [0] 2 3 5 4 2 3" xfId="4659"/>
    <cellStyle name="Comma [0] 2 3 5 4 2 4" xfId="4660"/>
    <cellStyle name="Comma [0] 2 3 5 4 3" xfId="4661"/>
    <cellStyle name="Comma [0] 2 3 5 4 4" xfId="4662"/>
    <cellStyle name="Comma [0] 2 3 5 4 5" xfId="4663"/>
    <cellStyle name="Comma [0] 2 3 5 5" xfId="4664"/>
    <cellStyle name="Comma [0] 2 3 5 5 2" xfId="4665"/>
    <cellStyle name="Comma [0] 2 3 5 5 2 2" xfId="4666"/>
    <cellStyle name="Comma [0] 2 3 5 5 2 3" xfId="4667"/>
    <cellStyle name="Comma [0] 2 3 5 5 2 4" xfId="4668"/>
    <cellStyle name="Comma [0] 2 3 5 5 3" xfId="4669"/>
    <cellStyle name="Comma [0] 2 3 5 5 4" xfId="4670"/>
    <cellStyle name="Comma [0] 2 3 5 5 5" xfId="4671"/>
    <cellStyle name="Comma [0] 2 3 5 6" xfId="4672"/>
    <cellStyle name="Comma [0] 2 3 5 6 2" xfId="4673"/>
    <cellStyle name="Comma [0] 2 3 5 6 3" xfId="4674"/>
    <cellStyle name="Comma [0] 2 3 5 6 4" xfId="4675"/>
    <cellStyle name="Comma [0] 2 3 5 7" xfId="4676"/>
    <cellStyle name="Comma [0] 2 3 5 7 2" xfId="4677"/>
    <cellStyle name="Comma [0] 2 3 5 7 3" xfId="4678"/>
    <cellStyle name="Comma [0] 2 3 5 7 4" xfId="4679"/>
    <cellStyle name="Comma [0] 2 3 5 8" xfId="4680"/>
    <cellStyle name="Comma [0] 2 3 5 9" xfId="4681"/>
    <cellStyle name="Comma [0] 2 3 6" xfId="4682"/>
    <cellStyle name="Comma [0] 2 3 6 2" xfId="4683"/>
    <cellStyle name="Comma [0] 2 3 6 3" xfId="4684"/>
    <cellStyle name="Comma [0] 2 3 6 4" xfId="4685"/>
    <cellStyle name="Comma [0] 2 3 6 5" xfId="4686"/>
    <cellStyle name="Comma [0] 2 3 7" xfId="4687"/>
    <cellStyle name="Comma [0] 2 3 7 10" xfId="4688"/>
    <cellStyle name="Comma [0] 2 3 7 2" xfId="4689"/>
    <cellStyle name="Comma [0] 2 3 7 2 2" xfId="4690"/>
    <cellStyle name="Comma [0] 2 3 7 2 2 2" xfId="4691"/>
    <cellStyle name="Comma [0] 2 3 7 2 2 3" xfId="4692"/>
    <cellStyle name="Comma [0] 2 3 7 2 2 4" xfId="4693"/>
    <cellStyle name="Comma [0] 2 3 7 2 3" xfId="4694"/>
    <cellStyle name="Comma [0] 2 3 7 2 4" xfId="4695"/>
    <cellStyle name="Comma [0] 2 3 7 2 5" xfId="4696"/>
    <cellStyle name="Comma [0] 2 3 7 3" xfId="4697"/>
    <cellStyle name="Comma [0] 2 3 7 3 2" xfId="4698"/>
    <cellStyle name="Comma [0] 2 3 7 3 3" xfId="4699"/>
    <cellStyle name="Comma [0] 2 3 7 3 4" xfId="4700"/>
    <cellStyle name="Comma [0] 2 3 7 4" xfId="4701"/>
    <cellStyle name="Comma [0] 2 3 7 5" xfId="4702"/>
    <cellStyle name="Comma [0] 2 3 7 6" xfId="4703"/>
    <cellStyle name="Comma [0] 2 3 7 7" xfId="4704"/>
    <cellStyle name="Comma [0] 2 3 7 8" xfId="4705"/>
    <cellStyle name="Comma [0] 2 3 7 9" xfId="4706"/>
    <cellStyle name="Comma [0] 2 3 8" xfId="4707"/>
    <cellStyle name="Comma [0] 2 3 8 10" xfId="4708"/>
    <cellStyle name="Comma [0] 2 3 8 2" xfId="4709"/>
    <cellStyle name="Comma [0] 2 3 8 2 2" xfId="4710"/>
    <cellStyle name="Comma [0] 2 3 8 2 2 2" xfId="4711"/>
    <cellStyle name="Comma [0] 2 3 8 2 2 3" xfId="4712"/>
    <cellStyle name="Comma [0] 2 3 8 2 2 4" xfId="4713"/>
    <cellStyle name="Comma [0] 2 3 8 2 3" xfId="4714"/>
    <cellStyle name="Comma [0] 2 3 8 2 4" xfId="4715"/>
    <cellStyle name="Comma [0] 2 3 8 2 5" xfId="4716"/>
    <cellStyle name="Comma [0] 2 3 8 3" xfId="4717"/>
    <cellStyle name="Comma [0] 2 3 8 3 2" xfId="4718"/>
    <cellStyle name="Comma [0] 2 3 8 3 3" xfId="4719"/>
    <cellStyle name="Comma [0] 2 3 8 3 4" xfId="4720"/>
    <cellStyle name="Comma [0] 2 3 8 4" xfId="4721"/>
    <cellStyle name="Comma [0] 2 3 8 5" xfId="4722"/>
    <cellStyle name="Comma [0] 2 3 8 6" xfId="4723"/>
    <cellStyle name="Comma [0] 2 3 8 7" xfId="4724"/>
    <cellStyle name="Comma [0] 2 3 8 8" xfId="4725"/>
    <cellStyle name="Comma [0] 2 3 8 9" xfId="4726"/>
    <cellStyle name="Comma [0] 2 3 9" xfId="4727"/>
    <cellStyle name="Comma [0] 2 3 9 2" xfId="4728"/>
    <cellStyle name="Comma [0] 2 3 9 2 2" xfId="4729"/>
    <cellStyle name="Comma [0] 2 3 9 2 3" xfId="4730"/>
    <cellStyle name="Comma [0] 2 3 9 2 4" xfId="4731"/>
    <cellStyle name="Comma [0] 2 3 9 3" xfId="4732"/>
    <cellStyle name="Comma [0] 2 3 9 4" xfId="4733"/>
    <cellStyle name="Comma [0] 2 3 9 5" xfId="4734"/>
    <cellStyle name="Comma [0] 2 30" xfId="4735"/>
    <cellStyle name="Comma [0] 2 30 2" xfId="4736"/>
    <cellStyle name="Comma [0] 2 30 3" xfId="4737"/>
    <cellStyle name="Comma [0] 2 30 4" xfId="4738"/>
    <cellStyle name="Comma [0] 2 30 5" xfId="4739"/>
    <cellStyle name="Comma [0] 2 30 6" xfId="4740"/>
    <cellStyle name="Comma [0] 2 30 7" xfId="4741"/>
    <cellStyle name="Comma [0] 2 30 8" xfId="4742"/>
    <cellStyle name="Comma [0] 2 31" xfId="4743"/>
    <cellStyle name="Comma [0] 2 31 2" xfId="4744"/>
    <cellStyle name="Comma [0] 2 31 3" xfId="4745"/>
    <cellStyle name="Comma [0] 2 31 4" xfId="4746"/>
    <cellStyle name="Comma [0] 2 31 5" xfId="4747"/>
    <cellStyle name="Comma [0] 2 31 6" xfId="4748"/>
    <cellStyle name="Comma [0] 2 31 7" xfId="4749"/>
    <cellStyle name="Comma [0] 2 31 8" xfId="4750"/>
    <cellStyle name="Comma [0] 2 32" xfId="4751"/>
    <cellStyle name="Comma [0] 2 32 2" xfId="4752"/>
    <cellStyle name="Comma [0] 2 32 3" xfId="4753"/>
    <cellStyle name="Comma [0] 2 32 4" xfId="4754"/>
    <cellStyle name="Comma [0] 2 32 5" xfId="4755"/>
    <cellStyle name="Comma [0] 2 32 6" xfId="4756"/>
    <cellStyle name="Comma [0] 2 32 7" xfId="4757"/>
    <cellStyle name="Comma [0] 2 32 8" xfId="4758"/>
    <cellStyle name="Comma [0] 2 33" xfId="4759"/>
    <cellStyle name="Comma [0] 2 33 2" xfId="4760"/>
    <cellStyle name="Comma [0] 2 33 3" xfId="4761"/>
    <cellStyle name="Comma [0] 2 33 4" xfId="4762"/>
    <cellStyle name="Comma [0] 2 33 5" xfId="4763"/>
    <cellStyle name="Comma [0] 2 33 6" xfId="4764"/>
    <cellStyle name="Comma [0] 2 33 7" xfId="4765"/>
    <cellStyle name="Comma [0] 2 33 8" xfId="4766"/>
    <cellStyle name="Comma [0] 2 34" xfId="4767"/>
    <cellStyle name="Comma [0] 2 35" xfId="4768"/>
    <cellStyle name="Comma [0] 2 36" xfId="4769"/>
    <cellStyle name="Comma [0] 2 37" xfId="4770"/>
    <cellStyle name="Comma [0] 2 38" xfId="4771"/>
    <cellStyle name="Comma [0] 2 39" xfId="4772"/>
    <cellStyle name="Comma [0] 2 4" xfId="4773"/>
    <cellStyle name="Comma [0] 2 4 10" xfId="4774"/>
    <cellStyle name="Comma [0] 2 4 11" xfId="4775"/>
    <cellStyle name="Comma [0] 2 4 12" xfId="4776"/>
    <cellStyle name="Comma [0] 2 4 13" xfId="4777"/>
    <cellStyle name="Comma [0] 2 4 14" xfId="4778"/>
    <cellStyle name="Comma [0] 2 4 15" xfId="4779"/>
    <cellStyle name="Comma [0] 2 4 2" xfId="4780"/>
    <cellStyle name="Comma [0] 2 4 2 2" xfId="4781"/>
    <cellStyle name="Comma [0] 2 4 2 3" xfId="4782"/>
    <cellStyle name="Comma [0] 2 4 2 4" xfId="4783"/>
    <cellStyle name="Comma [0] 2 4 2 5" xfId="4784"/>
    <cellStyle name="Comma [0] 2 4 3" xfId="4785"/>
    <cellStyle name="Comma [0] 2 4 3 10" xfId="4786"/>
    <cellStyle name="Comma [0] 2 4 3 2" xfId="4787"/>
    <cellStyle name="Comma [0] 2 4 3 2 2" xfId="4788"/>
    <cellStyle name="Comma [0] 2 4 3 2 2 2" xfId="4789"/>
    <cellStyle name="Comma [0] 2 4 3 2 2 3" xfId="4790"/>
    <cellStyle name="Comma [0] 2 4 3 2 2 4" xfId="4791"/>
    <cellStyle name="Comma [0] 2 4 3 2 3" xfId="4792"/>
    <cellStyle name="Comma [0] 2 4 3 2 4" xfId="4793"/>
    <cellStyle name="Comma [0] 2 4 3 2 5" xfId="4794"/>
    <cellStyle name="Comma [0] 2 4 3 3" xfId="4795"/>
    <cellStyle name="Comma [0] 2 4 3 3 2" xfId="4796"/>
    <cellStyle name="Comma [0] 2 4 3 3 3" xfId="4797"/>
    <cellStyle name="Comma [0] 2 4 3 3 4" xfId="4798"/>
    <cellStyle name="Comma [0] 2 4 3 4" xfId="4799"/>
    <cellStyle name="Comma [0] 2 4 3 5" xfId="4800"/>
    <cellStyle name="Comma [0] 2 4 3 6" xfId="4801"/>
    <cellStyle name="Comma [0] 2 4 3 7" xfId="4802"/>
    <cellStyle name="Comma [0] 2 4 3 8" xfId="4803"/>
    <cellStyle name="Comma [0] 2 4 3 9" xfId="4804"/>
    <cellStyle name="Comma [0] 2 4 4" xfId="4805"/>
    <cellStyle name="Comma [0] 2 4 4 10" xfId="4806"/>
    <cellStyle name="Comma [0] 2 4 4 2" xfId="4807"/>
    <cellStyle name="Comma [0] 2 4 4 2 2" xfId="4808"/>
    <cellStyle name="Comma [0] 2 4 4 2 2 2" xfId="4809"/>
    <cellStyle name="Comma [0] 2 4 4 2 2 3" xfId="4810"/>
    <cellStyle name="Comma [0] 2 4 4 2 2 4" xfId="4811"/>
    <cellStyle name="Comma [0] 2 4 4 2 3" xfId="4812"/>
    <cellStyle name="Comma [0] 2 4 4 2 4" xfId="4813"/>
    <cellStyle name="Comma [0] 2 4 4 2 5" xfId="4814"/>
    <cellStyle name="Comma [0] 2 4 4 3" xfId="4815"/>
    <cellStyle name="Comma [0] 2 4 4 3 2" xfId="4816"/>
    <cellStyle name="Comma [0] 2 4 4 3 3" xfId="4817"/>
    <cellStyle name="Comma [0] 2 4 4 3 4" xfId="4818"/>
    <cellStyle name="Comma [0] 2 4 4 4" xfId="4819"/>
    <cellStyle name="Comma [0] 2 4 4 5" xfId="4820"/>
    <cellStyle name="Comma [0] 2 4 4 6" xfId="4821"/>
    <cellStyle name="Comma [0] 2 4 4 7" xfId="4822"/>
    <cellStyle name="Comma [0] 2 4 4 8" xfId="4823"/>
    <cellStyle name="Comma [0] 2 4 4 9" xfId="4824"/>
    <cellStyle name="Comma [0] 2 4 5" xfId="4825"/>
    <cellStyle name="Comma [0] 2 4 5 2" xfId="4826"/>
    <cellStyle name="Comma [0] 2 4 5 2 2" xfId="4827"/>
    <cellStyle name="Comma [0] 2 4 5 2 3" xfId="4828"/>
    <cellStyle name="Comma [0] 2 4 5 2 4" xfId="4829"/>
    <cellStyle name="Comma [0] 2 4 5 3" xfId="4830"/>
    <cellStyle name="Comma [0] 2 4 5 4" xfId="4831"/>
    <cellStyle name="Comma [0] 2 4 5 5" xfId="4832"/>
    <cellStyle name="Comma [0] 2 4 5 6" xfId="4833"/>
    <cellStyle name="Comma [0] 2 4 5 7" xfId="4834"/>
    <cellStyle name="Comma [0] 2 4 5 8" xfId="4835"/>
    <cellStyle name="Comma [0] 2 4 5 9" xfId="4836"/>
    <cellStyle name="Comma [0] 2 4 6" xfId="4837"/>
    <cellStyle name="Comma [0] 2 4 6 2" xfId="4838"/>
    <cellStyle name="Comma [0] 2 4 6 2 2" xfId="4839"/>
    <cellStyle name="Comma [0] 2 4 6 2 3" xfId="4840"/>
    <cellStyle name="Comma [0] 2 4 6 2 4" xfId="4841"/>
    <cellStyle name="Comma [0] 2 4 6 3" xfId="4842"/>
    <cellStyle name="Comma [0] 2 4 6 4" xfId="4843"/>
    <cellStyle name="Comma [0] 2 4 6 5" xfId="4844"/>
    <cellStyle name="Comma [0] 2 4 6 6" xfId="4845"/>
    <cellStyle name="Comma [0] 2 4 6 7" xfId="4846"/>
    <cellStyle name="Comma [0] 2 4 6 8" xfId="4847"/>
    <cellStyle name="Comma [0] 2 4 6 9" xfId="4848"/>
    <cellStyle name="Comma [0] 2 4 7" xfId="4849"/>
    <cellStyle name="Comma [0] 2 4 7 2" xfId="4850"/>
    <cellStyle name="Comma [0] 2 4 7 3" xfId="4851"/>
    <cellStyle name="Comma [0] 2 4 7 4" xfId="4852"/>
    <cellStyle name="Comma [0] 2 4 7 5" xfId="4853"/>
    <cellStyle name="Comma [0] 2 4 7 6" xfId="4854"/>
    <cellStyle name="Comma [0] 2 4 7 7" xfId="4855"/>
    <cellStyle name="Comma [0] 2 4 7 8" xfId="4856"/>
    <cellStyle name="Comma [0] 2 4 8" xfId="4857"/>
    <cellStyle name="Comma [0] 2 4 8 2" xfId="4858"/>
    <cellStyle name="Comma [0] 2 4 8 3" xfId="4859"/>
    <cellStyle name="Comma [0] 2 4 8 4" xfId="4860"/>
    <cellStyle name="Comma [0] 2 4 8 5" xfId="4861"/>
    <cellStyle name="Comma [0] 2 4 8 6" xfId="4862"/>
    <cellStyle name="Comma [0] 2 4 8 7" xfId="4863"/>
    <cellStyle name="Comma [0] 2 4 8 8" xfId="4864"/>
    <cellStyle name="Comma [0] 2 4 9" xfId="4865"/>
    <cellStyle name="Comma [0] 2 40" xfId="4866"/>
    <cellStyle name="Comma [0] 2 41" xfId="4867"/>
    <cellStyle name="Comma [0] 2 42" xfId="4868"/>
    <cellStyle name="Comma [0] 2 43" xfId="4869"/>
    <cellStyle name="Comma [0] 2 43 2" xfId="4870"/>
    <cellStyle name="Comma [0] 2 43 3" xfId="4871"/>
    <cellStyle name="Comma [0] 2 43 4" xfId="4872"/>
    <cellStyle name="Comma [0] 2 43 5" xfId="4873"/>
    <cellStyle name="Comma [0] 2 43 6" xfId="4874"/>
    <cellStyle name="Comma [0] 2 43 7" xfId="4875"/>
    <cellStyle name="Comma [0] 2 43 8" xfId="4876"/>
    <cellStyle name="Comma [0] 2 44" xfId="4877"/>
    <cellStyle name="Comma [0] 2 45" xfId="4878"/>
    <cellStyle name="Comma [0] 2 46" xfId="4879"/>
    <cellStyle name="Comma [0] 2 47" xfId="4880"/>
    <cellStyle name="Comma [0] 2 48" xfId="4881"/>
    <cellStyle name="Comma [0] 2 49" xfId="4882"/>
    <cellStyle name="Comma [0] 2 5" xfId="4883"/>
    <cellStyle name="Comma [0] 2 5 10" xfId="4884"/>
    <cellStyle name="Comma [0] 2 5 11" xfId="4885"/>
    <cellStyle name="Comma [0] 2 5 12" xfId="4886"/>
    <cellStyle name="Comma [0] 2 5 13" xfId="4887"/>
    <cellStyle name="Comma [0] 2 5 14" xfId="4888"/>
    <cellStyle name="Comma [0] 2 5 15" xfId="4889"/>
    <cellStyle name="Comma [0] 2 5 2" xfId="4890"/>
    <cellStyle name="Comma [0] 2 5 2 2" xfId="4891"/>
    <cellStyle name="Comma [0] 2 5 2 3" xfId="4892"/>
    <cellStyle name="Comma [0] 2 5 2 4" xfId="4893"/>
    <cellStyle name="Comma [0] 2 5 2 5" xfId="4894"/>
    <cellStyle name="Comma [0] 2 5 3" xfId="4895"/>
    <cellStyle name="Comma [0] 2 5 3 10" xfId="4896"/>
    <cellStyle name="Comma [0] 2 5 3 2" xfId="4897"/>
    <cellStyle name="Comma [0] 2 5 3 2 2" xfId="4898"/>
    <cellStyle name="Comma [0] 2 5 3 2 2 2" xfId="4899"/>
    <cellStyle name="Comma [0] 2 5 3 2 2 3" xfId="4900"/>
    <cellStyle name="Comma [0] 2 5 3 2 2 4" xfId="4901"/>
    <cellStyle name="Comma [0] 2 5 3 2 3" xfId="4902"/>
    <cellStyle name="Comma [0] 2 5 3 2 4" xfId="4903"/>
    <cellStyle name="Comma [0] 2 5 3 2 5" xfId="4904"/>
    <cellStyle name="Comma [0] 2 5 3 3" xfId="4905"/>
    <cellStyle name="Comma [0] 2 5 3 3 2" xfId="4906"/>
    <cellStyle name="Comma [0] 2 5 3 3 3" xfId="4907"/>
    <cellStyle name="Comma [0] 2 5 3 3 4" xfId="4908"/>
    <cellStyle name="Comma [0] 2 5 3 4" xfId="4909"/>
    <cellStyle name="Comma [0] 2 5 3 5" xfId="4910"/>
    <cellStyle name="Comma [0] 2 5 3 6" xfId="4911"/>
    <cellStyle name="Comma [0] 2 5 3 7" xfId="4912"/>
    <cellStyle name="Comma [0] 2 5 3 8" xfId="4913"/>
    <cellStyle name="Comma [0] 2 5 3 9" xfId="4914"/>
    <cellStyle name="Comma [0] 2 5 4" xfId="4915"/>
    <cellStyle name="Comma [0] 2 5 4 10" xfId="4916"/>
    <cellStyle name="Comma [0] 2 5 4 2" xfId="4917"/>
    <cellStyle name="Comma [0] 2 5 4 2 2" xfId="4918"/>
    <cellStyle name="Comma [0] 2 5 4 2 2 2" xfId="4919"/>
    <cellStyle name="Comma [0] 2 5 4 2 2 3" xfId="4920"/>
    <cellStyle name="Comma [0] 2 5 4 2 2 4" xfId="4921"/>
    <cellStyle name="Comma [0] 2 5 4 2 3" xfId="4922"/>
    <cellStyle name="Comma [0] 2 5 4 2 4" xfId="4923"/>
    <cellStyle name="Comma [0] 2 5 4 2 5" xfId="4924"/>
    <cellStyle name="Comma [0] 2 5 4 3" xfId="4925"/>
    <cellStyle name="Comma [0] 2 5 4 3 2" xfId="4926"/>
    <cellStyle name="Comma [0] 2 5 4 3 3" xfId="4927"/>
    <cellStyle name="Comma [0] 2 5 4 3 4" xfId="4928"/>
    <cellStyle name="Comma [0] 2 5 4 4" xfId="4929"/>
    <cellStyle name="Comma [0] 2 5 4 5" xfId="4930"/>
    <cellStyle name="Comma [0] 2 5 4 6" xfId="4931"/>
    <cellStyle name="Comma [0] 2 5 4 7" xfId="4932"/>
    <cellStyle name="Comma [0] 2 5 4 8" xfId="4933"/>
    <cellStyle name="Comma [0] 2 5 4 9" xfId="4934"/>
    <cellStyle name="Comma [0] 2 5 5" xfId="4935"/>
    <cellStyle name="Comma [0] 2 5 5 2" xfId="4936"/>
    <cellStyle name="Comma [0] 2 5 5 2 2" xfId="4937"/>
    <cellStyle name="Comma [0] 2 5 5 2 3" xfId="4938"/>
    <cellStyle name="Comma [0] 2 5 5 2 4" xfId="4939"/>
    <cellStyle name="Comma [0] 2 5 5 3" xfId="4940"/>
    <cellStyle name="Comma [0] 2 5 5 4" xfId="4941"/>
    <cellStyle name="Comma [0] 2 5 5 5" xfId="4942"/>
    <cellStyle name="Comma [0] 2 5 5 6" xfId="4943"/>
    <cellStyle name="Comma [0] 2 5 5 7" xfId="4944"/>
    <cellStyle name="Comma [0] 2 5 5 8" xfId="4945"/>
    <cellStyle name="Comma [0] 2 5 5 9" xfId="4946"/>
    <cellStyle name="Comma [0] 2 5 6" xfId="4947"/>
    <cellStyle name="Comma [0] 2 5 6 2" xfId="4948"/>
    <cellStyle name="Comma [0] 2 5 6 2 2" xfId="4949"/>
    <cellStyle name="Comma [0] 2 5 6 2 3" xfId="4950"/>
    <cellStyle name="Comma [0] 2 5 6 2 4" xfId="4951"/>
    <cellStyle name="Comma [0] 2 5 6 2 4 2" xfId="4952"/>
    <cellStyle name="Comma [0] 2 5 6 3" xfId="4953"/>
    <cellStyle name="Comma [0] 2 5 6 4" xfId="4954"/>
    <cellStyle name="Comma [0] 2 5 6 5" xfId="4955"/>
    <cellStyle name="Comma [0] 2 5 6 6" xfId="4956"/>
    <cellStyle name="Comma [0] 2 5 6 7" xfId="4957"/>
    <cellStyle name="Comma [0] 2 5 6 8" xfId="4958"/>
    <cellStyle name="Comma [0] 2 5 6 9" xfId="4959"/>
    <cellStyle name="Comma [0] 2 5 7" xfId="4960"/>
    <cellStyle name="Comma [0] 2 5 7 2" xfId="4961"/>
    <cellStyle name="Comma [0] 2 5 7 3" xfId="4962"/>
    <cellStyle name="Comma [0] 2 5 7 4" xfId="4963"/>
    <cellStyle name="Comma [0] 2 5 7 5" xfId="4964"/>
    <cellStyle name="Comma [0] 2 5 7 6" xfId="4965"/>
    <cellStyle name="Comma [0] 2 5 7 7" xfId="4966"/>
    <cellStyle name="Comma [0] 2 5 7 8" xfId="4967"/>
    <cellStyle name="Comma [0] 2 5 8" xfId="4968"/>
    <cellStyle name="Comma [0] 2 5 8 2" xfId="4969"/>
    <cellStyle name="Comma [0] 2 5 8 3" xfId="4970"/>
    <cellStyle name="Comma [0] 2 5 8 4" xfId="4971"/>
    <cellStyle name="Comma [0] 2 5 8 5" xfId="4972"/>
    <cellStyle name="Comma [0] 2 5 8 6" xfId="4973"/>
    <cellStyle name="Comma [0] 2 5 8 7" xfId="4974"/>
    <cellStyle name="Comma [0] 2 5 8 8" xfId="4975"/>
    <cellStyle name="Comma [0] 2 5 9" xfId="4976"/>
    <cellStyle name="Comma [0] 2 50" xfId="4977"/>
    <cellStyle name="Comma [0] 2 51" xfId="4978"/>
    <cellStyle name="Comma [0] 2 52" xfId="4979"/>
    <cellStyle name="Comma [0] 2 53" xfId="4980"/>
    <cellStyle name="Comma [0] 2 54" xfId="4981"/>
    <cellStyle name="Comma [0] 2 55" xfId="4982"/>
    <cellStyle name="Comma [0] 2 6" xfId="4983"/>
    <cellStyle name="Comma [0] 2 6 10" xfId="4984"/>
    <cellStyle name="Comma [0] 2 6 11" xfId="4985"/>
    <cellStyle name="Comma [0] 2 6 12" xfId="4986"/>
    <cellStyle name="Comma [0] 2 6 13" xfId="4987"/>
    <cellStyle name="Comma [0] 2 6 14" xfId="4988"/>
    <cellStyle name="Comma [0] 2 6 2" xfId="4989"/>
    <cellStyle name="Comma [0] 2 6 2 10" xfId="4990"/>
    <cellStyle name="Comma [0] 2 6 2 2" xfId="4991"/>
    <cellStyle name="Comma [0] 2 6 2 2 2" xfId="4992"/>
    <cellStyle name="Comma [0] 2 6 2 2 2 2" xfId="4993"/>
    <cellStyle name="Comma [0] 2 6 2 2 2 3" xfId="4994"/>
    <cellStyle name="Comma [0] 2 6 2 2 2 4" xfId="4995"/>
    <cellStyle name="Comma [0] 2 6 2 2 3" xfId="4996"/>
    <cellStyle name="Comma [0] 2 6 2 2 4" xfId="4997"/>
    <cellStyle name="Comma [0] 2 6 2 2 5" xfId="4998"/>
    <cellStyle name="Comma [0] 2 6 2 3" xfId="4999"/>
    <cellStyle name="Comma [0] 2 6 2 3 2" xfId="5000"/>
    <cellStyle name="Comma [0] 2 6 2 3 3" xfId="5001"/>
    <cellStyle name="Comma [0] 2 6 2 3 4" xfId="5002"/>
    <cellStyle name="Comma [0] 2 6 2 4" xfId="5003"/>
    <cellStyle name="Comma [0] 2 6 2 5" xfId="5004"/>
    <cellStyle name="Comma [0] 2 6 2 6" xfId="5005"/>
    <cellStyle name="Comma [0] 2 6 2 7" xfId="5006"/>
    <cellStyle name="Comma [0] 2 6 2 8" xfId="5007"/>
    <cellStyle name="Comma [0] 2 6 2 9" xfId="5008"/>
    <cellStyle name="Comma [0] 2 6 3" xfId="5009"/>
    <cellStyle name="Comma [0] 2 6 3 10" xfId="5010"/>
    <cellStyle name="Comma [0] 2 6 3 2" xfId="5011"/>
    <cellStyle name="Comma [0] 2 6 3 2 2" xfId="5012"/>
    <cellStyle name="Comma [0] 2 6 3 2 2 2" xfId="5013"/>
    <cellStyle name="Comma [0] 2 6 3 2 2 3" xfId="5014"/>
    <cellStyle name="Comma [0] 2 6 3 2 2 4" xfId="5015"/>
    <cellStyle name="Comma [0] 2 6 3 2 3" xfId="5016"/>
    <cellStyle name="Comma [0] 2 6 3 2 4" xfId="5017"/>
    <cellStyle name="Comma [0] 2 6 3 2 5" xfId="5018"/>
    <cellStyle name="Comma [0] 2 6 3 3" xfId="5019"/>
    <cellStyle name="Comma [0] 2 6 3 3 2" xfId="5020"/>
    <cellStyle name="Comma [0] 2 6 3 3 3" xfId="5021"/>
    <cellStyle name="Comma [0] 2 6 3 3 4" xfId="5022"/>
    <cellStyle name="Comma [0] 2 6 3 4" xfId="5023"/>
    <cellStyle name="Comma [0] 2 6 3 5" xfId="5024"/>
    <cellStyle name="Comma [0] 2 6 3 6" xfId="5025"/>
    <cellStyle name="Comma [0] 2 6 3 7" xfId="5026"/>
    <cellStyle name="Comma [0] 2 6 3 8" xfId="5027"/>
    <cellStyle name="Comma [0] 2 6 3 9" xfId="5028"/>
    <cellStyle name="Comma [0] 2 6 4" xfId="5029"/>
    <cellStyle name="Comma [0] 2 6 4 2" xfId="5030"/>
    <cellStyle name="Comma [0] 2 6 4 2 2" xfId="5031"/>
    <cellStyle name="Comma [0] 2 6 4 2 3" xfId="5032"/>
    <cellStyle name="Comma [0] 2 6 4 2 4" xfId="5033"/>
    <cellStyle name="Comma [0] 2 6 4 3" xfId="5034"/>
    <cellStyle name="Comma [0] 2 6 4 4" xfId="5035"/>
    <cellStyle name="Comma [0] 2 6 4 5" xfId="5036"/>
    <cellStyle name="Comma [0] 2 6 4 6" xfId="5037"/>
    <cellStyle name="Comma [0] 2 6 4 7" xfId="5038"/>
    <cellStyle name="Comma [0] 2 6 4 8" xfId="5039"/>
    <cellStyle name="Comma [0] 2 6 4 9" xfId="5040"/>
    <cellStyle name="Comma [0] 2 6 5" xfId="5041"/>
    <cellStyle name="Comma [0] 2 6 5 2" xfId="5042"/>
    <cellStyle name="Comma [0] 2 6 5 2 2" xfId="5043"/>
    <cellStyle name="Comma [0] 2 6 5 2 3" xfId="5044"/>
    <cellStyle name="Comma [0] 2 6 5 2 4" xfId="5045"/>
    <cellStyle name="Comma [0] 2 6 5 3" xfId="5046"/>
    <cellStyle name="Comma [0] 2 6 5 4" xfId="5047"/>
    <cellStyle name="Comma [0] 2 6 5 5" xfId="5048"/>
    <cellStyle name="Comma [0] 2 6 5 6" xfId="5049"/>
    <cellStyle name="Comma [0] 2 6 5 7" xfId="5050"/>
    <cellStyle name="Comma [0] 2 6 5 8" xfId="5051"/>
    <cellStyle name="Comma [0] 2 6 5 9" xfId="5052"/>
    <cellStyle name="Comma [0] 2 6 6" xfId="5053"/>
    <cellStyle name="Comma [0] 2 6 6 2" xfId="5054"/>
    <cellStyle name="Comma [0] 2 6 6 3" xfId="5055"/>
    <cellStyle name="Comma [0] 2 6 6 4" xfId="5056"/>
    <cellStyle name="Comma [0] 2 6 6 5" xfId="5057"/>
    <cellStyle name="Comma [0] 2 6 6 6" xfId="5058"/>
    <cellStyle name="Comma [0] 2 6 6 7" xfId="5059"/>
    <cellStyle name="Comma [0] 2 6 6 8" xfId="5060"/>
    <cellStyle name="Comma [0] 2 6 7" xfId="5061"/>
    <cellStyle name="Comma [0] 2 6 7 2" xfId="5062"/>
    <cellStyle name="Comma [0] 2 6 7 3" xfId="5063"/>
    <cellStyle name="Comma [0] 2 6 7 4" xfId="5064"/>
    <cellStyle name="Comma [0] 2 6 7 5" xfId="5065"/>
    <cellStyle name="Comma [0] 2 6 7 6" xfId="5066"/>
    <cellStyle name="Comma [0] 2 6 7 7" xfId="5067"/>
    <cellStyle name="Comma [0] 2 6 7 8" xfId="5068"/>
    <cellStyle name="Comma [0] 2 6 8" xfId="5069"/>
    <cellStyle name="Comma [0] 2 6 8 2" xfId="5070"/>
    <cellStyle name="Comma [0] 2 6 8 3" xfId="5071"/>
    <cellStyle name="Comma [0] 2 6 8 4" xfId="5072"/>
    <cellStyle name="Comma [0] 2 6 8 5" xfId="5073"/>
    <cellStyle name="Comma [0] 2 6 9" xfId="5074"/>
    <cellStyle name="Comma [0] 2 7" xfId="5075"/>
    <cellStyle name="Comma [0] 2 7 10" xfId="5076"/>
    <cellStyle name="Comma [0] 2 7 11" xfId="5077"/>
    <cellStyle name="Comma [0] 2 7 12" xfId="5078"/>
    <cellStyle name="Comma [0] 2 7 13" xfId="5079"/>
    <cellStyle name="Comma [0] 2 7 14" xfId="5080"/>
    <cellStyle name="Comma [0] 2 7 2" xfId="5081"/>
    <cellStyle name="Comma [0] 2 7 2 10" xfId="5082"/>
    <cellStyle name="Comma [0] 2 7 2 2" xfId="5083"/>
    <cellStyle name="Comma [0] 2 7 2 2 2" xfId="5084"/>
    <cellStyle name="Comma [0] 2 7 2 2 2 2" xfId="5085"/>
    <cellStyle name="Comma [0] 2 7 2 2 2 3" xfId="5086"/>
    <cellStyle name="Comma [0] 2 7 2 2 2 4" xfId="5087"/>
    <cellStyle name="Comma [0] 2 7 2 2 3" xfId="5088"/>
    <cellStyle name="Comma [0] 2 7 2 2 4" xfId="5089"/>
    <cellStyle name="Comma [0] 2 7 2 2 5" xfId="5090"/>
    <cellStyle name="Comma [0] 2 7 2 3" xfId="5091"/>
    <cellStyle name="Comma [0] 2 7 2 3 2" xfId="5092"/>
    <cellStyle name="Comma [0] 2 7 2 3 3" xfId="5093"/>
    <cellStyle name="Comma [0] 2 7 2 3 4" xfId="5094"/>
    <cellStyle name="Comma [0] 2 7 2 4" xfId="5095"/>
    <cellStyle name="Comma [0] 2 7 2 5" xfId="5096"/>
    <cellStyle name="Comma [0] 2 7 2 6" xfId="5097"/>
    <cellStyle name="Comma [0] 2 7 2 7" xfId="5098"/>
    <cellStyle name="Comma [0] 2 7 2 8" xfId="5099"/>
    <cellStyle name="Comma [0] 2 7 2 9" xfId="5100"/>
    <cellStyle name="Comma [0] 2 7 3" xfId="5101"/>
    <cellStyle name="Comma [0] 2 7 3 10" xfId="5102"/>
    <cellStyle name="Comma [0] 2 7 3 2" xfId="5103"/>
    <cellStyle name="Comma [0] 2 7 3 2 2" xfId="5104"/>
    <cellStyle name="Comma [0] 2 7 3 2 2 2" xfId="5105"/>
    <cellStyle name="Comma [0] 2 7 3 2 2 3" xfId="5106"/>
    <cellStyle name="Comma [0] 2 7 3 2 2 4" xfId="5107"/>
    <cellStyle name="Comma [0] 2 7 3 2 3" xfId="5108"/>
    <cellStyle name="Comma [0] 2 7 3 2 4" xfId="5109"/>
    <cellStyle name="Comma [0] 2 7 3 2 5" xfId="5110"/>
    <cellStyle name="Comma [0] 2 7 3 3" xfId="5111"/>
    <cellStyle name="Comma [0] 2 7 3 3 2" xfId="5112"/>
    <cellStyle name="Comma [0] 2 7 3 3 3" xfId="5113"/>
    <cellStyle name="Comma [0] 2 7 3 3 4" xfId="5114"/>
    <cellStyle name="Comma [0] 2 7 3 4" xfId="5115"/>
    <cellStyle name="Comma [0] 2 7 3 5" xfId="5116"/>
    <cellStyle name="Comma [0] 2 7 3 6" xfId="5117"/>
    <cellStyle name="Comma [0] 2 7 3 7" xfId="5118"/>
    <cellStyle name="Comma [0] 2 7 3 8" xfId="5119"/>
    <cellStyle name="Comma [0] 2 7 3 9" xfId="5120"/>
    <cellStyle name="Comma [0] 2 7 4" xfId="5121"/>
    <cellStyle name="Comma [0] 2 7 4 2" xfId="5122"/>
    <cellStyle name="Comma [0] 2 7 4 2 2" xfId="5123"/>
    <cellStyle name="Comma [0] 2 7 4 2 3" xfId="5124"/>
    <cellStyle name="Comma [0] 2 7 4 2 4" xfId="5125"/>
    <cellStyle name="Comma [0] 2 7 4 3" xfId="5126"/>
    <cellStyle name="Comma [0] 2 7 4 4" xfId="5127"/>
    <cellStyle name="Comma [0] 2 7 4 5" xfId="5128"/>
    <cellStyle name="Comma [0] 2 7 4 6" xfId="5129"/>
    <cellStyle name="Comma [0] 2 7 4 7" xfId="5130"/>
    <cellStyle name="Comma [0] 2 7 4 8" xfId="5131"/>
    <cellStyle name="Comma [0] 2 7 4 9" xfId="5132"/>
    <cellStyle name="Comma [0] 2 7 5" xfId="5133"/>
    <cellStyle name="Comma [0] 2 7 5 2" xfId="5134"/>
    <cellStyle name="Comma [0] 2 7 5 2 2" xfId="5135"/>
    <cellStyle name="Comma [0] 2 7 5 2 3" xfId="5136"/>
    <cellStyle name="Comma [0] 2 7 5 2 4" xfId="5137"/>
    <cellStyle name="Comma [0] 2 7 5 3" xfId="5138"/>
    <cellStyle name="Comma [0] 2 7 5 4" xfId="5139"/>
    <cellStyle name="Comma [0] 2 7 5 5" xfId="5140"/>
    <cellStyle name="Comma [0] 2 7 5 6" xfId="5141"/>
    <cellStyle name="Comma [0] 2 7 5 7" xfId="5142"/>
    <cellStyle name="Comma [0] 2 7 5 8" xfId="5143"/>
    <cellStyle name="Comma [0] 2 7 5 9" xfId="5144"/>
    <cellStyle name="Comma [0] 2 7 6" xfId="5145"/>
    <cellStyle name="Comma [0] 2 7 6 2" xfId="5146"/>
    <cellStyle name="Comma [0] 2 7 6 3" xfId="5147"/>
    <cellStyle name="Comma [0] 2 7 6 4" xfId="5148"/>
    <cellStyle name="Comma [0] 2 7 6 5" xfId="5149"/>
    <cellStyle name="Comma [0] 2 7 6 6" xfId="5150"/>
    <cellStyle name="Comma [0] 2 7 6 7" xfId="5151"/>
    <cellStyle name="Comma [0] 2 7 6 8" xfId="5152"/>
    <cellStyle name="Comma [0] 2 7 7" xfId="5153"/>
    <cellStyle name="Comma [0] 2 7 7 2" xfId="5154"/>
    <cellStyle name="Comma [0] 2 7 7 3" xfId="5155"/>
    <cellStyle name="Comma [0] 2 7 7 4" xfId="5156"/>
    <cellStyle name="Comma [0] 2 7 7 5" xfId="5157"/>
    <cellStyle name="Comma [0] 2 7 7 6" xfId="5158"/>
    <cellStyle name="Comma [0] 2 7 7 7" xfId="5159"/>
    <cellStyle name="Comma [0] 2 7 7 8" xfId="5160"/>
    <cellStyle name="Comma [0] 2 7 8" xfId="5161"/>
    <cellStyle name="Comma [0] 2 7 8 2" xfId="5162"/>
    <cellStyle name="Comma [0] 2 7 8 3" xfId="5163"/>
    <cellStyle name="Comma [0] 2 7 8 4" xfId="5164"/>
    <cellStyle name="Comma [0] 2 7 8 5" xfId="5165"/>
    <cellStyle name="Comma [0] 2 7 9" xfId="5166"/>
    <cellStyle name="Comma [0] 2 8" xfId="5167"/>
    <cellStyle name="Comma [0] 2 8 10" xfId="5168"/>
    <cellStyle name="Comma [0] 2 8 11" xfId="5169"/>
    <cellStyle name="Comma [0] 2 8 2" xfId="5170"/>
    <cellStyle name="Comma [0] 2 8 3" xfId="5171"/>
    <cellStyle name="Comma [0] 2 8 4" xfId="5172"/>
    <cellStyle name="Comma [0] 2 8 5" xfId="5173"/>
    <cellStyle name="Comma [0] 2 8 6" xfId="5174"/>
    <cellStyle name="Comma [0] 2 8 7" xfId="5175"/>
    <cellStyle name="Comma [0] 2 8 8" xfId="5176"/>
    <cellStyle name="Comma [0] 2 8 9" xfId="5177"/>
    <cellStyle name="Comma [0] 2 9" xfId="5178"/>
    <cellStyle name="Comma [0] 2 9 10" xfId="5179"/>
    <cellStyle name="Comma [0] 2 9 11" xfId="5180"/>
    <cellStyle name="Comma [0] 2 9 2" xfId="5181"/>
    <cellStyle name="Comma [0] 2 9 2 2" xfId="5182"/>
    <cellStyle name="Comma [0] 2 9 2 2 2" xfId="5183"/>
    <cellStyle name="Comma [0] 2 9 2 2 3" xfId="5184"/>
    <cellStyle name="Comma [0] 2 9 2 2 4" xfId="5185"/>
    <cellStyle name="Comma [0] 2 9 2 3" xfId="5186"/>
    <cellStyle name="Comma [0] 2 9 2 4" xfId="5187"/>
    <cellStyle name="Comma [0] 2 9 2 5" xfId="5188"/>
    <cellStyle name="Comma [0] 2 9 2 6" xfId="5189"/>
    <cellStyle name="Comma [0] 2 9 2 7" xfId="5190"/>
    <cellStyle name="Comma [0] 2 9 2 8" xfId="5191"/>
    <cellStyle name="Comma [0] 2 9 2 9" xfId="5192"/>
    <cellStyle name="Comma [0] 2 9 3" xfId="5193"/>
    <cellStyle name="Comma [0] 2 9 3 2" xfId="5194"/>
    <cellStyle name="Comma [0] 2 9 3 3" xfId="5195"/>
    <cellStyle name="Comma [0] 2 9 3 4" xfId="5196"/>
    <cellStyle name="Comma [0] 2 9 3 5" xfId="5197"/>
    <cellStyle name="Comma [0] 2 9 3 6" xfId="5198"/>
    <cellStyle name="Comma [0] 2 9 3 7" xfId="5199"/>
    <cellStyle name="Comma [0] 2 9 3 8" xfId="5200"/>
    <cellStyle name="Comma [0] 2 9 4" xfId="5201"/>
    <cellStyle name="Comma [0] 2 9 4 2" xfId="5202"/>
    <cellStyle name="Comma [0] 2 9 4 3" xfId="5203"/>
    <cellStyle name="Comma [0] 2 9 4 4" xfId="5204"/>
    <cellStyle name="Comma [0] 2 9 4 5" xfId="5205"/>
    <cellStyle name="Comma [0] 2 9 5" xfId="5206"/>
    <cellStyle name="Comma [0] 2 9 5 2" xfId="5207"/>
    <cellStyle name="Comma [0] 2 9 5 3" xfId="5208"/>
    <cellStyle name="Comma [0] 2 9 5 4" xfId="5209"/>
    <cellStyle name="Comma [0] 2 9 5 5" xfId="5210"/>
    <cellStyle name="Comma [0] 2 9 6" xfId="5211"/>
    <cellStyle name="Comma [0] 2 9 6 2" xfId="5212"/>
    <cellStyle name="Comma [0] 2 9 6 3" xfId="5213"/>
    <cellStyle name="Comma [0] 2 9 6 4" xfId="5214"/>
    <cellStyle name="Comma [0] 2 9 6 5" xfId="5215"/>
    <cellStyle name="Comma [0] 2 9 7" xfId="5216"/>
    <cellStyle name="Comma [0] 2 9 8" xfId="5217"/>
    <cellStyle name="Comma [0] 2 9 9" xfId="5218"/>
    <cellStyle name="Comma [0] 2_Insentif dan UJP Sari Roti 2010-03" xfId="5219"/>
    <cellStyle name="Comma [0] 20" xfId="5220"/>
    <cellStyle name="Comma [0] 21" xfId="5221"/>
    <cellStyle name="Comma [0] 22" xfId="5222"/>
    <cellStyle name="Comma [0] 23" xfId="5223"/>
    <cellStyle name="Comma [0] 24" xfId="5224"/>
    <cellStyle name="Comma [0] 25" xfId="5225"/>
    <cellStyle name="Comma [0] 26" xfId="5226"/>
    <cellStyle name="Comma [0] 27" xfId="5227"/>
    <cellStyle name="Comma [0] 28" xfId="5228"/>
    <cellStyle name="Comma [0] 29" xfId="5229"/>
    <cellStyle name="Comma [0] 3" xfId="5230"/>
    <cellStyle name="Comma [0] 3 10" xfId="5231"/>
    <cellStyle name="Comma [0] 3 10 2" xfId="5232"/>
    <cellStyle name="Comma [0] 3 10 2 10" xfId="5233"/>
    <cellStyle name="Comma [0] 3 10 2 11" xfId="5234"/>
    <cellStyle name="Comma [0] 3 10 2 2" xfId="5235"/>
    <cellStyle name="Comma [0] 3 10 2 2 2" xfId="5236"/>
    <cellStyle name="Comma [0] 3 10 2 2 3" xfId="5237"/>
    <cellStyle name="Comma [0] 3 10 2 2 4" xfId="5238"/>
    <cellStyle name="Comma [0] 3 10 2 2 5" xfId="5239"/>
    <cellStyle name="Comma [0] 3 10 2 3" xfId="5240"/>
    <cellStyle name="Comma [0] 3 10 2 4" xfId="5241"/>
    <cellStyle name="Comma [0] 3 10 2 5" xfId="5242"/>
    <cellStyle name="Comma [0] 3 10 2 6" xfId="5243"/>
    <cellStyle name="Comma [0] 3 10 2 7" xfId="5244"/>
    <cellStyle name="Comma [0] 3 10 2 8" xfId="5245"/>
    <cellStyle name="Comma [0] 3 10 2 9" xfId="5246"/>
    <cellStyle name="Comma [0] 3 10 3" xfId="5247"/>
    <cellStyle name="Comma [0] 3 10 4" xfId="5248"/>
    <cellStyle name="Comma [0] 3 10 5" xfId="5249"/>
    <cellStyle name="Comma [0] 3 11" xfId="5250"/>
    <cellStyle name="Comma [0] 3 12" xfId="5251"/>
    <cellStyle name="Comma [0] 3 13" xfId="5252"/>
    <cellStyle name="Comma [0] 3 14" xfId="5253"/>
    <cellStyle name="Comma [0] 3 15" xfId="5254"/>
    <cellStyle name="Comma [0] 3 16" xfId="5255"/>
    <cellStyle name="Comma [0] 3 17" xfId="5256"/>
    <cellStyle name="Comma [0] 3 18" xfId="5257"/>
    <cellStyle name="Comma [0] 3 19" xfId="5258"/>
    <cellStyle name="Comma [0] 3 2" xfId="5259"/>
    <cellStyle name="Comma [0] 3 2 10" xfId="5260"/>
    <cellStyle name="Comma [0] 3 2 2" xfId="5261"/>
    <cellStyle name="Comma [0] 3 2 2 2" xfId="5262"/>
    <cellStyle name="Comma [0] 3 2 2 2 2" xfId="5263"/>
    <cellStyle name="Comma [0] 3 2 2 2 3" xfId="5264"/>
    <cellStyle name="Comma [0] 3 2 2 2 4" xfId="5265"/>
    <cellStyle name="Comma [0] 3 2 2 3" xfId="5266"/>
    <cellStyle name="Comma [0] 3 2 2 4" xfId="5267"/>
    <cellStyle name="Comma [0] 3 2 2 5" xfId="5268"/>
    <cellStyle name="Comma [0] 3 2 3" xfId="5269"/>
    <cellStyle name="Comma [0] 3 2 3 2" xfId="5270"/>
    <cellStyle name="Comma [0] 3 2 3 3" xfId="5271"/>
    <cellStyle name="Comma [0] 3 2 3 4" xfId="5272"/>
    <cellStyle name="Comma [0] 3 2 4" xfId="5273"/>
    <cellStyle name="Comma [0] 3 2 5" xfId="5274"/>
    <cellStyle name="Comma [0] 3 2 6" xfId="5275"/>
    <cellStyle name="Comma [0] 3 2 7" xfId="5276"/>
    <cellStyle name="Comma [0] 3 2 8" xfId="5277"/>
    <cellStyle name="Comma [0] 3 2 9" xfId="5278"/>
    <cellStyle name="Comma [0] 3 20" xfId="5279"/>
    <cellStyle name="Comma [0] 3 3" xfId="5280"/>
    <cellStyle name="Comma [0] 3 3 10" xfId="5281"/>
    <cellStyle name="Comma [0] 3 3 2" xfId="5282"/>
    <cellStyle name="Comma [0] 3 3 2 2" xfId="5283"/>
    <cellStyle name="Comma [0] 3 3 2 2 2" xfId="5284"/>
    <cellStyle name="Comma [0] 3 3 2 2 3" xfId="5285"/>
    <cellStyle name="Comma [0] 3 3 2 2 4" xfId="5286"/>
    <cellStyle name="Comma [0] 3 3 2 3" xfId="5287"/>
    <cellStyle name="Comma [0] 3 3 2 4" xfId="5288"/>
    <cellStyle name="Comma [0] 3 3 2 5" xfId="5289"/>
    <cellStyle name="Comma [0] 3 3 3" xfId="5290"/>
    <cellStyle name="Comma [0] 3 3 3 2" xfId="5291"/>
    <cellStyle name="Comma [0] 3 3 3 3" xfId="5292"/>
    <cellStyle name="Comma [0] 3 3 3 4" xfId="5293"/>
    <cellStyle name="Comma [0] 3 3 4" xfId="5294"/>
    <cellStyle name="Comma [0] 3 3 5" xfId="5295"/>
    <cellStyle name="Comma [0] 3 3 6" xfId="5296"/>
    <cellStyle name="Comma [0] 3 3 7" xfId="5297"/>
    <cellStyle name="Comma [0] 3 3 8" xfId="5298"/>
    <cellStyle name="Comma [0] 3 3 9" xfId="5299"/>
    <cellStyle name="Comma [0] 3 4" xfId="5300"/>
    <cellStyle name="Comma [0] 3 4 2" xfId="5301"/>
    <cellStyle name="Comma [0] 3 4 2 2" xfId="5302"/>
    <cellStyle name="Comma [0] 3 4 2 3" xfId="5303"/>
    <cellStyle name="Comma [0] 3 4 2 4" xfId="5304"/>
    <cellStyle name="Comma [0] 3 4 3" xfId="5305"/>
    <cellStyle name="Comma [0] 3 4 4" xfId="5306"/>
    <cellStyle name="Comma [0] 3 4 5" xfId="5307"/>
    <cellStyle name="Comma [0] 3 4 6" xfId="5308"/>
    <cellStyle name="Comma [0] 3 4 7" xfId="5309"/>
    <cellStyle name="Comma [0] 3 4 8" xfId="5310"/>
    <cellStyle name="Comma [0] 3 4 9" xfId="5311"/>
    <cellStyle name="Comma [0] 3 5" xfId="5312"/>
    <cellStyle name="Comma [0] 3 5 2" xfId="5313"/>
    <cellStyle name="Comma [0] 3 5 2 2" xfId="5314"/>
    <cellStyle name="Comma [0] 3 5 2 3" xfId="5315"/>
    <cellStyle name="Comma [0] 3 5 2 4" xfId="5316"/>
    <cellStyle name="Comma [0] 3 5 3" xfId="5317"/>
    <cellStyle name="Comma [0] 3 5 4" xfId="5318"/>
    <cellStyle name="Comma [0] 3 5 5" xfId="5319"/>
    <cellStyle name="Comma [0] 3 5 6" xfId="5320"/>
    <cellStyle name="Comma [0] 3 5 7" xfId="5321"/>
    <cellStyle name="Comma [0] 3 5 8" xfId="5322"/>
    <cellStyle name="Comma [0] 3 5 9" xfId="5323"/>
    <cellStyle name="Comma [0] 3 6" xfId="5324"/>
    <cellStyle name="Comma [0] 3 6 2" xfId="5325"/>
    <cellStyle name="Comma [0] 3 6 3" xfId="5326"/>
    <cellStyle name="Comma [0] 3 6 4" xfId="5327"/>
    <cellStyle name="Comma [0] 3 6 5" xfId="5328"/>
    <cellStyle name="Comma [0] 3 6 6" xfId="5329"/>
    <cellStyle name="Comma [0] 3 6 7" xfId="5330"/>
    <cellStyle name="Comma [0] 3 6 8" xfId="5331"/>
    <cellStyle name="Comma [0] 3 7" xfId="5332"/>
    <cellStyle name="Comma [0] 3 7 2" xfId="5333"/>
    <cellStyle name="Comma [0] 3 7 3" xfId="5334"/>
    <cellStyle name="Comma [0] 3 7 4" xfId="5335"/>
    <cellStyle name="Comma [0] 3 7 5" xfId="5336"/>
    <cellStyle name="Comma [0] 3 7 6" xfId="5337"/>
    <cellStyle name="Comma [0] 3 7 7" xfId="5338"/>
    <cellStyle name="Comma [0] 3 7 8" xfId="5339"/>
    <cellStyle name="Comma [0] 3 8" xfId="5340"/>
    <cellStyle name="Comma [0] 3 8 2" xfId="5341"/>
    <cellStyle name="Comma [0] 3 8 3" xfId="5342"/>
    <cellStyle name="Comma [0] 3 8 4" xfId="5343"/>
    <cellStyle name="Comma [0] 3 8 5" xfId="5344"/>
    <cellStyle name="Comma [0] 3 9" xfId="5345"/>
    <cellStyle name="Comma [0] 3 9 2" xfId="5346"/>
    <cellStyle name="Comma [0] 3 9 3" xfId="5347"/>
    <cellStyle name="Comma [0] 3 9 4" xfId="5348"/>
    <cellStyle name="Comma [0] 3 9 5" xfId="5349"/>
    <cellStyle name="Comma [0] 30" xfId="5350"/>
    <cellStyle name="Comma [0] 31" xfId="5351"/>
    <cellStyle name="Comma [0] 4" xfId="5352"/>
    <cellStyle name="Comma [0] 4 10" xfId="5353"/>
    <cellStyle name="Comma [0] 4 11" xfId="5354"/>
    <cellStyle name="Comma [0] 4 12" xfId="5355"/>
    <cellStyle name="Comma [0] 4 13" xfId="5356"/>
    <cellStyle name="Comma [0] 4 14" xfId="5357"/>
    <cellStyle name="Comma [0] 4 15" xfId="5358"/>
    <cellStyle name="Comma [0] 4 16" xfId="5359"/>
    <cellStyle name="Comma [0] 4 17" xfId="5360"/>
    <cellStyle name="Comma [0] 4 18" xfId="5361"/>
    <cellStyle name="Comma [0] 4 19" xfId="5362"/>
    <cellStyle name="Comma [0] 4 2" xfId="5363"/>
    <cellStyle name="Comma [0] 4 2 10" xfId="5364"/>
    <cellStyle name="Comma [0] 4 2 11" xfId="5365"/>
    <cellStyle name="Comma [0] 4 2 2" xfId="5366"/>
    <cellStyle name="Comma [0] 4 2 3" xfId="5367"/>
    <cellStyle name="Comma [0] 4 2 4" xfId="5368"/>
    <cellStyle name="Comma [0] 4 2 5" xfId="5369"/>
    <cellStyle name="Comma [0] 4 2 6" xfId="5370"/>
    <cellStyle name="Comma [0] 4 2 7" xfId="5371"/>
    <cellStyle name="Comma [0] 4 2 8" xfId="5372"/>
    <cellStyle name="Comma [0] 4 2 9" xfId="5373"/>
    <cellStyle name="Comma [0] 4 20" xfId="5374"/>
    <cellStyle name="Comma [0] 4 3" xfId="5375"/>
    <cellStyle name="Comma [0] 4 3 2" xfId="5376"/>
    <cellStyle name="Comma [0] 4 3 3" xfId="5377"/>
    <cellStyle name="Comma [0] 4 3 4" xfId="5378"/>
    <cellStyle name="Comma [0] 4 3 5" xfId="5379"/>
    <cellStyle name="Comma [0] 4 4" xfId="5380"/>
    <cellStyle name="Comma [0] 4 5" xfId="5381"/>
    <cellStyle name="Comma [0] 4 6" xfId="5382"/>
    <cellStyle name="Comma [0] 4 7" xfId="5383"/>
    <cellStyle name="Comma [0] 4 8" xfId="5384"/>
    <cellStyle name="Comma [0] 4 9" xfId="5385"/>
    <cellStyle name="Comma [0] 5" xfId="5386"/>
    <cellStyle name="Comma [0] 5 10" xfId="5387"/>
    <cellStyle name="Comma [0] 5 11" xfId="5388"/>
    <cellStyle name="Comma [0] 5 2" xfId="5389"/>
    <cellStyle name="Comma [0] 5 3" xfId="5390"/>
    <cellStyle name="Comma [0] 5 4" xfId="5391"/>
    <cellStyle name="Comma [0] 5 5" xfId="5392"/>
    <cellStyle name="Comma [0] 5 6" xfId="5393"/>
    <cellStyle name="Comma [0] 5 7" xfId="5394"/>
    <cellStyle name="Comma [0] 5 8" xfId="5395"/>
    <cellStyle name="Comma [0] 5 9" xfId="5396"/>
    <cellStyle name="Comma [0] 6" xfId="5397"/>
    <cellStyle name="Comma [0] 6 10" xfId="5398"/>
    <cellStyle name="Comma [0] 6 11" xfId="5399"/>
    <cellStyle name="Comma [0] 6 2" xfId="5400"/>
    <cellStyle name="Comma [0] 6 2 2" xfId="5401"/>
    <cellStyle name="Comma [0] 6 2 3" xfId="5402"/>
    <cellStyle name="Comma [0] 6 2 4" xfId="5403"/>
    <cellStyle name="Comma [0] 6 2 5" xfId="5404"/>
    <cellStyle name="Comma [0] 6 2 6" xfId="5405"/>
    <cellStyle name="Comma [0] 6 2 7" xfId="5406"/>
    <cellStyle name="Comma [0] 6 3" xfId="5407"/>
    <cellStyle name="Comma [0] 6 3 2" xfId="5408"/>
    <cellStyle name="Comma [0] 6 3 3" xfId="5409"/>
    <cellStyle name="Comma [0] 6 3 4" xfId="5410"/>
    <cellStyle name="Comma [0] 6 3 5" xfId="5411"/>
    <cellStyle name="Comma [0] 6 3 6" xfId="5412"/>
    <cellStyle name="Comma [0] 6 3 7" xfId="5413"/>
    <cellStyle name="Comma [0] 6 4" xfId="5414"/>
    <cellStyle name="Comma [0] 6 4 2" xfId="5415"/>
    <cellStyle name="Comma [0] 6 4 3" xfId="5416"/>
    <cellStyle name="Comma [0] 6 4 4" xfId="5417"/>
    <cellStyle name="Comma [0] 6 4 5" xfId="5418"/>
    <cellStyle name="Comma [0] 6 5" xfId="5419"/>
    <cellStyle name="Comma [0] 6 5 2" xfId="5420"/>
    <cellStyle name="Comma [0] 6 5 3" xfId="5421"/>
    <cellStyle name="Comma [0] 6 5 4" xfId="5422"/>
    <cellStyle name="Comma [0] 6 5 5" xfId="5423"/>
    <cellStyle name="Comma [0] 6 6" xfId="5424"/>
    <cellStyle name="Comma [0] 6 7" xfId="5425"/>
    <cellStyle name="Comma [0] 6 8" xfId="5426"/>
    <cellStyle name="Comma [0] 6 9" xfId="5427"/>
    <cellStyle name="Comma [0] 7" xfId="5428"/>
    <cellStyle name="Comma [0] 7 10" xfId="5429"/>
    <cellStyle name="Comma [0] 7 11" xfId="5430"/>
    <cellStyle name="Comma [0] 7 2" xfId="5431"/>
    <cellStyle name="Comma [0] 7 2 2" xfId="5432"/>
    <cellStyle name="Comma [0] 7 2 2 2" xfId="5433"/>
    <cellStyle name="Comma [0] 7 2 2 3" xfId="5434"/>
    <cellStyle name="Comma [0] 7 2 2 4" xfId="5435"/>
    <cellStyle name="Comma [0] 7 2 2 5" xfId="5436"/>
    <cellStyle name="Comma [0] 7 2 3" xfId="5437"/>
    <cellStyle name="Comma [0] 7 2 4" xfId="5438"/>
    <cellStyle name="Comma [0] 7 2 5" xfId="5439"/>
    <cellStyle name="Comma [0] 7 2 6" xfId="5440"/>
    <cellStyle name="Comma [0] 7 2 7" xfId="5441"/>
    <cellStyle name="Comma [0] 7 2 8" xfId="5442"/>
    <cellStyle name="Comma [0] 7 3" xfId="5443"/>
    <cellStyle name="Comma [0] 7 3 2" xfId="5444"/>
    <cellStyle name="Comma [0] 7 3 3" xfId="5445"/>
    <cellStyle name="Comma [0] 7 3 4" xfId="5446"/>
    <cellStyle name="Comma [0] 7 3 5" xfId="5447"/>
    <cellStyle name="Comma [0] 7 4" xfId="5448"/>
    <cellStyle name="Comma [0] 7 4 2" xfId="5449"/>
    <cellStyle name="Comma [0] 7 4 3" xfId="5450"/>
    <cellStyle name="Comma [0] 7 4 4" xfId="5451"/>
    <cellStyle name="Comma [0] 7 4 5" xfId="5452"/>
    <cellStyle name="Comma [0] 7 5" xfId="5453"/>
    <cellStyle name="Comma [0] 7 5 2" xfId="5454"/>
    <cellStyle name="Comma [0] 7 5 3" xfId="5455"/>
    <cellStyle name="Comma [0] 7 5 4" xfId="5456"/>
    <cellStyle name="Comma [0] 7 5 5" xfId="5457"/>
    <cellStyle name="Comma [0] 7 6" xfId="5458"/>
    <cellStyle name="Comma [0] 7 7" xfId="5459"/>
    <cellStyle name="Comma [0] 7 8" xfId="5460"/>
    <cellStyle name="Comma [0] 7 9" xfId="5461"/>
    <cellStyle name="Comma [0] 8" xfId="5462"/>
    <cellStyle name="Comma [0] 8 10" xfId="5463"/>
    <cellStyle name="Comma [0] 8 11" xfId="5464"/>
    <cellStyle name="Comma [0] 8 2" xfId="5465"/>
    <cellStyle name="Comma [0] 8 2 2" xfId="5466"/>
    <cellStyle name="Comma [0] 8 2 3" xfId="5467"/>
    <cellStyle name="Comma [0] 8 2 4" xfId="5468"/>
    <cellStyle name="Comma [0] 8 2 5" xfId="5469"/>
    <cellStyle name="Comma [0] 8 3" xfId="5470"/>
    <cellStyle name="Comma [0] 8 3 2" xfId="5471"/>
    <cellStyle name="Comma [0] 8 3 3" xfId="5472"/>
    <cellStyle name="Comma [0] 8 3 4" xfId="5473"/>
    <cellStyle name="Comma [0] 8 3 5" xfId="5474"/>
    <cellStyle name="Comma [0] 8 4" xfId="5475"/>
    <cellStyle name="Comma [0] 8 5" xfId="5476"/>
    <cellStyle name="Comma [0] 8 6" xfId="5477"/>
    <cellStyle name="Comma [0] 8 7" xfId="5478"/>
    <cellStyle name="Comma [0] 8 8" xfId="5479"/>
    <cellStyle name="Comma [0] 8 9" xfId="5480"/>
    <cellStyle name="Comma [0] 9" xfId="5481"/>
    <cellStyle name="Comma [0] 9 10" xfId="5482"/>
    <cellStyle name="Comma [0] 9 11" xfId="5483"/>
    <cellStyle name="Comma [0] 9 12" xfId="5484"/>
    <cellStyle name="Comma [0] 9 13" xfId="5485"/>
    <cellStyle name="Comma [0] 9 14" xfId="5486"/>
    <cellStyle name="Comma [0] 9 2" xfId="5487"/>
    <cellStyle name="Comma [0] 9 2 10" xfId="5488"/>
    <cellStyle name="Comma [0] 9 2 11" xfId="5489"/>
    <cellStyle name="Comma [0] 9 2 12" xfId="5490"/>
    <cellStyle name="Comma [0] 9 2 2" xfId="5491"/>
    <cellStyle name="Comma [0] 9 2 2 2" xfId="5492"/>
    <cellStyle name="Comma [0] 9 2 2 3" xfId="5493"/>
    <cellStyle name="Comma [0] 9 2 2 4" xfId="5494"/>
    <cellStyle name="Comma [0] 9 2 2 5" xfId="5495"/>
    <cellStyle name="Comma [0] 9 2 3" xfId="5496"/>
    <cellStyle name="Comma [0] 9 2 4" xfId="5497"/>
    <cellStyle name="Comma [0] 9 2 5" xfId="5498"/>
    <cellStyle name="Comma [0] 9 2 6" xfId="5499"/>
    <cellStyle name="Comma [0] 9 2 7" xfId="5500"/>
    <cellStyle name="Comma [0] 9 2 8" xfId="5501"/>
    <cellStyle name="Comma [0] 9 2 9" xfId="5502"/>
    <cellStyle name="Comma [0] 9 3" xfId="5503"/>
    <cellStyle name="Comma [0] 9 3 2" xfId="5504"/>
    <cellStyle name="Comma [0] 9 3 3" xfId="5505"/>
    <cellStyle name="Comma [0] 9 3 4" xfId="5506"/>
    <cellStyle name="Comma [0] 9 3 5" xfId="5507"/>
    <cellStyle name="Comma [0] 9 4" xfId="5508"/>
    <cellStyle name="Comma [0] 9 4 2" xfId="5509"/>
    <cellStyle name="Comma [0] 9 4 3" xfId="5510"/>
    <cellStyle name="Comma [0] 9 4 4" xfId="5511"/>
    <cellStyle name="Comma [0] 9 4 5" xfId="5512"/>
    <cellStyle name="Comma [0] 9 5" xfId="5513"/>
    <cellStyle name="Comma [0] 9 5 2" xfId="5514"/>
    <cellStyle name="Comma [0] 9 5 3" xfId="5515"/>
    <cellStyle name="Comma [0] 9 5 4" xfId="5516"/>
    <cellStyle name="Comma [0] 9 5 5" xfId="5517"/>
    <cellStyle name="Comma [0] 9 6" xfId="5518"/>
    <cellStyle name="Comma [0] 9 7" xfId="5519"/>
    <cellStyle name="Comma [0] 9 8" xfId="5520"/>
    <cellStyle name="Comma [0] 9 9" xfId="5521"/>
    <cellStyle name="Comma [0] red" xfId="5522"/>
    <cellStyle name="Comma [0] red 2" xfId="5523"/>
    <cellStyle name="Comma [0] red 3" xfId="5524"/>
    <cellStyle name="Comma [0] red 4" xfId="5525"/>
    <cellStyle name="Comma [0] red 5" xfId="5526"/>
    <cellStyle name="Comma [0] red 6" xfId="5527"/>
    <cellStyle name="Comma [0] red 7" xfId="5528"/>
    <cellStyle name="Comma [0] red 8" xfId="5529"/>
    <cellStyle name="Comma [00]" xfId="5530"/>
    <cellStyle name="Comma [00] 2" xfId="5531"/>
    <cellStyle name="Comma [00] 3" xfId="5532"/>
    <cellStyle name="Comma [00] 4" xfId="5533"/>
    <cellStyle name="Comma [00] 5" xfId="5534"/>
    <cellStyle name="Comma [00] 6" xfId="5535"/>
    <cellStyle name="Comma [00] 7" xfId="5536"/>
    <cellStyle name="Comma [00] 8" xfId="5537"/>
    <cellStyle name="Comma 10" xfId="5538"/>
    <cellStyle name="Comma 10 2" xfId="5539"/>
    <cellStyle name="Comma 10 2 2" xfId="5540"/>
    <cellStyle name="Comma 10 2 3" xfId="5541"/>
    <cellStyle name="Comma 10 2 4" xfId="5542"/>
    <cellStyle name="Comma 10 2 5" xfId="5543"/>
    <cellStyle name="Comma 10 3" xfId="5544"/>
    <cellStyle name="Comma 10 3 2" xfId="5545"/>
    <cellStyle name="Comma 10 3 3" xfId="5546"/>
    <cellStyle name="Comma 10 3 4" xfId="5547"/>
    <cellStyle name="Comma 10 3 5" xfId="5548"/>
    <cellStyle name="Comma 10 3 5 2" xfId="5549"/>
    <cellStyle name="Comma 10 4" xfId="5550"/>
    <cellStyle name="Comma 10 5" xfId="5551"/>
    <cellStyle name="Comma 10 5 2" xfId="5552"/>
    <cellStyle name="Comma 10 5 2 2" xfId="5553"/>
    <cellStyle name="Comma 10 6" xfId="5554"/>
    <cellStyle name="Comma 10 7" xfId="5555"/>
    <cellStyle name="Comma 100" xfId="5556"/>
    <cellStyle name="Comma 101" xfId="5557"/>
    <cellStyle name="Comma 102" xfId="5558"/>
    <cellStyle name="Comma 103" xfId="5559"/>
    <cellStyle name="Comma 104" xfId="5560"/>
    <cellStyle name="Comma 105" xfId="5561"/>
    <cellStyle name="Comma 106" xfId="5562"/>
    <cellStyle name="Comma 107" xfId="5563"/>
    <cellStyle name="Comma 108" xfId="5564"/>
    <cellStyle name="Comma 109" xfId="5565"/>
    <cellStyle name="Comma 11" xfId="5566"/>
    <cellStyle name="Comma 11 10" xfId="5567"/>
    <cellStyle name="Comma 11 11" xfId="5568"/>
    <cellStyle name="Comma 11 12" xfId="5569"/>
    <cellStyle name="Comma 11 13" xfId="5570"/>
    <cellStyle name="Comma 11 14" xfId="5571"/>
    <cellStyle name="Comma 11 15" xfId="5572"/>
    <cellStyle name="Comma 11 2" xfId="5573"/>
    <cellStyle name="Comma 11 2 2" xfId="5574"/>
    <cellStyle name="Comma 11 2 2 2" xfId="5575"/>
    <cellStyle name="Comma 11 2 2 2 2" xfId="5576"/>
    <cellStyle name="Comma 11 2 2 2 3" xfId="5577"/>
    <cellStyle name="Comma 11 2 2 2 4" xfId="5578"/>
    <cellStyle name="Comma 11 2 2 3" xfId="5579"/>
    <cellStyle name="Comma 11 2 2 4" xfId="5580"/>
    <cellStyle name="Comma 11 2 2 5" xfId="5581"/>
    <cellStyle name="Comma 11 2 3" xfId="5582"/>
    <cellStyle name="Comma 11 2 3 2" xfId="5583"/>
    <cellStyle name="Comma 11 2 3 3" xfId="5584"/>
    <cellStyle name="Comma 11 2 3 4" xfId="5585"/>
    <cellStyle name="Comma 11 2 4" xfId="5586"/>
    <cellStyle name="Comma 11 2 5" xfId="5587"/>
    <cellStyle name="Comma 11 2 6" xfId="5588"/>
    <cellStyle name="Comma 11 3" xfId="5589"/>
    <cellStyle name="Comma 11 3 10" xfId="5590"/>
    <cellStyle name="Comma 11 3 2" xfId="5591"/>
    <cellStyle name="Comma 11 3 2 2" xfId="5592"/>
    <cellStyle name="Comma 11 3 2 2 2" xfId="5593"/>
    <cellStyle name="Comma 11 3 2 2 3" xfId="5594"/>
    <cellStyle name="Comma 11 3 2 2 4" xfId="5595"/>
    <cellStyle name="Comma 11 3 2 3" xfId="5596"/>
    <cellStyle name="Comma 11 3 2 4" xfId="5597"/>
    <cellStyle name="Comma 11 3 2 5" xfId="5598"/>
    <cellStyle name="Comma 11 3 3" xfId="5599"/>
    <cellStyle name="Comma 11 3 3 2" xfId="5600"/>
    <cellStyle name="Comma 11 3 3 3" xfId="5601"/>
    <cellStyle name="Comma 11 3 3 4" xfId="5602"/>
    <cellStyle name="Comma 11 3 4" xfId="5603"/>
    <cellStyle name="Comma 11 3 5" xfId="5604"/>
    <cellStyle name="Comma 11 3 6" xfId="5605"/>
    <cellStyle name="Comma 11 3 7" xfId="5606"/>
    <cellStyle name="Comma 11 3 8" xfId="5607"/>
    <cellStyle name="Comma 11 3 9" xfId="5608"/>
    <cellStyle name="Comma 11 4" xfId="5609"/>
    <cellStyle name="Comma 11 4 2" xfId="5610"/>
    <cellStyle name="Comma 11 4 2 2" xfId="5611"/>
    <cellStyle name="Comma 11 4 2 3" xfId="5612"/>
    <cellStyle name="Comma 11 4 2 4" xfId="5613"/>
    <cellStyle name="Comma 11 4 3" xfId="5614"/>
    <cellStyle name="Comma 11 4 4" xfId="5615"/>
    <cellStyle name="Comma 11 4 5" xfId="5616"/>
    <cellStyle name="Comma 11 4 6" xfId="5617"/>
    <cellStyle name="Comma 11 4 7" xfId="5618"/>
    <cellStyle name="Comma 11 4 8" xfId="5619"/>
    <cellStyle name="Comma 11 4 9" xfId="5620"/>
    <cellStyle name="Comma 11 5" xfId="5621"/>
    <cellStyle name="Comma 11 5 2" xfId="5622"/>
    <cellStyle name="Comma 11 5 2 2" xfId="5623"/>
    <cellStyle name="Comma 11 5 2 3" xfId="5624"/>
    <cellStyle name="Comma 11 5 2 4" xfId="5625"/>
    <cellStyle name="Comma 11 5 3" xfId="5626"/>
    <cellStyle name="Comma 11 5 4" xfId="5627"/>
    <cellStyle name="Comma 11 5 5" xfId="5628"/>
    <cellStyle name="Comma 11 5 6" xfId="5629"/>
    <cellStyle name="Comma 11 5 7" xfId="5630"/>
    <cellStyle name="Comma 11 5 8" xfId="5631"/>
    <cellStyle name="Comma 11 5 9" xfId="5632"/>
    <cellStyle name="Comma 11 6" xfId="5633"/>
    <cellStyle name="Comma 11 6 2" xfId="5634"/>
    <cellStyle name="Comma 11 6 3" xfId="5635"/>
    <cellStyle name="Comma 11 6 4" xfId="5636"/>
    <cellStyle name="Comma 11 7" xfId="5637"/>
    <cellStyle name="Comma 11 7 2" xfId="5638"/>
    <cellStyle name="Comma 11 7 3" xfId="5639"/>
    <cellStyle name="Comma 11 7 4" xfId="5640"/>
    <cellStyle name="Comma 11 8" xfId="5641"/>
    <cellStyle name="Comma 11 8 2" xfId="5642"/>
    <cellStyle name="Comma 11 8 3" xfId="5643"/>
    <cellStyle name="Comma 11 8 4" xfId="5644"/>
    <cellStyle name="Comma 11 9" xfId="5645"/>
    <cellStyle name="Comma 110" xfId="5646"/>
    <cellStyle name="Comma 111" xfId="5647"/>
    <cellStyle name="Comma 112" xfId="5648"/>
    <cellStyle name="Comma 113" xfId="5649"/>
    <cellStyle name="Comma 113 2" xfId="5650"/>
    <cellStyle name="Comma 114" xfId="5651"/>
    <cellStyle name="Comma 115" xfId="5652"/>
    <cellStyle name="Comma 116" xfId="5653"/>
    <cellStyle name="Comma 117" xfId="5654"/>
    <cellStyle name="Comma 118" xfId="5655"/>
    <cellStyle name="Comma 119" xfId="5656"/>
    <cellStyle name="Comma 12" xfId="5657"/>
    <cellStyle name="Comma 12 2" xfId="5658"/>
    <cellStyle name="Comma 12 2 2" xfId="5659"/>
    <cellStyle name="Comma 12 2 3" xfId="5660"/>
    <cellStyle name="Comma 12 2 4" xfId="5661"/>
    <cellStyle name="Comma 12 2 5" xfId="5662"/>
    <cellStyle name="Comma 12 3" xfId="5663"/>
    <cellStyle name="Comma 12 3 2" xfId="5664"/>
    <cellStyle name="Comma 12 3 3" xfId="5665"/>
    <cellStyle name="Comma 12 3 4" xfId="5666"/>
    <cellStyle name="Comma 12 3 5" xfId="5667"/>
    <cellStyle name="Comma 120" xfId="5668"/>
    <cellStyle name="Comma 121" xfId="5669"/>
    <cellStyle name="Comma 121 2" xfId="5670"/>
    <cellStyle name="Comma 122" xfId="5671"/>
    <cellStyle name="Comma 123" xfId="5672"/>
    <cellStyle name="Comma 124" xfId="5673"/>
    <cellStyle name="Comma 125" xfId="5674"/>
    <cellStyle name="Comma 126" xfId="5675"/>
    <cellStyle name="Comma 127" xfId="5676"/>
    <cellStyle name="Comma 128" xfId="5677"/>
    <cellStyle name="Comma 129" xfId="5678"/>
    <cellStyle name="Comma 13" xfId="5679"/>
    <cellStyle name="Comma 13 10" xfId="5680"/>
    <cellStyle name="Comma 13 11" xfId="5681"/>
    <cellStyle name="Comma 13 2" xfId="5682"/>
    <cellStyle name="Comma 13 2 2" xfId="5683"/>
    <cellStyle name="Comma 13 2 3" xfId="5684"/>
    <cellStyle name="Comma 13 2 4" xfId="5685"/>
    <cellStyle name="Comma 13 2 5" xfId="5686"/>
    <cellStyle name="Comma 13 3" xfId="5687"/>
    <cellStyle name="Comma 13 3 2" xfId="5688"/>
    <cellStyle name="Comma 13 3 3" xfId="5689"/>
    <cellStyle name="Comma 13 3 4" xfId="5690"/>
    <cellStyle name="Comma 13 3 5" xfId="5691"/>
    <cellStyle name="Comma 13 4" xfId="5692"/>
    <cellStyle name="Comma 13 5" xfId="5693"/>
    <cellStyle name="Comma 13 6" xfId="5694"/>
    <cellStyle name="Comma 13 7" xfId="5695"/>
    <cellStyle name="Comma 13 8" xfId="5696"/>
    <cellStyle name="Comma 13 9" xfId="5697"/>
    <cellStyle name="Comma 130" xfId="5698"/>
    <cellStyle name="Comma 131" xfId="5699"/>
    <cellStyle name="Comma 132" xfId="5700"/>
    <cellStyle name="Comma 133" xfId="5701"/>
    <cellStyle name="Comma 134" xfId="5702"/>
    <cellStyle name="Comma 135" xfId="5703"/>
    <cellStyle name="Comma 136" xfId="5704"/>
    <cellStyle name="Comma 137" xfId="5705"/>
    <cellStyle name="Comma 138" xfId="5706"/>
    <cellStyle name="Comma 139" xfId="5707"/>
    <cellStyle name="Comma 14" xfId="5708"/>
    <cellStyle name="Comma 14 2" xfId="5709"/>
    <cellStyle name="Comma 14 2 2" xfId="5710"/>
    <cellStyle name="Comma 14 2 3" xfId="5711"/>
    <cellStyle name="Comma 14 2 4" xfId="5712"/>
    <cellStyle name="Comma 14 2 5" xfId="5713"/>
    <cellStyle name="Comma 14 3" xfId="5714"/>
    <cellStyle name="Comma 14 3 2" xfId="5715"/>
    <cellStyle name="Comma 14 3 3" xfId="5716"/>
    <cellStyle name="Comma 14 3 4" xfId="5717"/>
    <cellStyle name="Comma 14 3 5" xfId="5718"/>
    <cellStyle name="Comma 14 4" xfId="5719"/>
    <cellStyle name="Comma 14 5" xfId="5720"/>
    <cellStyle name="Comma 14 6" xfId="5721"/>
    <cellStyle name="Comma 14 7" xfId="5722"/>
    <cellStyle name="Comma 140" xfId="5723"/>
    <cellStyle name="Comma 141" xfId="5724"/>
    <cellStyle name="Comma 142" xfId="5725"/>
    <cellStyle name="Comma 143" xfId="5726"/>
    <cellStyle name="Comma 144" xfId="5727"/>
    <cellStyle name="Comma 15" xfId="5728"/>
    <cellStyle name="Comma 15 10" xfId="5729"/>
    <cellStyle name="Comma 15 10 2" xfId="5730"/>
    <cellStyle name="Comma 15 11" xfId="5731"/>
    <cellStyle name="Comma 15 12" xfId="5732"/>
    <cellStyle name="Comma 15 13" xfId="5733"/>
    <cellStyle name="Comma 15 2" xfId="5734"/>
    <cellStyle name="Comma 15 2 2" xfId="5735"/>
    <cellStyle name="Comma 15 2 2 2" xfId="5736"/>
    <cellStyle name="Comma 15 2 3" xfId="5737"/>
    <cellStyle name="Comma 15 2 3 2" xfId="5738"/>
    <cellStyle name="Comma 15 2 4" xfId="5739"/>
    <cellStyle name="Comma 15 2 5" xfId="5740"/>
    <cellStyle name="Comma 15 2 6" xfId="5741"/>
    <cellStyle name="Comma 15 3" xfId="5742"/>
    <cellStyle name="Comma 15 3 2" xfId="5743"/>
    <cellStyle name="Comma 15 3 2 2" xfId="5744"/>
    <cellStyle name="Comma 15 3 3" xfId="5745"/>
    <cellStyle name="Comma 15 3 3 2" xfId="5746"/>
    <cellStyle name="Comma 15 3 4" xfId="5747"/>
    <cellStyle name="Comma 15 3 5" xfId="5748"/>
    <cellStyle name="Comma 15 3 6" xfId="5749"/>
    <cellStyle name="Comma 15 4" xfId="5750"/>
    <cellStyle name="Comma 15 4 2" xfId="5751"/>
    <cellStyle name="Comma 15 4 2 2" xfId="5752"/>
    <cellStyle name="Comma 15 4 3" xfId="5753"/>
    <cellStyle name="Comma 15 4 3 2" xfId="5754"/>
    <cellStyle name="Comma 15 4 4" xfId="5755"/>
    <cellStyle name="Comma 15 5" xfId="5756"/>
    <cellStyle name="Comma 15 5 2" xfId="5757"/>
    <cellStyle name="Comma 15 6" xfId="5758"/>
    <cellStyle name="Comma 15 6 2" xfId="5759"/>
    <cellStyle name="Comma 15 7" xfId="5760"/>
    <cellStyle name="Comma 15 7 2" xfId="5761"/>
    <cellStyle name="Comma 15 8" xfId="5762"/>
    <cellStyle name="Comma 15 8 2" xfId="5763"/>
    <cellStyle name="Comma 15 9" xfId="5764"/>
    <cellStyle name="Comma 15 9 2" xfId="5765"/>
    <cellStyle name="Comma 16" xfId="5766"/>
    <cellStyle name="Comma 16 10" xfId="5767"/>
    <cellStyle name="Comma 16 10 2" xfId="5768"/>
    <cellStyle name="Comma 16 11" xfId="5769"/>
    <cellStyle name="Comma 16 12" xfId="5770"/>
    <cellStyle name="Comma 16 13" xfId="5771"/>
    <cellStyle name="Comma 16 2" xfId="5772"/>
    <cellStyle name="Comma 16 2 2" xfId="5773"/>
    <cellStyle name="Comma 16 2 2 2" xfId="5774"/>
    <cellStyle name="Comma 16 2 3" xfId="5775"/>
    <cellStyle name="Comma 16 2 3 2" xfId="5776"/>
    <cellStyle name="Comma 16 2 4" xfId="5777"/>
    <cellStyle name="Comma 16 2 5" xfId="5778"/>
    <cellStyle name="Comma 16 2 6" xfId="5779"/>
    <cellStyle name="Comma 16 3" xfId="5780"/>
    <cellStyle name="Comma 16 3 2" xfId="5781"/>
    <cellStyle name="Comma 16 3 2 2" xfId="5782"/>
    <cellStyle name="Comma 16 3 3" xfId="5783"/>
    <cellStyle name="Comma 16 3 3 2" xfId="5784"/>
    <cellStyle name="Comma 16 3 4" xfId="5785"/>
    <cellStyle name="Comma 16 3 5" xfId="5786"/>
    <cellStyle name="Comma 16 3 6" xfId="5787"/>
    <cellStyle name="Comma 16 4" xfId="5788"/>
    <cellStyle name="Comma 16 4 2" xfId="5789"/>
    <cellStyle name="Comma 16 4 2 2" xfId="5790"/>
    <cellStyle name="Comma 16 4 3" xfId="5791"/>
    <cellStyle name="Comma 16 4 3 2" xfId="5792"/>
    <cellStyle name="Comma 16 4 4" xfId="5793"/>
    <cellStyle name="Comma 16 5" xfId="5794"/>
    <cellStyle name="Comma 16 5 2" xfId="5795"/>
    <cellStyle name="Comma 16 6" xfId="5796"/>
    <cellStyle name="Comma 16 6 2" xfId="5797"/>
    <cellStyle name="Comma 16 7" xfId="5798"/>
    <cellStyle name="Comma 16 7 2" xfId="5799"/>
    <cellStyle name="Comma 16 8" xfId="5800"/>
    <cellStyle name="Comma 16 8 2" xfId="5801"/>
    <cellStyle name="Comma 16 9" xfId="5802"/>
    <cellStyle name="Comma 16 9 2" xfId="5803"/>
    <cellStyle name="Comma 17" xfId="5804"/>
    <cellStyle name="Comma 18" xfId="5805"/>
    <cellStyle name="Comma 18 2" xfId="5806"/>
    <cellStyle name="Comma 18 2 2" xfId="5807"/>
    <cellStyle name="Comma 19" xfId="5808"/>
    <cellStyle name="Comma 19 2" xfId="5809"/>
    <cellStyle name="Comma 19 2 2" xfId="5810"/>
    <cellStyle name="Comma 2" xfId="5811"/>
    <cellStyle name="Comma 2 10" xfId="5812"/>
    <cellStyle name="Comma 2 10 2" xfId="5813"/>
    <cellStyle name="Comma 2 10 2 2" xfId="5814"/>
    <cellStyle name="Comma 2 10 2 3" xfId="5815"/>
    <cellStyle name="Comma 2 10 2 4" xfId="5816"/>
    <cellStyle name="Comma 2 10 3" xfId="5817"/>
    <cellStyle name="Comma 2 10 4" xfId="5818"/>
    <cellStyle name="Comma 2 10 5" xfId="5819"/>
    <cellStyle name="Comma 2 10 6" xfId="5820"/>
    <cellStyle name="Comma 2 10 7" xfId="5821"/>
    <cellStyle name="Comma 2 10 8" xfId="5822"/>
    <cellStyle name="Comma 2 10 9" xfId="5823"/>
    <cellStyle name="Comma 2 11" xfId="5824"/>
    <cellStyle name="Comma 2 11 2" xfId="5825"/>
    <cellStyle name="Comma 2 11 3" xfId="5826"/>
    <cellStyle name="Comma 2 11 4" xfId="5827"/>
    <cellStyle name="Comma 2 11 5" xfId="5828"/>
    <cellStyle name="Comma 2 11 6" xfId="5829"/>
    <cellStyle name="Comma 2 11 7" xfId="5830"/>
    <cellStyle name="Comma 2 11 8" xfId="5831"/>
    <cellStyle name="Comma 2 12" xfId="5832"/>
    <cellStyle name="Comma 2 12 2" xfId="5833"/>
    <cellStyle name="Comma 2 12 3" xfId="5834"/>
    <cellStyle name="Comma 2 12 4" xfId="5835"/>
    <cellStyle name="Comma 2 12 5" xfId="5836"/>
    <cellStyle name="Comma 2 12 6" xfId="5837"/>
    <cellStyle name="Comma 2 12 7" xfId="5838"/>
    <cellStyle name="Comma 2 12 8" xfId="5839"/>
    <cellStyle name="Comma 2 13" xfId="5840"/>
    <cellStyle name="Comma 2 13 2" xfId="5841"/>
    <cellStyle name="Comma 2 13 3" xfId="5842"/>
    <cellStyle name="Comma 2 13 4" xfId="5843"/>
    <cellStyle name="Comma 2 13 5" xfId="5844"/>
    <cellStyle name="Comma 2 13 6" xfId="5845"/>
    <cellStyle name="Comma 2 13 7" xfId="5846"/>
    <cellStyle name="Comma 2 13 8" xfId="5847"/>
    <cellStyle name="Comma 2 14" xfId="5848"/>
    <cellStyle name="Comma 2 14 2" xfId="5849"/>
    <cellStyle name="Comma 2 14 3" xfId="5850"/>
    <cellStyle name="Comma 2 14 4" xfId="5851"/>
    <cellStyle name="Comma 2 14 5" xfId="5852"/>
    <cellStyle name="Comma 2 14 6" xfId="5853"/>
    <cellStyle name="Comma 2 14 7" xfId="5854"/>
    <cellStyle name="Comma 2 14 8" xfId="5855"/>
    <cellStyle name="Comma 2 15" xfId="5856"/>
    <cellStyle name="Comma 2 15 2" xfId="5857"/>
    <cellStyle name="Comma 2 15 3" xfId="5858"/>
    <cellStyle name="Comma 2 15 4" xfId="5859"/>
    <cellStyle name="Comma 2 15 5" xfId="5860"/>
    <cellStyle name="Comma 2 15 6" xfId="5861"/>
    <cellStyle name="Comma 2 15 7" xfId="5862"/>
    <cellStyle name="Comma 2 15 8" xfId="5863"/>
    <cellStyle name="Comma 2 16" xfId="5864"/>
    <cellStyle name="Comma 2 16 2" xfId="5865"/>
    <cellStyle name="Comma 2 16 3" xfId="5866"/>
    <cellStyle name="Comma 2 16 4" xfId="5867"/>
    <cellStyle name="Comma 2 16 5" xfId="5868"/>
    <cellStyle name="Comma 2 16 6" xfId="5869"/>
    <cellStyle name="Comma 2 16 7" xfId="5870"/>
    <cellStyle name="Comma 2 16 8" xfId="5871"/>
    <cellStyle name="Comma 2 17" xfId="5872"/>
    <cellStyle name="Comma 2 17 2" xfId="5873"/>
    <cellStyle name="Comma 2 17 2 2" xfId="5874"/>
    <cellStyle name="Comma 2 17 2 3" xfId="5875"/>
    <cellStyle name="Comma 2 17 2 3 2" xfId="5876"/>
    <cellStyle name="Comma 2 17 2 3 3" xfId="5877"/>
    <cellStyle name="Comma 2 17 2 3 4" xfId="5878"/>
    <cellStyle name="Comma 2 17 2 3 5" xfId="5879"/>
    <cellStyle name="Comma 2 17 2 3 6" xfId="5880"/>
    <cellStyle name="Comma 2 17 2 3 7" xfId="5881"/>
    <cellStyle name="Comma 2 17 2 3 8" xfId="5882"/>
    <cellStyle name="Comma 2 17 2 3 9" xfId="5883"/>
    <cellStyle name="Comma 2 17 2 4" xfId="5884"/>
    <cellStyle name="Comma 2 17 2 5" xfId="5885"/>
    <cellStyle name="Comma 2 17 2 6" xfId="5886"/>
    <cellStyle name="Comma 2 17 2 7" xfId="5887"/>
    <cellStyle name="Comma 2 17 2 8" xfId="5888"/>
    <cellStyle name="Comma 2 17 3" xfId="5889"/>
    <cellStyle name="Comma 2 17 4" xfId="5890"/>
    <cellStyle name="Comma 2 17 5" xfId="5891"/>
    <cellStyle name="Comma 2 17 6" xfId="5892"/>
    <cellStyle name="Comma 2 17 7" xfId="5893"/>
    <cellStyle name="Comma 2 17 8" xfId="5894"/>
    <cellStyle name="Comma 2 17 9" xfId="5895"/>
    <cellStyle name="Comma 2 18" xfId="5896"/>
    <cellStyle name="Comma 2 18 2" xfId="5897"/>
    <cellStyle name="Comma 2 18 3" xfId="5898"/>
    <cellStyle name="Comma 2 18 4" xfId="5899"/>
    <cellStyle name="Comma 2 18 5" xfId="5900"/>
    <cellStyle name="Comma 2 18 6" xfId="5901"/>
    <cellStyle name="Comma 2 18 7" xfId="5902"/>
    <cellStyle name="Comma 2 18 8" xfId="5903"/>
    <cellStyle name="Comma 2 19" xfId="5904"/>
    <cellStyle name="Comma 2 19 2" xfId="5905"/>
    <cellStyle name="Comma 2 19 3" xfId="5906"/>
    <cellStyle name="Comma 2 19 4" xfId="5907"/>
    <cellStyle name="Comma 2 19 5" xfId="5908"/>
    <cellStyle name="Comma 2 19 6" xfId="5909"/>
    <cellStyle name="Comma 2 19 7" xfId="5910"/>
    <cellStyle name="Comma 2 19 8" xfId="5911"/>
    <cellStyle name="Comma 2 2" xfId="5912"/>
    <cellStyle name="Comma 2 2 10" xfId="5913"/>
    <cellStyle name="Comma 2 2 11" xfId="5914"/>
    <cellStyle name="Comma 2 2 12" xfId="5915"/>
    <cellStyle name="Comma 2 2 2" xfId="5916"/>
    <cellStyle name="Comma 2 2 3" xfId="5917"/>
    <cellStyle name="Comma 2 2 4" xfId="5918"/>
    <cellStyle name="Comma 2 2 5" xfId="5919"/>
    <cellStyle name="Comma 2 2 6" xfId="5920"/>
    <cellStyle name="Comma 2 2 7" xfId="5921"/>
    <cellStyle name="Comma 2 2 8" xfId="5922"/>
    <cellStyle name="Comma 2 2 9" xfId="5923"/>
    <cellStyle name="Comma 2 20" xfId="5924"/>
    <cellStyle name="Comma 2 20 2" xfId="5925"/>
    <cellStyle name="Comma 2 20 3" xfId="5926"/>
    <cellStyle name="Comma 2 20 4" xfId="5927"/>
    <cellStyle name="Comma 2 20 5" xfId="5928"/>
    <cellStyle name="Comma 2 20 6" xfId="5929"/>
    <cellStyle name="Comma 2 20 7" xfId="5930"/>
    <cellStyle name="Comma 2 20 8" xfId="5931"/>
    <cellStyle name="Comma 2 21" xfId="5932"/>
    <cellStyle name="Comma 2 21 2" xfId="5933"/>
    <cellStyle name="Comma 2 21 3" xfId="5934"/>
    <cellStyle name="Comma 2 21 4" xfId="5935"/>
    <cellStyle name="Comma 2 21 5" xfId="5936"/>
    <cellStyle name="Comma 2 21 6" xfId="5937"/>
    <cellStyle name="Comma 2 21 7" xfId="5938"/>
    <cellStyle name="Comma 2 21 8" xfId="5939"/>
    <cellStyle name="Comma 2 22" xfId="5940"/>
    <cellStyle name="Comma 2 22 2" xfId="5941"/>
    <cellStyle name="Comma 2 22 3" xfId="5942"/>
    <cellStyle name="Comma 2 22 4" xfId="5943"/>
    <cellStyle name="Comma 2 22 5" xfId="5944"/>
    <cellStyle name="Comma 2 22 6" xfId="5945"/>
    <cellStyle name="Comma 2 22 7" xfId="5946"/>
    <cellStyle name="Comma 2 22 8" xfId="5947"/>
    <cellStyle name="Comma 2 23" xfId="5948"/>
    <cellStyle name="Comma 2 23 2" xfId="5949"/>
    <cellStyle name="Comma 2 23 3" xfId="5950"/>
    <cellStyle name="Comma 2 23 4" xfId="5951"/>
    <cellStyle name="Comma 2 23 5" xfId="5952"/>
    <cellStyle name="Comma 2 23 6" xfId="5953"/>
    <cellStyle name="Comma 2 23 7" xfId="5954"/>
    <cellStyle name="Comma 2 23 8" xfId="5955"/>
    <cellStyle name="Comma 2 24" xfId="5956"/>
    <cellStyle name="Comma 2 24 2" xfId="5957"/>
    <cellStyle name="Comma 2 24 3" xfId="5958"/>
    <cellStyle name="Comma 2 24 4" xfId="5959"/>
    <cellStyle name="Comma 2 24 5" xfId="5960"/>
    <cellStyle name="Comma 2 24 6" xfId="5961"/>
    <cellStyle name="Comma 2 24 7" xfId="5962"/>
    <cellStyle name="Comma 2 24 8" xfId="5963"/>
    <cellStyle name="Comma 2 25" xfId="5964"/>
    <cellStyle name="Comma 2 25 2" xfId="5965"/>
    <cellStyle name="Comma 2 25 3" xfId="5966"/>
    <cellStyle name="Comma 2 25 4" xfId="5967"/>
    <cellStyle name="Comma 2 25 5" xfId="5968"/>
    <cellStyle name="Comma 2 25 6" xfId="5969"/>
    <cellStyle name="Comma 2 25 7" xfId="5970"/>
    <cellStyle name="Comma 2 25 8" xfId="5971"/>
    <cellStyle name="Comma 2 26" xfId="5972"/>
    <cellStyle name="Comma 2 26 2" xfId="5973"/>
    <cellStyle name="Comma 2 26 3" xfId="5974"/>
    <cellStyle name="Comma 2 26 4" xfId="5975"/>
    <cellStyle name="Comma 2 26 5" xfId="5976"/>
    <cellStyle name="Comma 2 26 6" xfId="5977"/>
    <cellStyle name="Comma 2 26 7" xfId="5978"/>
    <cellStyle name="Comma 2 26 8" xfId="5979"/>
    <cellStyle name="Comma 2 27" xfId="5980"/>
    <cellStyle name="Comma 2 28" xfId="5981"/>
    <cellStyle name="Comma 2 29" xfId="5982"/>
    <cellStyle name="Comma 2 3" xfId="5983"/>
    <cellStyle name="Comma 2 3 10" xfId="5984"/>
    <cellStyle name="Comma 2 3 11" xfId="5985"/>
    <cellStyle name="Comma 2 3 2" xfId="5986"/>
    <cellStyle name="Comma 2 3 3" xfId="5987"/>
    <cellStyle name="Comma 2 3 4" xfId="5988"/>
    <cellStyle name="Comma 2 3 5" xfId="5989"/>
    <cellStyle name="Comma 2 3 6" xfId="5990"/>
    <cellStyle name="Comma 2 3 7" xfId="5991"/>
    <cellStyle name="Comma 2 3 8" xfId="5992"/>
    <cellStyle name="Comma 2 3 9" xfId="5993"/>
    <cellStyle name="Comma 2 30" xfId="5994"/>
    <cellStyle name="Comma 2 30 2" xfId="5995"/>
    <cellStyle name="Comma 2 30 3" xfId="5996"/>
    <cellStyle name="Comma 2 30 4" xfId="5997"/>
    <cellStyle name="Comma 2 30 5" xfId="5998"/>
    <cellStyle name="Comma 2 30 6" xfId="5999"/>
    <cellStyle name="Comma 2 30 7" xfId="6000"/>
    <cellStyle name="Comma 2 30 8" xfId="6001"/>
    <cellStyle name="Comma 2 31" xfId="6002"/>
    <cellStyle name="Comma 2 31 2" xfId="6003"/>
    <cellStyle name="Comma 2 31 3" xfId="6004"/>
    <cellStyle name="Comma 2 31 4" xfId="6005"/>
    <cellStyle name="Comma 2 31 5" xfId="6006"/>
    <cellStyle name="Comma 2 31 6" xfId="6007"/>
    <cellStyle name="Comma 2 31 7" xfId="6008"/>
    <cellStyle name="Comma 2 31 8" xfId="6009"/>
    <cellStyle name="Comma 2 32" xfId="6010"/>
    <cellStyle name="Comma 2 32 2" xfId="6011"/>
    <cellStyle name="Comma 2 32 3" xfId="6012"/>
    <cellStyle name="Comma 2 32 4" xfId="6013"/>
    <cellStyle name="Comma 2 32 5" xfId="6014"/>
    <cellStyle name="Comma 2 32 6" xfId="6015"/>
    <cellStyle name="Comma 2 32 7" xfId="6016"/>
    <cellStyle name="Comma 2 32 8" xfId="6017"/>
    <cellStyle name="Comma 2 33" xfId="6018"/>
    <cellStyle name="Comma 2 33 2" xfId="6019"/>
    <cellStyle name="Comma 2 33 3" xfId="6020"/>
    <cellStyle name="Comma 2 33 4" xfId="6021"/>
    <cellStyle name="Comma 2 33 5" xfId="6022"/>
    <cellStyle name="Comma 2 33 6" xfId="6023"/>
    <cellStyle name="Comma 2 33 7" xfId="6024"/>
    <cellStyle name="Comma 2 33 8" xfId="6025"/>
    <cellStyle name="Comma 2 34" xfId="6026"/>
    <cellStyle name="Comma 2 34 2" xfId="6027"/>
    <cellStyle name="Comma 2 34 3" xfId="6028"/>
    <cellStyle name="Comma 2 34 4" xfId="6029"/>
    <cellStyle name="Comma 2 34 5" xfId="6030"/>
    <cellStyle name="Comma 2 34 6" xfId="6031"/>
    <cellStyle name="Comma 2 34 7" xfId="6032"/>
    <cellStyle name="Comma 2 34 8" xfId="6033"/>
    <cellStyle name="Comma 2 35" xfId="6034"/>
    <cellStyle name="Comma 2 35 2" xfId="6035"/>
    <cellStyle name="Comma 2 35 3" xfId="6036"/>
    <cellStyle name="Comma 2 35 4" xfId="6037"/>
    <cellStyle name="Comma 2 35 5" xfId="6038"/>
    <cellStyle name="Comma 2 35 6" xfId="6039"/>
    <cellStyle name="Comma 2 35 7" xfId="6040"/>
    <cellStyle name="Comma 2 35 8" xfId="6041"/>
    <cellStyle name="Comma 2 36" xfId="6042"/>
    <cellStyle name="Comma 2 36 2" xfId="6043"/>
    <cellStyle name="Comma 2 36 3" xfId="6044"/>
    <cellStyle name="Comma 2 36 4" xfId="6045"/>
    <cellStyle name="Comma 2 36 5" xfId="6046"/>
    <cellStyle name="Comma 2 36 6" xfId="6047"/>
    <cellStyle name="Comma 2 36 7" xfId="6048"/>
    <cellStyle name="Comma 2 36 8" xfId="6049"/>
    <cellStyle name="Comma 2 37" xfId="6050"/>
    <cellStyle name="Comma 2 37 2" xfId="6051"/>
    <cellStyle name="Comma 2 37 3" xfId="6052"/>
    <cellStyle name="Comma 2 38" xfId="6053"/>
    <cellStyle name="Comma 2 38 2" xfId="6054"/>
    <cellStyle name="Comma 2 38 3" xfId="6055"/>
    <cellStyle name="Comma 2 38 4" xfId="6056"/>
    <cellStyle name="Comma 2 38 5" xfId="6057"/>
    <cellStyle name="Comma 2 38 6" xfId="6058"/>
    <cellStyle name="Comma 2 38 7" xfId="6059"/>
    <cellStyle name="Comma 2 38 8" xfId="6060"/>
    <cellStyle name="Comma 2 38 9" xfId="6061"/>
    <cellStyle name="Comma 2 39" xfId="6062"/>
    <cellStyle name="Comma 2 39 2" xfId="6063"/>
    <cellStyle name="Comma 2 39 3" xfId="6064"/>
    <cellStyle name="Comma 2 39 4" xfId="6065"/>
    <cellStyle name="Comma 2 39 5" xfId="6066"/>
    <cellStyle name="Comma 2 4" xfId="6067"/>
    <cellStyle name="Comma 2 4 2" xfId="6068"/>
    <cellStyle name="Comma 2 4 3" xfId="6069"/>
    <cellStyle name="Comma 2 4 4" xfId="6070"/>
    <cellStyle name="Comma 2 4 5" xfId="6071"/>
    <cellStyle name="Comma 2 4 6" xfId="6072"/>
    <cellStyle name="Comma 2 4 7" xfId="6073"/>
    <cellStyle name="Comma 2 4 8" xfId="6074"/>
    <cellStyle name="Comma 2 40" xfId="6075"/>
    <cellStyle name="Comma 2 41" xfId="6076"/>
    <cellStyle name="Comma 2 42" xfId="6077"/>
    <cellStyle name="Comma 2 43" xfId="6078"/>
    <cellStyle name="Comma 2 44" xfId="6079"/>
    <cellStyle name="Comma 2 45" xfId="6080"/>
    <cellStyle name="Comma 2 46" xfId="6081"/>
    <cellStyle name="Comma 2 47" xfId="6082"/>
    <cellStyle name="Comma 2 48" xfId="6083"/>
    <cellStyle name="Comma 2 49" xfId="6084"/>
    <cellStyle name="Comma 2 5" xfId="6085"/>
    <cellStyle name="Comma 2 5 2" xfId="6086"/>
    <cellStyle name="Comma 2 5 3" xfId="6087"/>
    <cellStyle name="Comma 2 5 4" xfId="6088"/>
    <cellStyle name="Comma 2 5 5" xfId="6089"/>
    <cellStyle name="Comma 2 5 6" xfId="6090"/>
    <cellStyle name="Comma 2 5 7" xfId="6091"/>
    <cellStyle name="Comma 2 5 8" xfId="6092"/>
    <cellStyle name="Comma 2 50" xfId="6093"/>
    <cellStyle name="Comma 2 51" xfId="6094"/>
    <cellStyle name="Comma 2 6" xfId="6095"/>
    <cellStyle name="Comma 2 6 2" xfId="6096"/>
    <cellStyle name="Comma 2 6 3" xfId="6097"/>
    <cellStyle name="Comma 2 6 4" xfId="6098"/>
    <cellStyle name="Comma 2 6 5" xfId="6099"/>
    <cellStyle name="Comma 2 6 6" xfId="6100"/>
    <cellStyle name="Comma 2 6 7" xfId="6101"/>
    <cellStyle name="Comma 2 6 8" xfId="6102"/>
    <cellStyle name="Comma 2 7" xfId="6103"/>
    <cellStyle name="Comma 2 7 2" xfId="6104"/>
    <cellStyle name="Comma 2 7 3" xfId="6105"/>
    <cellStyle name="Comma 2 7 4" xfId="6106"/>
    <cellStyle name="Comma 2 7 5" xfId="6107"/>
    <cellStyle name="Comma 2 7 6" xfId="6108"/>
    <cellStyle name="Comma 2 7 7" xfId="6109"/>
    <cellStyle name="Comma 2 7 8" xfId="6110"/>
    <cellStyle name="Comma 2 8" xfId="6111"/>
    <cellStyle name="Comma 2 8 2" xfId="6112"/>
    <cellStyle name="Comma 2 8 3" xfId="6113"/>
    <cellStyle name="Comma 2 8 4" xfId="6114"/>
    <cellStyle name="Comma 2 8 5" xfId="6115"/>
    <cellStyle name="Comma 2 8 6" xfId="6116"/>
    <cellStyle name="Comma 2 8 7" xfId="6117"/>
    <cellStyle name="Comma 2 8 8" xfId="6118"/>
    <cellStyle name="Comma 2 9" xfId="6119"/>
    <cellStyle name="Comma 2 9 2" xfId="6120"/>
    <cellStyle name="Comma 2 9 2 2" xfId="6121"/>
    <cellStyle name="Comma 2 9 2 3" xfId="6122"/>
    <cellStyle name="Comma 2 9 3" xfId="6123"/>
    <cellStyle name="Comma 2 9 4" xfId="6124"/>
    <cellStyle name="Comma 2 9 5" xfId="6125"/>
    <cellStyle name="Comma 2 9 6" xfId="6126"/>
    <cellStyle name="Comma 2 9 7" xfId="6127"/>
    <cellStyle name="Comma 2 9 8" xfId="6128"/>
    <cellStyle name="Comma 20" xfId="6129"/>
    <cellStyle name="Comma 21" xfId="6130"/>
    <cellStyle name="Comma 22" xfId="6131"/>
    <cellStyle name="Comma 23" xfId="6132"/>
    <cellStyle name="Comma 24" xfId="6133"/>
    <cellStyle name="Comma 25" xfId="6134"/>
    <cellStyle name="Comma 26" xfId="6135"/>
    <cellStyle name="Comma 27" xfId="6136"/>
    <cellStyle name="Comma 28" xfId="6137"/>
    <cellStyle name="Comma 29" xfId="6138"/>
    <cellStyle name="Comma 3" xfId="6139"/>
    <cellStyle name="Comma 3 10" xfId="6140"/>
    <cellStyle name="Comma 3 10 2" xfId="6141"/>
    <cellStyle name="Comma 3 10 3" xfId="6142"/>
    <cellStyle name="Comma 3 10 4" xfId="6143"/>
    <cellStyle name="Comma 3 10 5" xfId="6144"/>
    <cellStyle name="Comma 3 10 6" xfId="6145"/>
    <cellStyle name="Comma 3 10 7" xfId="6146"/>
    <cellStyle name="Comma 3 10 8" xfId="6147"/>
    <cellStyle name="Comma 3 11" xfId="6148"/>
    <cellStyle name="Comma 3 11 2" xfId="6149"/>
    <cellStyle name="Comma 3 11 3" xfId="6150"/>
    <cellStyle name="Comma 3 11 4" xfId="6151"/>
    <cellStyle name="Comma 3 11 5" xfId="6152"/>
    <cellStyle name="Comma 3 11 6" xfId="6153"/>
    <cellStyle name="Comma 3 11 7" xfId="6154"/>
    <cellStyle name="Comma 3 11 8" xfId="6155"/>
    <cellStyle name="Comma 3 12" xfId="6156"/>
    <cellStyle name="Comma 3 12 2" xfId="6157"/>
    <cellStyle name="Comma 3 12 3" xfId="6158"/>
    <cellStyle name="Comma 3 12 4" xfId="6159"/>
    <cellStyle name="Comma 3 12 5" xfId="6160"/>
    <cellStyle name="Comma 3 12 6" xfId="6161"/>
    <cellStyle name="Comma 3 12 7" xfId="6162"/>
    <cellStyle name="Comma 3 12 8" xfId="6163"/>
    <cellStyle name="Comma 3 13" xfId="6164"/>
    <cellStyle name="Comma 3 13 2" xfId="6165"/>
    <cellStyle name="Comma 3 13 3" xfId="6166"/>
    <cellStyle name="Comma 3 13 4" xfId="6167"/>
    <cellStyle name="Comma 3 13 5" xfId="6168"/>
    <cellStyle name="Comma 3 13 6" xfId="6169"/>
    <cellStyle name="Comma 3 13 7" xfId="6170"/>
    <cellStyle name="Comma 3 13 8" xfId="6171"/>
    <cellStyle name="Comma 3 14" xfId="6172"/>
    <cellStyle name="Comma 3 14 2" xfId="6173"/>
    <cellStyle name="Comma 3 14 3" xfId="6174"/>
    <cellStyle name="Comma 3 14 4" xfId="6175"/>
    <cellStyle name="Comma 3 14 5" xfId="6176"/>
    <cellStyle name="Comma 3 14 6" xfId="6177"/>
    <cellStyle name="Comma 3 14 7" xfId="6178"/>
    <cellStyle name="Comma 3 14 8" xfId="6179"/>
    <cellStyle name="Comma 3 15" xfId="6180"/>
    <cellStyle name="Comma 3 15 2" xfId="6181"/>
    <cellStyle name="Comma 3 15 3" xfId="6182"/>
    <cellStyle name="Comma 3 15 4" xfId="6183"/>
    <cellStyle name="Comma 3 15 5" xfId="6184"/>
    <cellStyle name="Comma 3 15 6" xfId="6185"/>
    <cellStyle name="Comma 3 15 7" xfId="6186"/>
    <cellStyle name="Comma 3 15 8" xfId="6187"/>
    <cellStyle name="Comma 3 16" xfId="6188"/>
    <cellStyle name="Comma 3 16 2" xfId="6189"/>
    <cellStyle name="Comma 3 16 3" xfId="6190"/>
    <cellStyle name="Comma 3 16 4" xfId="6191"/>
    <cellStyle name="Comma 3 16 5" xfId="6192"/>
    <cellStyle name="Comma 3 16 6" xfId="6193"/>
    <cellStyle name="Comma 3 16 7" xfId="6194"/>
    <cellStyle name="Comma 3 16 8" xfId="6195"/>
    <cellStyle name="Comma 3 17" xfId="6196"/>
    <cellStyle name="Comma 3 17 2" xfId="6197"/>
    <cellStyle name="Comma 3 17 3" xfId="6198"/>
    <cellStyle name="Comma 3 17 4" xfId="6199"/>
    <cellStyle name="Comma 3 17 5" xfId="6200"/>
    <cellStyle name="Comma 3 17 6" xfId="6201"/>
    <cellStyle name="Comma 3 17 7" xfId="6202"/>
    <cellStyle name="Comma 3 17 8" xfId="6203"/>
    <cellStyle name="Comma 3 18" xfId="6204"/>
    <cellStyle name="Comma 3 18 2" xfId="6205"/>
    <cellStyle name="Comma 3 18 3" xfId="6206"/>
    <cellStyle name="Comma 3 18 4" xfId="6207"/>
    <cellStyle name="Comma 3 18 5" xfId="6208"/>
    <cellStyle name="Comma 3 18 6" xfId="6209"/>
    <cellStyle name="Comma 3 18 7" xfId="6210"/>
    <cellStyle name="Comma 3 18 8" xfId="6211"/>
    <cellStyle name="Comma 3 19" xfId="6212"/>
    <cellStyle name="Comma 3 19 2" xfId="6213"/>
    <cellStyle name="Comma 3 19 3" xfId="6214"/>
    <cellStyle name="Comma 3 19 4" xfId="6215"/>
    <cellStyle name="Comma 3 19 5" xfId="6216"/>
    <cellStyle name="Comma 3 19 6" xfId="6217"/>
    <cellStyle name="Comma 3 19 7" xfId="6218"/>
    <cellStyle name="Comma 3 19 8" xfId="6219"/>
    <cellStyle name="Comma 3 2" xfId="6220"/>
    <cellStyle name="Comma 3 2 10" xfId="6221"/>
    <cellStyle name="Comma 3 2 11" xfId="6222"/>
    <cellStyle name="Comma 3 2 12" xfId="6223"/>
    <cellStyle name="Comma 3 2 2" xfId="6224"/>
    <cellStyle name="Comma 3 2 2 2" xfId="6225"/>
    <cellStyle name="Comma 3 2 2 3" xfId="6226"/>
    <cellStyle name="Comma 3 2 2 4" xfId="6227"/>
    <cellStyle name="Comma 3 2 2 5" xfId="6228"/>
    <cellStyle name="Comma 3 2 3" xfId="6229"/>
    <cellStyle name="Comma 3 2 4" xfId="6230"/>
    <cellStyle name="Comma 3 2 5" xfId="6231"/>
    <cellStyle name="Comma 3 2 6" xfId="6232"/>
    <cellStyle name="Comma 3 2 7" xfId="6233"/>
    <cellStyle name="Comma 3 2 8" xfId="6234"/>
    <cellStyle name="Comma 3 2 9" xfId="6235"/>
    <cellStyle name="Comma 3 20" xfId="6236"/>
    <cellStyle name="Comma 3 20 2" xfId="6237"/>
    <cellStyle name="Comma 3 20 3" xfId="6238"/>
    <cellStyle name="Comma 3 20 4" xfId="6239"/>
    <cellStyle name="Comma 3 20 5" xfId="6240"/>
    <cellStyle name="Comma 3 20 6" xfId="6241"/>
    <cellStyle name="Comma 3 20 7" xfId="6242"/>
    <cellStyle name="Comma 3 20 8" xfId="6243"/>
    <cellStyle name="Comma 3 21" xfId="6244"/>
    <cellStyle name="Comma 3 21 2" xfId="6245"/>
    <cellStyle name="Comma 3 21 3" xfId="6246"/>
    <cellStyle name="Comma 3 21 4" xfId="6247"/>
    <cellStyle name="Comma 3 21 5" xfId="6248"/>
    <cellStyle name="Comma 3 21 6" xfId="6249"/>
    <cellStyle name="Comma 3 21 7" xfId="6250"/>
    <cellStyle name="Comma 3 21 8" xfId="6251"/>
    <cellStyle name="Comma 3 22" xfId="6252"/>
    <cellStyle name="Comma 3 22 2" xfId="6253"/>
    <cellStyle name="Comma 3 22 3" xfId="6254"/>
    <cellStyle name="Comma 3 22 4" xfId="6255"/>
    <cellStyle name="Comma 3 22 5" xfId="6256"/>
    <cellStyle name="Comma 3 22 6" xfId="6257"/>
    <cellStyle name="Comma 3 22 7" xfId="6258"/>
    <cellStyle name="Comma 3 22 8" xfId="6259"/>
    <cellStyle name="Comma 3 23" xfId="6260"/>
    <cellStyle name="Comma 3 23 2" xfId="6261"/>
    <cellStyle name="Comma 3 23 3" xfId="6262"/>
    <cellStyle name="Comma 3 23 4" xfId="6263"/>
    <cellStyle name="Comma 3 23 5" xfId="6264"/>
    <cellStyle name="Comma 3 23 6" xfId="6265"/>
    <cellStyle name="Comma 3 23 7" xfId="6266"/>
    <cellStyle name="Comma 3 23 8" xfId="6267"/>
    <cellStyle name="Comma 3 24" xfId="6268"/>
    <cellStyle name="Comma 3 24 2" xfId="6269"/>
    <cellStyle name="Comma 3 24 3" xfId="6270"/>
    <cellStyle name="Comma 3 24 4" xfId="6271"/>
    <cellStyle name="Comma 3 24 5" xfId="6272"/>
    <cellStyle name="Comma 3 24 6" xfId="6273"/>
    <cellStyle name="Comma 3 24 7" xfId="6274"/>
    <cellStyle name="Comma 3 24 8" xfId="6275"/>
    <cellStyle name="Comma 3 25" xfId="6276"/>
    <cellStyle name="Comma 3 25 2" xfId="6277"/>
    <cellStyle name="Comma 3 25 3" xfId="6278"/>
    <cellStyle name="Comma 3 25 4" xfId="6279"/>
    <cellStyle name="Comma 3 25 5" xfId="6280"/>
    <cellStyle name="Comma 3 25 6" xfId="6281"/>
    <cellStyle name="Comma 3 25 7" xfId="6282"/>
    <cellStyle name="Comma 3 25 8" xfId="6283"/>
    <cellStyle name="Comma 3 26" xfId="6284"/>
    <cellStyle name="Comma 3 26 2" xfId="6285"/>
    <cellStyle name="Comma 3 26 3" xfId="6286"/>
    <cellStyle name="Comma 3 26 4" xfId="6287"/>
    <cellStyle name="Comma 3 26 5" xfId="6288"/>
    <cellStyle name="Comma 3 26 6" xfId="6289"/>
    <cellStyle name="Comma 3 26 7" xfId="6290"/>
    <cellStyle name="Comma 3 26 8" xfId="6291"/>
    <cellStyle name="Comma 3 27" xfId="6292"/>
    <cellStyle name="Comma 3 27 2" xfId="6293"/>
    <cellStyle name="Comma 3 27 3" xfId="6294"/>
    <cellStyle name="Comma 3 27 4" xfId="6295"/>
    <cellStyle name="Comma 3 27 5" xfId="6296"/>
    <cellStyle name="Comma 3 27 6" xfId="6297"/>
    <cellStyle name="Comma 3 27 7" xfId="6298"/>
    <cellStyle name="Comma 3 27 8" xfId="6299"/>
    <cellStyle name="Comma 3 28" xfId="6300"/>
    <cellStyle name="Comma 3 28 2" xfId="6301"/>
    <cellStyle name="Comma 3 28 3" xfId="6302"/>
    <cellStyle name="Comma 3 28 4" xfId="6303"/>
    <cellStyle name="Comma 3 28 5" xfId="6304"/>
    <cellStyle name="Comma 3 28 6" xfId="6305"/>
    <cellStyle name="Comma 3 28 7" xfId="6306"/>
    <cellStyle name="Comma 3 28 8" xfId="6307"/>
    <cellStyle name="Comma 3 29" xfId="6308"/>
    <cellStyle name="Comma 3 29 2" xfId="6309"/>
    <cellStyle name="Comma 3 29 3" xfId="6310"/>
    <cellStyle name="Comma 3 29 4" xfId="6311"/>
    <cellStyle name="Comma 3 29 5" xfId="6312"/>
    <cellStyle name="Comma 3 29 6" xfId="6313"/>
    <cellStyle name="Comma 3 29 7" xfId="6314"/>
    <cellStyle name="Comma 3 29 8" xfId="6315"/>
    <cellStyle name="Comma 3 3" xfId="6316"/>
    <cellStyle name="Comma 3 3 10" xfId="6317"/>
    <cellStyle name="Comma 3 3 11" xfId="6318"/>
    <cellStyle name="Comma 3 3 2" xfId="6319"/>
    <cellStyle name="Comma 3 3 3" xfId="6320"/>
    <cellStyle name="Comma 3 3 4" xfId="6321"/>
    <cellStyle name="Comma 3 3 5" xfId="6322"/>
    <cellStyle name="Comma 3 3 6" xfId="6323"/>
    <cellStyle name="Comma 3 3 7" xfId="6324"/>
    <cellStyle name="Comma 3 3 8" xfId="6325"/>
    <cellStyle name="Comma 3 3 9" xfId="6326"/>
    <cellStyle name="Comma 3 30" xfId="6327"/>
    <cellStyle name="Comma 3 30 2" xfId="6328"/>
    <cellStyle name="Comma 3 30 3" xfId="6329"/>
    <cellStyle name="Comma 3 30 4" xfId="6330"/>
    <cellStyle name="Comma 3 30 5" xfId="6331"/>
    <cellStyle name="Comma 3 30 6" xfId="6332"/>
    <cellStyle name="Comma 3 30 7" xfId="6333"/>
    <cellStyle name="Comma 3 30 8" xfId="6334"/>
    <cellStyle name="Comma 3 31" xfId="6335"/>
    <cellStyle name="Comma 3 31 2" xfId="6336"/>
    <cellStyle name="Comma 3 31 3" xfId="6337"/>
    <cellStyle name="Comma 3 31 4" xfId="6338"/>
    <cellStyle name="Comma 3 31 5" xfId="6339"/>
    <cellStyle name="Comma 3 31 6" xfId="6340"/>
    <cellStyle name="Comma 3 31 7" xfId="6341"/>
    <cellStyle name="Comma 3 31 8" xfId="6342"/>
    <cellStyle name="Comma 3 32" xfId="6343"/>
    <cellStyle name="Comma 3 32 2" xfId="6344"/>
    <cellStyle name="Comma 3 32 3" xfId="6345"/>
    <cellStyle name="Comma 3 32 4" xfId="6346"/>
    <cellStyle name="Comma 3 32 5" xfId="6347"/>
    <cellStyle name="Comma 3 32 6" xfId="6348"/>
    <cellStyle name="Comma 3 32 7" xfId="6349"/>
    <cellStyle name="Comma 3 32 8" xfId="6350"/>
    <cellStyle name="Comma 3 33" xfId="6351"/>
    <cellStyle name="Comma 3 33 2" xfId="6352"/>
    <cellStyle name="Comma 3 33 3" xfId="6353"/>
    <cellStyle name="Comma 3 33 4" xfId="6354"/>
    <cellStyle name="Comma 3 33 5" xfId="6355"/>
    <cellStyle name="Comma 3 33 6" xfId="6356"/>
    <cellStyle name="Comma 3 33 7" xfId="6357"/>
    <cellStyle name="Comma 3 33 8" xfId="6358"/>
    <cellStyle name="Comma 3 34" xfId="6359"/>
    <cellStyle name="Comma 3 35" xfId="6360"/>
    <cellStyle name="Comma 3 36" xfId="6361"/>
    <cellStyle name="Comma 3 37" xfId="6362"/>
    <cellStyle name="Comma 3 38" xfId="6363"/>
    <cellStyle name="Comma 3 39" xfId="6364"/>
    <cellStyle name="Comma 3 4" xfId="6365"/>
    <cellStyle name="Comma 3 4 2" xfId="6366"/>
    <cellStyle name="Comma 3 4 3" xfId="6367"/>
    <cellStyle name="Comma 3 4 4" xfId="6368"/>
    <cellStyle name="Comma 3 4 5" xfId="6369"/>
    <cellStyle name="Comma 3 4 6" xfId="6370"/>
    <cellStyle name="Comma 3 4 7" xfId="6371"/>
    <cellStyle name="Comma 3 4 8" xfId="6372"/>
    <cellStyle name="Comma 3 40" xfId="6373"/>
    <cellStyle name="Comma 3 41" xfId="6374"/>
    <cellStyle name="Comma 3 42" xfId="6375"/>
    <cellStyle name="Comma 3 43" xfId="6376"/>
    <cellStyle name="Comma 3 44" xfId="6377"/>
    <cellStyle name="Comma 3 45" xfId="6378"/>
    <cellStyle name="Comma 3 46" xfId="6379"/>
    <cellStyle name="Comma 3 47" xfId="6380"/>
    <cellStyle name="Comma 3 48" xfId="6381"/>
    <cellStyle name="Comma 3 49" xfId="6382"/>
    <cellStyle name="Comma 3 5" xfId="6383"/>
    <cellStyle name="Comma 3 5 2" xfId="6384"/>
    <cellStyle name="Comma 3 5 3" xfId="6385"/>
    <cellStyle name="Comma 3 5 4" xfId="6386"/>
    <cellStyle name="Comma 3 5 5" xfId="6387"/>
    <cellStyle name="Comma 3 5 6" xfId="6388"/>
    <cellStyle name="Comma 3 5 7" xfId="6389"/>
    <cellStyle name="Comma 3 5 8" xfId="6390"/>
    <cellStyle name="Comma 3 50" xfId="6391"/>
    <cellStyle name="Comma 3 6" xfId="6392"/>
    <cellStyle name="Comma 3 6 2" xfId="6393"/>
    <cellStyle name="Comma 3 6 3" xfId="6394"/>
    <cellStyle name="Comma 3 6 4" xfId="6395"/>
    <cellStyle name="Comma 3 6 5" xfId="6396"/>
    <cellStyle name="Comma 3 6 6" xfId="6397"/>
    <cellStyle name="Comma 3 6 7" xfId="6398"/>
    <cellStyle name="Comma 3 6 8" xfId="6399"/>
    <cellStyle name="Comma 3 7" xfId="6400"/>
    <cellStyle name="Comma 3 7 2" xfId="6401"/>
    <cellStyle name="Comma 3 7 3" xfId="6402"/>
    <cellStyle name="Comma 3 7 4" xfId="6403"/>
    <cellStyle name="Comma 3 7 5" xfId="6404"/>
    <cellStyle name="Comma 3 7 6" xfId="6405"/>
    <cellStyle name="Comma 3 7 7" xfId="6406"/>
    <cellStyle name="Comma 3 7 8" xfId="6407"/>
    <cellStyle name="Comma 3 8" xfId="6408"/>
    <cellStyle name="Comma 3 8 2" xfId="6409"/>
    <cellStyle name="Comma 3 8 3" xfId="6410"/>
    <cellStyle name="Comma 3 8 4" xfId="6411"/>
    <cellStyle name="Comma 3 8 5" xfId="6412"/>
    <cellStyle name="Comma 3 8 6" xfId="6413"/>
    <cellStyle name="Comma 3 8 7" xfId="6414"/>
    <cellStyle name="Comma 3 8 8" xfId="6415"/>
    <cellStyle name="Comma 3 9" xfId="6416"/>
    <cellStyle name="Comma 3 9 2" xfId="6417"/>
    <cellStyle name="Comma 3 9 3" xfId="6418"/>
    <cellStyle name="Comma 3 9 4" xfId="6419"/>
    <cellStyle name="Comma 3 9 5" xfId="6420"/>
    <cellStyle name="Comma 3 9 6" xfId="6421"/>
    <cellStyle name="Comma 3 9 7" xfId="6422"/>
    <cellStyle name="Comma 3 9 8" xfId="6423"/>
    <cellStyle name="Comma 3_Checked Assa Pricing Final." xfId="6424"/>
    <cellStyle name="Comma 30" xfId="6425"/>
    <cellStyle name="Comma 31" xfId="6426"/>
    <cellStyle name="Comma 32" xfId="6427"/>
    <cellStyle name="Comma 33" xfId="6428"/>
    <cellStyle name="Comma 34" xfId="6429"/>
    <cellStyle name="Comma 34 2" xfId="6430"/>
    <cellStyle name="Comma 35" xfId="6431"/>
    <cellStyle name="Comma 35 2" xfId="6432"/>
    <cellStyle name="Comma 36" xfId="6433"/>
    <cellStyle name="Comma 36 2" xfId="6434"/>
    <cellStyle name="Comma 37" xfId="6435"/>
    <cellStyle name="Comma 37 2" xfId="6436"/>
    <cellStyle name="Comma 37 2 10" xfId="6437"/>
    <cellStyle name="Comma 37 2 2" xfId="6438"/>
    <cellStyle name="Comma 37 2 2 2" xfId="6439"/>
    <cellStyle name="Comma 37 2 3" xfId="6440"/>
    <cellStyle name="Comma 37 2 3 2" xfId="6441"/>
    <cellStyle name="Comma 37 2 4" xfId="6442"/>
    <cellStyle name="Comma 37 2 4 2" xfId="6443"/>
    <cellStyle name="Comma 37 2 5" xfId="6444"/>
    <cellStyle name="Comma 37 2 5 2" xfId="6445"/>
    <cellStyle name="Comma 37 2 6" xfId="6446"/>
    <cellStyle name="Comma 37 2 6 2" xfId="6447"/>
    <cellStyle name="Comma 37 2 7" xfId="6448"/>
    <cellStyle name="Comma 37 2 7 2" xfId="6449"/>
    <cellStyle name="Comma 37 2 8" xfId="6450"/>
    <cellStyle name="Comma 37 2 8 2" xfId="6451"/>
    <cellStyle name="Comma 37 2 9" xfId="6452"/>
    <cellStyle name="Comma 37 2 9 2" xfId="6453"/>
    <cellStyle name="Comma 37 3" xfId="6454"/>
    <cellStyle name="Comma 38" xfId="6455"/>
    <cellStyle name="Comma 39" xfId="6456"/>
    <cellStyle name="Comma 4" xfId="6457"/>
    <cellStyle name="Comma 4 10" xfId="6458"/>
    <cellStyle name="Comma 4 11" xfId="6459"/>
    <cellStyle name="Comma 4 12" xfId="6460"/>
    <cellStyle name="Comma 4 13" xfId="6461"/>
    <cellStyle name="Comma 4 14" xfId="6462"/>
    <cellStyle name="Comma 4 15" xfId="6463"/>
    <cellStyle name="Comma 4 16" xfId="6464"/>
    <cellStyle name="Comma 4 17" xfId="6465"/>
    <cellStyle name="Comma 4 18" xfId="6466"/>
    <cellStyle name="Comma 4 19" xfId="6467"/>
    <cellStyle name="Comma 4 2" xfId="6468"/>
    <cellStyle name="Comma 4 2 10" xfId="6469"/>
    <cellStyle name="Comma 4 2 11" xfId="6470"/>
    <cellStyle name="Comma 4 2 2" xfId="6471"/>
    <cellStyle name="Comma 4 2 3" xfId="6472"/>
    <cellStyle name="Comma 4 2 4" xfId="6473"/>
    <cellStyle name="Comma 4 2 5" xfId="6474"/>
    <cellStyle name="Comma 4 2 6" xfId="6475"/>
    <cellStyle name="Comma 4 2 7" xfId="6476"/>
    <cellStyle name="Comma 4 2 8" xfId="6477"/>
    <cellStyle name="Comma 4 2 9" xfId="6478"/>
    <cellStyle name="Comma 4 20" xfId="6479"/>
    <cellStyle name="Comma 4 3" xfId="6480"/>
    <cellStyle name="Comma 4 3 2" xfId="6481"/>
    <cellStyle name="Comma 4 3 3" xfId="6482"/>
    <cellStyle name="Comma 4 3 4" xfId="6483"/>
    <cellStyle name="Comma 4 3 5" xfId="6484"/>
    <cellStyle name="Comma 4 4" xfId="6485"/>
    <cellStyle name="Comma 4 5" xfId="6486"/>
    <cellStyle name="Comma 4 6" xfId="6487"/>
    <cellStyle name="Comma 4 7" xfId="6488"/>
    <cellStyle name="Comma 4 8" xfId="6489"/>
    <cellStyle name="Comma 4 9" xfId="6490"/>
    <cellStyle name="Comma 40" xfId="6491"/>
    <cellStyle name="Comma 41" xfId="6492"/>
    <cellStyle name="Comma 42" xfId="6493"/>
    <cellStyle name="Comma 43" xfId="6494"/>
    <cellStyle name="Comma 44" xfId="6495"/>
    <cellStyle name="Comma 45" xfId="6496"/>
    <cellStyle name="Comma 46" xfId="6497"/>
    <cellStyle name="Comma 47" xfId="6498"/>
    <cellStyle name="Comma 48" xfId="6499"/>
    <cellStyle name="Comma 49" xfId="6500"/>
    <cellStyle name="Comma 5" xfId="6501"/>
    <cellStyle name="Comma 5 10" xfId="6502"/>
    <cellStyle name="Comma 5 11" xfId="6503"/>
    <cellStyle name="Comma 5 12" xfId="6504"/>
    <cellStyle name="Comma 5 13" xfId="6505"/>
    <cellStyle name="Comma 5 2" xfId="6506"/>
    <cellStyle name="Comma 5 2 10" xfId="6507"/>
    <cellStyle name="Comma 5 2 11" xfId="6508"/>
    <cellStyle name="Comma 5 2 2" xfId="6509"/>
    <cellStyle name="Comma 5 2 3" xfId="6510"/>
    <cellStyle name="Comma 5 2 4" xfId="6511"/>
    <cellStyle name="Comma 5 2 5" xfId="6512"/>
    <cellStyle name="Comma 5 2 6" xfId="6513"/>
    <cellStyle name="Comma 5 2 7" xfId="6514"/>
    <cellStyle name="Comma 5 2 8" xfId="6515"/>
    <cellStyle name="Comma 5 2 9" xfId="6516"/>
    <cellStyle name="Comma 5 3" xfId="6517"/>
    <cellStyle name="Comma 5 3 2" xfId="6518"/>
    <cellStyle name="Comma 5 3 3" xfId="6519"/>
    <cellStyle name="Comma 5 3 4" xfId="6520"/>
    <cellStyle name="Comma 5 3 5" xfId="6521"/>
    <cellStyle name="Comma 5 4" xfId="6522"/>
    <cellStyle name="Comma 5 5" xfId="6523"/>
    <cellStyle name="Comma 5 6" xfId="6524"/>
    <cellStyle name="Comma 5 7" xfId="6525"/>
    <cellStyle name="Comma 5 8" xfId="6526"/>
    <cellStyle name="Comma 5 9" xfId="6527"/>
    <cellStyle name="Comma 50" xfId="6528"/>
    <cellStyle name="Comma 51" xfId="6529"/>
    <cellStyle name="Comma 52" xfId="6530"/>
    <cellStyle name="Comma 53" xfId="6531"/>
    <cellStyle name="Comma 54" xfId="6532"/>
    <cellStyle name="Comma 55" xfId="6533"/>
    <cellStyle name="Comma 56" xfId="6534"/>
    <cellStyle name="Comma 57" xfId="6535"/>
    <cellStyle name="Comma 58" xfId="6536"/>
    <cellStyle name="Comma 59" xfId="6537"/>
    <cellStyle name="Comma 6" xfId="6538"/>
    <cellStyle name="Comma 6 10" xfId="6539"/>
    <cellStyle name="Comma 6 11" xfId="6540"/>
    <cellStyle name="Comma 6 12" xfId="6541"/>
    <cellStyle name="Comma 6 2" xfId="6542"/>
    <cellStyle name="Comma 6 2 10" xfId="6543"/>
    <cellStyle name="Comma 6 2 11" xfId="6544"/>
    <cellStyle name="Comma 6 2 2" xfId="6545"/>
    <cellStyle name="Comma 6 2 3" xfId="6546"/>
    <cellStyle name="Comma 6 2 4" xfId="6547"/>
    <cellStyle name="Comma 6 2 5" xfId="6548"/>
    <cellStyle name="Comma 6 2 6" xfId="6549"/>
    <cellStyle name="Comma 6 2 7" xfId="6550"/>
    <cellStyle name="Comma 6 2 8" xfId="6551"/>
    <cellStyle name="Comma 6 2 9" xfId="6552"/>
    <cellStyle name="Comma 6 3" xfId="6553"/>
    <cellStyle name="Comma 6 3 2" xfId="6554"/>
    <cellStyle name="Comma 6 3 3" xfId="6555"/>
    <cellStyle name="Comma 6 3 4" xfId="6556"/>
    <cellStyle name="Comma 6 3 5" xfId="6557"/>
    <cellStyle name="Comma 6 4" xfId="6558"/>
    <cellStyle name="Comma 6 5" xfId="6559"/>
    <cellStyle name="Comma 6 6" xfId="6560"/>
    <cellStyle name="Comma 6 7" xfId="6561"/>
    <cellStyle name="Comma 6 8" xfId="6562"/>
    <cellStyle name="Comma 6 9" xfId="6563"/>
    <cellStyle name="Comma 60" xfId="6564"/>
    <cellStyle name="Comma 61" xfId="6565"/>
    <cellStyle name="Comma 62" xfId="6566"/>
    <cellStyle name="Comma 63" xfId="6567"/>
    <cellStyle name="Comma 64" xfId="6568"/>
    <cellStyle name="Comma 65" xfId="6569"/>
    <cellStyle name="Comma 66" xfId="6570"/>
    <cellStyle name="Comma 67" xfId="6571"/>
    <cellStyle name="Comma 68" xfId="6572"/>
    <cellStyle name="Comma 69" xfId="6573"/>
    <cellStyle name="Comma 7" xfId="6574"/>
    <cellStyle name="Comma 7 10" xfId="6575"/>
    <cellStyle name="Comma 7 11" xfId="6576"/>
    <cellStyle name="Comma 7 12" xfId="6577"/>
    <cellStyle name="Comma 7 2" xfId="6578"/>
    <cellStyle name="Comma 7 2 2" xfId="6579"/>
    <cellStyle name="Comma 7 2 3" xfId="6580"/>
    <cellStyle name="Comma 7 2 4" xfId="6581"/>
    <cellStyle name="Comma 7 2 5" xfId="6582"/>
    <cellStyle name="Comma 7 3" xfId="6583"/>
    <cellStyle name="Comma 7 3 2" xfId="6584"/>
    <cellStyle name="Comma 7 3 3" xfId="6585"/>
    <cellStyle name="Comma 7 3 4" xfId="6586"/>
    <cellStyle name="Comma 7 3 5" xfId="6587"/>
    <cellStyle name="Comma 7 4" xfId="6588"/>
    <cellStyle name="Comma 7 5" xfId="6589"/>
    <cellStyle name="Comma 7 6" xfId="6590"/>
    <cellStyle name="Comma 7 7" xfId="6591"/>
    <cellStyle name="Comma 7 8" xfId="6592"/>
    <cellStyle name="Comma 7 9" xfId="6593"/>
    <cellStyle name="Comma 70" xfId="6594"/>
    <cellStyle name="Comma 71" xfId="6595"/>
    <cellStyle name="Comma 71 2" xfId="6596"/>
    <cellStyle name="Comma 71 3" xfId="6597"/>
    <cellStyle name="Comma 71 4" xfId="6598"/>
    <cellStyle name="Comma 71 5" xfId="6599"/>
    <cellStyle name="Comma 71 6" xfId="6600"/>
    <cellStyle name="Comma 71 7" xfId="6601"/>
    <cellStyle name="Comma 71 8" xfId="6602"/>
    <cellStyle name="Comma 71 9" xfId="6603"/>
    <cellStyle name="Comma 72" xfId="6604"/>
    <cellStyle name="Comma 73" xfId="6605"/>
    <cellStyle name="Comma 74" xfId="6606"/>
    <cellStyle name="Comma 75" xfId="6607"/>
    <cellStyle name="Comma 76" xfId="6608"/>
    <cellStyle name="Comma 77" xfId="6609"/>
    <cellStyle name="Comma 78" xfId="6610"/>
    <cellStyle name="Comma 79" xfId="6611"/>
    <cellStyle name="Comma 8" xfId="6612"/>
    <cellStyle name="Comma 8 10" xfId="6613"/>
    <cellStyle name="Comma 8 11" xfId="6614"/>
    <cellStyle name="Comma 8 12" xfId="6615"/>
    <cellStyle name="Comma 8 13" xfId="6616"/>
    <cellStyle name="Comma 8 2" xfId="6617"/>
    <cellStyle name="Comma 8 2 2" xfId="6618"/>
    <cellStyle name="Comma 8 2 3" xfId="6619"/>
    <cellStyle name="Comma 8 2 4" xfId="6620"/>
    <cellStyle name="Comma 8 2 5" xfId="6621"/>
    <cellStyle name="Comma 8 3" xfId="6622"/>
    <cellStyle name="Comma 8 3 2" xfId="6623"/>
    <cellStyle name="Comma 8 3 3" xfId="6624"/>
    <cellStyle name="Comma 8 3 4" xfId="6625"/>
    <cellStyle name="Comma 8 3 5" xfId="6626"/>
    <cellStyle name="Comma 8 4" xfId="6627"/>
    <cellStyle name="Comma 8 5" xfId="6628"/>
    <cellStyle name="Comma 8 6" xfId="6629"/>
    <cellStyle name="Comma 8 7" xfId="6630"/>
    <cellStyle name="Comma 8 8" xfId="6631"/>
    <cellStyle name="Comma 8 9" xfId="6632"/>
    <cellStyle name="Comma 80" xfId="6633"/>
    <cellStyle name="Comma 81" xfId="6634"/>
    <cellStyle name="Comma 82" xfId="6635"/>
    <cellStyle name="Comma 83" xfId="6636"/>
    <cellStyle name="Comma 84" xfId="6637"/>
    <cellStyle name="Comma 85" xfId="6638"/>
    <cellStyle name="Comma 86" xfId="6639"/>
    <cellStyle name="Comma 87" xfId="6640"/>
    <cellStyle name="Comma 88" xfId="6641"/>
    <cellStyle name="Comma 89" xfId="6642"/>
    <cellStyle name="Comma 9" xfId="6643"/>
    <cellStyle name="Comma 9 2" xfId="6644"/>
    <cellStyle name="Comma 9 2 2" xfId="6645"/>
    <cellStyle name="Comma 9 2 3" xfId="6646"/>
    <cellStyle name="Comma 9 2 4" xfId="6647"/>
    <cellStyle name="Comma 9 2 5" xfId="6648"/>
    <cellStyle name="Comma 9 3" xfId="6649"/>
    <cellStyle name="Comma 9 3 2" xfId="6650"/>
    <cellStyle name="Comma 9 3 3" xfId="6651"/>
    <cellStyle name="Comma 9 3 4" xfId="6652"/>
    <cellStyle name="Comma 9 3 5" xfId="6653"/>
    <cellStyle name="Comma 9 4" xfId="6654"/>
    <cellStyle name="Comma 9 4 2" xfId="6655"/>
    <cellStyle name="Comma 9 4 3" xfId="6656"/>
    <cellStyle name="Comma 9 4 4" xfId="6657"/>
    <cellStyle name="Comma 9 4 5" xfId="6658"/>
    <cellStyle name="Comma 9 5" xfId="6659"/>
    <cellStyle name="Comma 9 6" xfId="6660"/>
    <cellStyle name="Comma 9 7" xfId="6661"/>
    <cellStyle name="Comma 9 8" xfId="6662"/>
    <cellStyle name="Comma 90" xfId="6663"/>
    <cellStyle name="Comma 91" xfId="6664"/>
    <cellStyle name="Comma 92" xfId="6665"/>
    <cellStyle name="Comma 93" xfId="6666"/>
    <cellStyle name="Comma 94" xfId="6667"/>
    <cellStyle name="Comma 95" xfId="6668"/>
    <cellStyle name="Comma 96" xfId="6669"/>
    <cellStyle name="Comma 97" xfId="6670"/>
    <cellStyle name="Comma 98" xfId="6671"/>
    <cellStyle name="Comma 99" xfId="6672"/>
    <cellStyle name="comma zerodec" xfId="6673"/>
    <cellStyle name="comma zerodec 2" xfId="6674"/>
    <cellStyle name="comma zerodec 3" xfId="6675"/>
    <cellStyle name="comma zerodec 4" xfId="6676"/>
    <cellStyle name="comma zerodec 5" xfId="6677"/>
    <cellStyle name="comma zerodec 6" xfId="6678"/>
    <cellStyle name="comma zerodec 7" xfId="6679"/>
    <cellStyle name="comma zerodec 8" xfId="6680"/>
    <cellStyle name="Comma0" xfId="6681"/>
    <cellStyle name="Comma0 - Style3" xfId="6682"/>
    <cellStyle name="Comma0 2" xfId="6683"/>
    <cellStyle name="Comma0 3" xfId="6684"/>
    <cellStyle name="Comma0 4" xfId="6685"/>
    <cellStyle name="Comma0 5" xfId="6686"/>
    <cellStyle name="Comma0 6" xfId="6687"/>
    <cellStyle name="Comma0 7" xfId="6688"/>
    <cellStyle name="Comma0 8" xfId="6689"/>
    <cellStyle name="Comma1 - Style1" xfId="6690"/>
    <cellStyle name="Commentaire" xfId="6691"/>
    <cellStyle name="Curråncy [0]_FCST_RESULTS" xfId="6692"/>
    <cellStyle name="Curren - Style3" xfId="6693"/>
    <cellStyle name="Curren - Style4" xfId="6694"/>
    <cellStyle name="Currency $" xfId="6695"/>
    <cellStyle name="Currency (0.00)" xfId="6696"/>
    <cellStyle name="Currency (0.00) 2" xfId="6697"/>
    <cellStyle name="Currency (0.00) 3" xfId="6698"/>
    <cellStyle name="Currency (0.00) 4" xfId="6699"/>
    <cellStyle name="Currency (0.00) 5" xfId="6700"/>
    <cellStyle name="Currency (0.00) 6" xfId="6701"/>
    <cellStyle name="Currency (0.00) 7" xfId="6702"/>
    <cellStyle name="Currency (0.00) 8" xfId="6703"/>
    <cellStyle name="Currency [0] 2" xfId="6704"/>
    <cellStyle name="Currency [0] 2 2" xfId="6705"/>
    <cellStyle name="Currency [0] 2 3" xfId="6706"/>
    <cellStyle name="Currency [0] 2 4" xfId="6707"/>
    <cellStyle name="Currency [0] 2 5" xfId="6708"/>
    <cellStyle name="Currency [0] 3" xfId="6709"/>
    <cellStyle name="Currency [0] 3 2" xfId="6710"/>
    <cellStyle name="Currency [0] 4" xfId="6711"/>
    <cellStyle name="Currency [0] 4 2" xfId="6712"/>
    <cellStyle name="Currency [0] 5" xfId="6713"/>
    <cellStyle name="Currency [0]ßmud plant bolted_RESULTS" xfId="6714"/>
    <cellStyle name="Currency [00]" xfId="6715"/>
    <cellStyle name="Currency [00] 2" xfId="6716"/>
    <cellStyle name="Currency [00] 3" xfId="6717"/>
    <cellStyle name="Currency [00] 4" xfId="6718"/>
    <cellStyle name="Currency [00] 5" xfId="6719"/>
    <cellStyle name="Currency [00] 6" xfId="6720"/>
    <cellStyle name="Currency [00] 7" xfId="6721"/>
    <cellStyle name="Currency [00] 8" xfId="6722"/>
    <cellStyle name="Currency 10" xfId="6723"/>
    <cellStyle name="Currency 11" xfId="6724"/>
    <cellStyle name="Currency 12" xfId="6725"/>
    <cellStyle name="Currency 13" xfId="6726"/>
    <cellStyle name="Currency 14" xfId="6727"/>
    <cellStyle name="Currency 15" xfId="6728"/>
    <cellStyle name="Currency 16" xfId="6729"/>
    <cellStyle name="Currency 17" xfId="6730"/>
    <cellStyle name="Currency 18" xfId="6731"/>
    <cellStyle name="Currency 19" xfId="6732"/>
    <cellStyle name="Currency 2" xfId="6733"/>
    <cellStyle name="Currency 2 2" xfId="6734"/>
    <cellStyle name="Currency 2 2 2" xfId="6735"/>
    <cellStyle name="Currency 20" xfId="6736"/>
    <cellStyle name="Currency 21" xfId="6737"/>
    <cellStyle name="Currency 22" xfId="6738"/>
    <cellStyle name="Currency 23" xfId="6739"/>
    <cellStyle name="Currency 24" xfId="6740"/>
    <cellStyle name="Currency 25" xfId="6741"/>
    <cellStyle name="Currency 26" xfId="6742"/>
    <cellStyle name="Currency 27" xfId="6743"/>
    <cellStyle name="Currency 28" xfId="6744"/>
    <cellStyle name="Currency 29" xfId="6745"/>
    <cellStyle name="Currency 3" xfId="6746"/>
    <cellStyle name="Currency 3 2" xfId="6747"/>
    <cellStyle name="Currency 30" xfId="6748"/>
    <cellStyle name="Currency 31" xfId="6749"/>
    <cellStyle name="Currency 32" xfId="6750"/>
    <cellStyle name="Currency 33" xfId="6751"/>
    <cellStyle name="Currency 34" xfId="6752"/>
    <cellStyle name="Currency 35" xfId="6753"/>
    <cellStyle name="Currency 36" xfId="6754"/>
    <cellStyle name="Currency 37" xfId="6755"/>
    <cellStyle name="Currency 38" xfId="6756"/>
    <cellStyle name="Currency 39" xfId="6757"/>
    <cellStyle name="Currency 4" xfId="6758"/>
    <cellStyle name="Currency 40" xfId="6759"/>
    <cellStyle name="Currency 41" xfId="6760"/>
    <cellStyle name="Currency 42" xfId="6761"/>
    <cellStyle name="Currency 43" xfId="6762"/>
    <cellStyle name="Currency 44" xfId="6763"/>
    <cellStyle name="Currency 45" xfId="6764"/>
    <cellStyle name="Currency 46" xfId="6765"/>
    <cellStyle name="Currency 5" xfId="6766"/>
    <cellStyle name="Currency 6" xfId="6767"/>
    <cellStyle name="Currency 7" xfId="6768"/>
    <cellStyle name="Currency 8" xfId="6769"/>
    <cellStyle name="Currency 9" xfId="6770"/>
    <cellStyle name="Currency![0]_FCSt (2)" xfId="6771"/>
    <cellStyle name="Currency0" xfId="6772"/>
    <cellStyle name="Currency0 2" xfId="6773"/>
    <cellStyle name="Currency0 3" xfId="6774"/>
    <cellStyle name="Currency0 4" xfId="6775"/>
    <cellStyle name="Currency0 5" xfId="6776"/>
    <cellStyle name="Currency0 6" xfId="6777"/>
    <cellStyle name="Currency0 7" xfId="6778"/>
    <cellStyle name="Currency0 8" xfId="6779"/>
    <cellStyle name="Currency1" xfId="6780"/>
    <cellStyle name="Currency1 2" xfId="6781"/>
    <cellStyle name="Currency1 3" xfId="6782"/>
    <cellStyle name="Currency1 4" xfId="6783"/>
    <cellStyle name="Currency1 5" xfId="6784"/>
    <cellStyle name="Currency1 6" xfId="6785"/>
    <cellStyle name="Currency1 7" xfId="6786"/>
    <cellStyle name="Currency1 8" xfId="6787"/>
    <cellStyle name="DataPilot Category" xfId="6788"/>
    <cellStyle name="DataPilot Corner" xfId="6789"/>
    <cellStyle name="DataPilot Field" xfId="6790"/>
    <cellStyle name="DataPilot Value" xfId="6791"/>
    <cellStyle name="Date" xfId="6792"/>
    <cellStyle name="Date 2" xfId="6793"/>
    <cellStyle name="Date 3" xfId="6794"/>
    <cellStyle name="Date 4" xfId="6795"/>
    <cellStyle name="Date 5" xfId="6796"/>
    <cellStyle name="Date 6" xfId="6797"/>
    <cellStyle name="Date 7" xfId="6798"/>
    <cellStyle name="Date 8" xfId="6799"/>
    <cellStyle name="Date 9" xfId="6800"/>
    <cellStyle name="Date Short" xfId="6801"/>
    <cellStyle name="Date Short 2" xfId="6802"/>
    <cellStyle name="Date Short 3" xfId="6803"/>
    <cellStyle name="Date Short 4" xfId="6804"/>
    <cellStyle name="Date Short 5" xfId="6805"/>
    <cellStyle name="Date Short 6" xfId="6806"/>
    <cellStyle name="Date Short 7" xfId="6807"/>
    <cellStyle name="Date Short 8" xfId="6808"/>
    <cellStyle name="Date Short 9" xfId="6809"/>
    <cellStyle name="Date_AP Logistic 2010 Konsolidasi (091110)" xfId="6810"/>
    <cellStyle name="Dezimal [0]_UXO VII" xfId="6811"/>
    <cellStyle name="Dezimal_UXO VII" xfId="6812"/>
    <cellStyle name="Dollar (zero dec)" xfId="6813"/>
    <cellStyle name="Dollar (zero dec) 2" xfId="6814"/>
    <cellStyle name="Dollar (zero dec) 3" xfId="6815"/>
    <cellStyle name="Dollar (zero dec) 4" xfId="6816"/>
    <cellStyle name="Dollar (zero dec) 5" xfId="6817"/>
    <cellStyle name="Dollar (zero dec) 6" xfId="6818"/>
    <cellStyle name="Dollar (zero dec) 7" xfId="6819"/>
    <cellStyle name="Dollar (zero dec) 8" xfId="6820"/>
    <cellStyle name="Edited_Data" xfId="6821"/>
    <cellStyle name="eeee" xfId="6822"/>
    <cellStyle name="Enter Currency (0)" xfId="6823"/>
    <cellStyle name="Enter Currency (0) 2" xfId="6824"/>
    <cellStyle name="Enter Currency (0) 3" xfId="6825"/>
    <cellStyle name="Enter Currency (0) 4" xfId="6826"/>
    <cellStyle name="Enter Currency (0) 5" xfId="6827"/>
    <cellStyle name="Enter Currency (0) 6" xfId="6828"/>
    <cellStyle name="Enter Currency (0) 7" xfId="6829"/>
    <cellStyle name="Enter Currency (0) 8" xfId="6830"/>
    <cellStyle name="Enter Currency (2)" xfId="6831"/>
    <cellStyle name="Enter Currency (2) 2" xfId="6832"/>
    <cellStyle name="Enter Currency (2) 3" xfId="6833"/>
    <cellStyle name="Enter Currency (2) 4" xfId="6834"/>
    <cellStyle name="Enter Currency (2) 5" xfId="6835"/>
    <cellStyle name="Enter Currency (2) 6" xfId="6836"/>
    <cellStyle name="Enter Currency (2) 7" xfId="6837"/>
    <cellStyle name="Enter Currency (2) 8" xfId="6838"/>
    <cellStyle name="Enter Units (0)" xfId="6839"/>
    <cellStyle name="Enter Units (0) 2" xfId="6840"/>
    <cellStyle name="Enter Units (0) 3" xfId="6841"/>
    <cellStyle name="Enter Units (0) 4" xfId="6842"/>
    <cellStyle name="Enter Units (0) 5" xfId="6843"/>
    <cellStyle name="Enter Units (0) 6" xfId="6844"/>
    <cellStyle name="Enter Units (0) 7" xfId="6845"/>
    <cellStyle name="Enter Units (0) 8" xfId="6846"/>
    <cellStyle name="Enter Units (1)" xfId="6847"/>
    <cellStyle name="Enter Units (1) 2" xfId="6848"/>
    <cellStyle name="Enter Units (1) 3" xfId="6849"/>
    <cellStyle name="Enter Units (1) 4" xfId="6850"/>
    <cellStyle name="Enter Units (1) 5" xfId="6851"/>
    <cellStyle name="Enter Units (1) 6" xfId="6852"/>
    <cellStyle name="Enter Units (1) 7" xfId="6853"/>
    <cellStyle name="Enter Units (1) 8" xfId="6854"/>
    <cellStyle name="Enter Units (2)" xfId="6855"/>
    <cellStyle name="Enter Units (2) 2" xfId="6856"/>
    <cellStyle name="Enter Units (2) 3" xfId="6857"/>
    <cellStyle name="Enter Units (2) 4" xfId="6858"/>
    <cellStyle name="Enter Units (2) 5" xfId="6859"/>
    <cellStyle name="Enter Units (2) 6" xfId="6860"/>
    <cellStyle name="Enter Units (2) 7" xfId="6861"/>
    <cellStyle name="Enter Units (2) 8" xfId="6862"/>
    <cellStyle name="Entrée" xfId="6863"/>
    <cellStyle name="Estimated_Data" xfId="6864"/>
    <cellStyle name="Euro" xfId="6865"/>
    <cellStyle name="Euro 2" xfId="6866"/>
    <cellStyle name="Excel Built-in Normal" xfId="6867"/>
    <cellStyle name="Excel Built-in Normal 2" xfId="6868"/>
    <cellStyle name="Excel Built-in Normal 2 2" xfId="6869"/>
    <cellStyle name="Excel Built-in Normal 2 3" xfId="6870"/>
    <cellStyle name="Excel Built-in Normal 2 4" xfId="6871"/>
    <cellStyle name="Excel Built-in Normal 2 5" xfId="6872"/>
    <cellStyle name="Excel Built-in Normal 3" xfId="6873"/>
    <cellStyle name="Excel Built-in Normal 4" xfId="6874"/>
    <cellStyle name="Excel Built-in Normal 4 2" xfId="6875"/>
    <cellStyle name="Excel Built-in Normal 4 3" xfId="6876"/>
    <cellStyle name="Excel Built-in Normal 4 4" xfId="6877"/>
    <cellStyle name="Excel Built-in Normal 4 5" xfId="6878"/>
    <cellStyle name="Excel Built-in Normal 5" xfId="6879"/>
    <cellStyle name="Excel Built-in Normal 6" xfId="6880"/>
    <cellStyle name="Excel Built-in Normal 7" xfId="6881"/>
    <cellStyle name="Excel.Chart" xfId="6882"/>
    <cellStyle name="Excel.Chart 2" xfId="6883"/>
    <cellStyle name="Explanatory Text 1" xfId="6884"/>
    <cellStyle name="Explanatory Text 10 2" xfId="6885"/>
    <cellStyle name="Explanatory Text 10 3" xfId="6886"/>
    <cellStyle name="Explanatory Text 10 4" xfId="6887"/>
    <cellStyle name="Explanatory Text 11 2" xfId="6888"/>
    <cellStyle name="Explanatory Text 11 3" xfId="6889"/>
    <cellStyle name="Explanatory Text 11 4" xfId="6890"/>
    <cellStyle name="Explanatory Text 12 2" xfId="6891"/>
    <cellStyle name="Explanatory Text 12 3" xfId="6892"/>
    <cellStyle name="Explanatory Text 12 4" xfId="6893"/>
    <cellStyle name="Explanatory Text 13 2" xfId="6894"/>
    <cellStyle name="Explanatory Text 13 3" xfId="6895"/>
    <cellStyle name="Explanatory Text 13 4" xfId="6896"/>
    <cellStyle name="Explanatory Text 14 2" xfId="6897"/>
    <cellStyle name="Explanatory Text 14 3" xfId="6898"/>
    <cellStyle name="Explanatory Text 14 4" xfId="6899"/>
    <cellStyle name="Explanatory Text 15 2" xfId="6900"/>
    <cellStyle name="Explanatory Text 15 3" xfId="6901"/>
    <cellStyle name="Explanatory Text 15 4" xfId="6902"/>
    <cellStyle name="Explanatory Text 15 4 2" xfId="6903"/>
    <cellStyle name="Explanatory Text 16 2" xfId="6904"/>
    <cellStyle name="Explanatory Text 16 3" xfId="6905"/>
    <cellStyle name="Explanatory Text 16 4" xfId="6906"/>
    <cellStyle name="Explanatory Text 17 2" xfId="6907"/>
    <cellStyle name="Explanatory Text 17 3" xfId="6908"/>
    <cellStyle name="Explanatory Text 17 4" xfId="6909"/>
    <cellStyle name="Explanatory Text 2" xfId="6910"/>
    <cellStyle name="Explanatory Text 2 2" xfId="6911"/>
    <cellStyle name="Explanatory Text 2 3" xfId="6912"/>
    <cellStyle name="Explanatory Text 2 4" xfId="6913"/>
    <cellStyle name="Explanatory Text 3" xfId="6914"/>
    <cellStyle name="Explanatory Text 3 2" xfId="6915"/>
    <cellStyle name="Explanatory Text 3 3" xfId="6916"/>
    <cellStyle name="Explanatory Text 3 4" xfId="6917"/>
    <cellStyle name="Explanatory Text 4" xfId="6918"/>
    <cellStyle name="Explanatory Text 4 2" xfId="6919"/>
    <cellStyle name="Explanatory Text 4 3" xfId="6920"/>
    <cellStyle name="Explanatory Text 4 4" xfId="6921"/>
    <cellStyle name="Explanatory Text 5 2" xfId="6922"/>
    <cellStyle name="Explanatory Text 5 3" xfId="6923"/>
    <cellStyle name="Explanatory Text 5 4" xfId="6924"/>
    <cellStyle name="Explanatory Text 6 2" xfId="6925"/>
    <cellStyle name="Explanatory Text 6 3" xfId="6926"/>
    <cellStyle name="Explanatory Text 6 4" xfId="6927"/>
    <cellStyle name="Explanatory Text 7 2" xfId="6928"/>
    <cellStyle name="Explanatory Text 7 3" xfId="6929"/>
    <cellStyle name="Explanatory Text 7 4" xfId="6930"/>
    <cellStyle name="Explanatory Text 8 2" xfId="6931"/>
    <cellStyle name="Explanatory Text 8 3" xfId="6932"/>
    <cellStyle name="Explanatory Text 8 4" xfId="6933"/>
    <cellStyle name="Explanatory Text 9 2" xfId="6934"/>
    <cellStyle name="Explanatory Text 9 3" xfId="6935"/>
    <cellStyle name="Explanatory Text 9 4" xfId="6936"/>
    <cellStyle name="F2" xfId="6937"/>
    <cellStyle name="F2 2" xfId="6938"/>
    <cellStyle name="F2 3" xfId="6939"/>
    <cellStyle name="F2 4" xfId="6940"/>
    <cellStyle name="F2 5" xfId="6941"/>
    <cellStyle name="F2 6" xfId="6942"/>
    <cellStyle name="F2 7" xfId="6943"/>
    <cellStyle name="F2 8" xfId="6944"/>
    <cellStyle name="F3" xfId="6945"/>
    <cellStyle name="F3 2" xfId="6946"/>
    <cellStyle name="F3 3" xfId="6947"/>
    <cellStyle name="F3 4" xfId="6948"/>
    <cellStyle name="F3 5" xfId="6949"/>
    <cellStyle name="F3 6" xfId="6950"/>
    <cellStyle name="F3 7" xfId="6951"/>
    <cellStyle name="F3 8" xfId="6952"/>
    <cellStyle name="F4" xfId="6953"/>
    <cellStyle name="F4 2" xfId="6954"/>
    <cellStyle name="F4 3" xfId="6955"/>
    <cellStyle name="F4 4" xfId="6956"/>
    <cellStyle name="F4 5" xfId="6957"/>
    <cellStyle name="F4 6" xfId="6958"/>
    <cellStyle name="F4 7" xfId="6959"/>
    <cellStyle name="F4 8" xfId="6960"/>
    <cellStyle name="F5" xfId="6961"/>
    <cellStyle name="F5 2" xfId="6962"/>
    <cellStyle name="F5 3" xfId="6963"/>
    <cellStyle name="F5 4" xfId="6964"/>
    <cellStyle name="F5 5" xfId="6965"/>
    <cellStyle name="F5 6" xfId="6966"/>
    <cellStyle name="F5 7" xfId="6967"/>
    <cellStyle name="F5 8" xfId="6968"/>
    <cellStyle name="F6" xfId="6969"/>
    <cellStyle name="F6 2" xfId="6970"/>
    <cellStyle name="F6 3" xfId="6971"/>
    <cellStyle name="F6 4" xfId="6972"/>
    <cellStyle name="F6 5" xfId="6973"/>
    <cellStyle name="F6 6" xfId="6974"/>
    <cellStyle name="F6 7" xfId="6975"/>
    <cellStyle name="F6 8" xfId="6976"/>
    <cellStyle name="F7" xfId="6977"/>
    <cellStyle name="F7 2" xfId="6978"/>
    <cellStyle name="F7 3" xfId="6979"/>
    <cellStyle name="F7 4" xfId="6980"/>
    <cellStyle name="F7 5" xfId="6981"/>
    <cellStyle name="F7 6" xfId="6982"/>
    <cellStyle name="F7 7" xfId="6983"/>
    <cellStyle name="F7 8" xfId="6984"/>
    <cellStyle name="F8" xfId="6985"/>
    <cellStyle name="F8 2" xfId="6986"/>
    <cellStyle name="F8 3" xfId="6987"/>
    <cellStyle name="F8 4" xfId="6988"/>
    <cellStyle name="F8 5" xfId="6989"/>
    <cellStyle name="F8 6" xfId="6990"/>
    <cellStyle name="F8 7" xfId="6991"/>
    <cellStyle name="F8 8" xfId="6992"/>
    <cellStyle name="Fixed" xfId="6993"/>
    <cellStyle name="Fixed 2" xfId="6994"/>
    <cellStyle name="Fixed 3" xfId="6995"/>
    <cellStyle name="Fixed 4" xfId="6996"/>
    <cellStyle name="Fixed 5" xfId="6997"/>
    <cellStyle name="Fixed 6" xfId="6998"/>
    <cellStyle name="Fixed 7" xfId="6999"/>
    <cellStyle name="Fixed 8" xfId="7000"/>
    <cellStyle name="Fixed 9" xfId="7001"/>
    <cellStyle name="ƒnƒCƒp[ƒŠƒ“ƒN" xfId="7002"/>
    <cellStyle name="Followed Hyperlink 2" xfId="7003"/>
    <cellStyle name="Followed Hyperlink 2 2" xfId="7004"/>
    <cellStyle name="Font Britannic16" xfId="7005"/>
    <cellStyle name="Font Britannic18" xfId="7006"/>
    <cellStyle name="Font CenturyCond 18" xfId="7007"/>
    <cellStyle name="Font Cond20" xfId="7008"/>
    <cellStyle name="Font LucidaSans16" xfId="7009"/>
    <cellStyle name="Font NewCenturyCond18" xfId="7010"/>
    <cellStyle name="Font Ottawa14" xfId="7011"/>
    <cellStyle name="Font Ottawa16" xfId="7012"/>
    <cellStyle name="Forecast_Data" xfId="7013"/>
    <cellStyle name="Good 1" xfId="7014"/>
    <cellStyle name="Good 10 2" xfId="7015"/>
    <cellStyle name="Good 10 3" xfId="7016"/>
    <cellStyle name="Good 10 4" xfId="7017"/>
    <cellStyle name="Good 11 2" xfId="7018"/>
    <cellStyle name="Good 11 3" xfId="7019"/>
    <cellStyle name="Good 11 4" xfId="7020"/>
    <cellStyle name="Good 12 2" xfId="7021"/>
    <cellStyle name="Good 12 3" xfId="7022"/>
    <cellStyle name="Good 12 4" xfId="7023"/>
    <cellStyle name="Good 13 2" xfId="7024"/>
    <cellStyle name="Good 13 3" xfId="7025"/>
    <cellStyle name="Good 13 4" xfId="7026"/>
    <cellStyle name="Good 14 2" xfId="7027"/>
    <cellStyle name="Good 14 3" xfId="7028"/>
    <cellStyle name="Good 14 4" xfId="7029"/>
    <cellStyle name="Good 15 2" xfId="7030"/>
    <cellStyle name="Good 15 3" xfId="7031"/>
    <cellStyle name="Good 15 4" xfId="7032"/>
    <cellStyle name="Good 16 2" xfId="7033"/>
    <cellStyle name="Good 16 3" xfId="7034"/>
    <cellStyle name="Good 16 4" xfId="7035"/>
    <cellStyle name="Good 17 2" xfId="7036"/>
    <cellStyle name="Good 17 3" xfId="7037"/>
    <cellStyle name="Good 17 4" xfId="7038"/>
    <cellStyle name="Good 2" xfId="7039"/>
    <cellStyle name="Good 2 2" xfId="7040"/>
    <cellStyle name="Good 2 3" xfId="7041"/>
    <cellStyle name="Good 2 4" xfId="7042"/>
    <cellStyle name="Good 3" xfId="7043"/>
    <cellStyle name="Good 3 2" xfId="7044"/>
    <cellStyle name="Good 3 3" xfId="7045"/>
    <cellStyle name="Good 3 4" xfId="7046"/>
    <cellStyle name="Good 4" xfId="7047"/>
    <cellStyle name="Good 4 2" xfId="7048"/>
    <cellStyle name="Good 4 3" xfId="7049"/>
    <cellStyle name="Good 4 4" xfId="7050"/>
    <cellStyle name="Good 5" xfId="7051"/>
    <cellStyle name="Good 5 2" xfId="7052"/>
    <cellStyle name="Good 5 3" xfId="7053"/>
    <cellStyle name="Good 5 4" xfId="7054"/>
    <cellStyle name="Good 6" xfId="7055"/>
    <cellStyle name="Good 6 2" xfId="7056"/>
    <cellStyle name="Good 6 3" xfId="7057"/>
    <cellStyle name="Good 6 4" xfId="7058"/>
    <cellStyle name="Good 7 2" xfId="7059"/>
    <cellStyle name="Good 7 3" xfId="7060"/>
    <cellStyle name="Good 7 4" xfId="7061"/>
    <cellStyle name="Good 8 2" xfId="7062"/>
    <cellStyle name="Good 8 3" xfId="7063"/>
    <cellStyle name="Good 8 4" xfId="7064"/>
    <cellStyle name="Good 9 2" xfId="7065"/>
    <cellStyle name="Good 9 3" xfId="7066"/>
    <cellStyle name="Good 9 4" xfId="7067"/>
    <cellStyle name="Grey" xfId="7068"/>
    <cellStyle name="Grey 10" xfId="7069"/>
    <cellStyle name="Grey 2" xfId="7070"/>
    <cellStyle name="Grey 3" xfId="7071"/>
    <cellStyle name="Grey 4" xfId="7072"/>
    <cellStyle name="Grey 5" xfId="7073"/>
    <cellStyle name="Grey 6" xfId="7074"/>
    <cellStyle name="Grey 7" xfId="7075"/>
    <cellStyle name="Grey 8" xfId="7076"/>
    <cellStyle name="Grey 9" xfId="7077"/>
    <cellStyle name="HEADER" xfId="7078"/>
    <cellStyle name="Header - Style1" xfId="7079"/>
    <cellStyle name="Header1" xfId="7080"/>
    <cellStyle name="Header2" xfId="7081"/>
    <cellStyle name="Header2 2" xfId="7082"/>
    <cellStyle name="Header2 3" xfId="7083"/>
    <cellStyle name="Heading" xfId="7084"/>
    <cellStyle name="Heading 1 1" xfId="7085"/>
    <cellStyle name="Heading 1 10 2" xfId="7086"/>
    <cellStyle name="Heading 1 10 3" xfId="7087"/>
    <cellStyle name="Heading 1 10 4" xfId="7088"/>
    <cellStyle name="Heading 1 11 2" xfId="7089"/>
    <cellStyle name="Heading 1 11 3" xfId="7090"/>
    <cellStyle name="Heading 1 11 4" xfId="7091"/>
    <cellStyle name="Heading 1 12 2" xfId="7092"/>
    <cellStyle name="Heading 1 12 3" xfId="7093"/>
    <cellStyle name="Heading 1 12 4" xfId="7094"/>
    <cellStyle name="Heading 1 13 2" xfId="7095"/>
    <cellStyle name="Heading 1 13 3" xfId="7096"/>
    <cellStyle name="Heading 1 13 4" xfId="7097"/>
    <cellStyle name="Heading 1 14 2" xfId="7098"/>
    <cellStyle name="Heading 1 14 3" xfId="7099"/>
    <cellStyle name="Heading 1 14 4" xfId="7100"/>
    <cellStyle name="Heading 1 15 2" xfId="7101"/>
    <cellStyle name="Heading 1 15 3" xfId="7102"/>
    <cellStyle name="Heading 1 15 4" xfId="7103"/>
    <cellStyle name="Heading 1 16 2" xfId="7104"/>
    <cellStyle name="Heading 1 16 3" xfId="7105"/>
    <cellStyle name="Heading 1 16 4" xfId="7106"/>
    <cellStyle name="Heading 1 17 2" xfId="7107"/>
    <cellStyle name="Heading 1 17 3" xfId="7108"/>
    <cellStyle name="Heading 1 17 4" xfId="7109"/>
    <cellStyle name="Heading 1 2" xfId="7110"/>
    <cellStyle name="Heading 1 2 2" xfId="7111"/>
    <cellStyle name="Heading 1 2 3" xfId="7112"/>
    <cellStyle name="Heading 1 2 4" xfId="7113"/>
    <cellStyle name="Heading 1 3" xfId="7114"/>
    <cellStyle name="Heading 1 3 2" xfId="7115"/>
    <cellStyle name="Heading 1 3 3" xfId="7116"/>
    <cellStyle name="Heading 1 3 4" xfId="7117"/>
    <cellStyle name="Heading 1 4" xfId="7118"/>
    <cellStyle name="Heading 1 4 2" xfId="7119"/>
    <cellStyle name="Heading 1 4 3" xfId="7120"/>
    <cellStyle name="Heading 1 4 4" xfId="7121"/>
    <cellStyle name="Heading 1 5" xfId="7122"/>
    <cellStyle name="Heading 1 5 2" xfId="7123"/>
    <cellStyle name="Heading 1 5 3" xfId="7124"/>
    <cellStyle name="Heading 1 5 4" xfId="7125"/>
    <cellStyle name="Heading 1 6" xfId="7126"/>
    <cellStyle name="Heading 1 6 2" xfId="7127"/>
    <cellStyle name="Heading 1 6 3" xfId="7128"/>
    <cellStyle name="Heading 1 6 4" xfId="7129"/>
    <cellStyle name="Heading 1 7 2" xfId="7130"/>
    <cellStyle name="Heading 1 7 3" xfId="7131"/>
    <cellStyle name="Heading 1 7 4" xfId="7132"/>
    <cellStyle name="Heading 1 8 2" xfId="7133"/>
    <cellStyle name="Heading 1 8 3" xfId="7134"/>
    <cellStyle name="Heading 1 8 4" xfId="7135"/>
    <cellStyle name="Heading 1 9 2" xfId="7136"/>
    <cellStyle name="Heading 1 9 3" xfId="7137"/>
    <cellStyle name="Heading 1 9 4" xfId="7138"/>
    <cellStyle name="Heading 2 1" xfId="7139"/>
    <cellStyle name="Heading 2 10 2" xfId="7140"/>
    <cellStyle name="Heading 2 10 3" xfId="7141"/>
    <cellStyle name="Heading 2 10 4" xfId="7142"/>
    <cellStyle name="Heading 2 11 2" xfId="7143"/>
    <cellStyle name="Heading 2 11 3" xfId="7144"/>
    <cellStyle name="Heading 2 11 4" xfId="7145"/>
    <cellStyle name="Heading 2 12 2" xfId="7146"/>
    <cellStyle name="Heading 2 12 3" xfId="7147"/>
    <cellStyle name="Heading 2 12 4" xfId="7148"/>
    <cellStyle name="Heading 2 13 2" xfId="7149"/>
    <cellStyle name="Heading 2 13 3" xfId="7150"/>
    <cellStyle name="Heading 2 13 4" xfId="7151"/>
    <cellStyle name="Heading 2 14 2" xfId="7152"/>
    <cellStyle name="Heading 2 14 3" xfId="7153"/>
    <cellStyle name="Heading 2 14 4" xfId="7154"/>
    <cellStyle name="Heading 2 15 2" xfId="7155"/>
    <cellStyle name="Heading 2 15 3" xfId="7156"/>
    <cellStyle name="Heading 2 15 4" xfId="7157"/>
    <cellStyle name="Heading 2 16 2" xfId="7158"/>
    <cellStyle name="Heading 2 16 3" xfId="7159"/>
    <cellStyle name="Heading 2 16 4" xfId="7160"/>
    <cellStyle name="Heading 2 17 2" xfId="7161"/>
    <cellStyle name="Heading 2 17 3" xfId="7162"/>
    <cellStyle name="Heading 2 17 4" xfId="7163"/>
    <cellStyle name="Heading 2 2" xfId="7164"/>
    <cellStyle name="Heading 2 2 2" xfId="7165"/>
    <cellStyle name="Heading 2 2 3" xfId="7166"/>
    <cellStyle name="Heading 2 2 4" xfId="7167"/>
    <cellStyle name="Heading 2 3" xfId="7168"/>
    <cellStyle name="Heading 2 3 2" xfId="7169"/>
    <cellStyle name="Heading 2 3 3" xfId="7170"/>
    <cellStyle name="Heading 2 3 4" xfId="7171"/>
    <cellStyle name="Heading 2 4" xfId="7172"/>
    <cellStyle name="Heading 2 4 2" xfId="7173"/>
    <cellStyle name="Heading 2 4 3" xfId="7174"/>
    <cellStyle name="Heading 2 4 4" xfId="7175"/>
    <cellStyle name="Heading 2 5" xfId="7176"/>
    <cellStyle name="Heading 2 5 2" xfId="7177"/>
    <cellStyle name="Heading 2 5 3" xfId="7178"/>
    <cellStyle name="Heading 2 5 4" xfId="7179"/>
    <cellStyle name="Heading 2 6" xfId="7180"/>
    <cellStyle name="Heading 2 6 2" xfId="7181"/>
    <cellStyle name="Heading 2 6 3" xfId="7182"/>
    <cellStyle name="Heading 2 6 4" xfId="7183"/>
    <cellStyle name="Heading 2 7 2" xfId="7184"/>
    <cellStyle name="Heading 2 7 3" xfId="7185"/>
    <cellStyle name="Heading 2 7 4" xfId="7186"/>
    <cellStyle name="Heading 2 8 2" xfId="7187"/>
    <cellStyle name="Heading 2 8 3" xfId="7188"/>
    <cellStyle name="Heading 2 8 4" xfId="7189"/>
    <cellStyle name="Heading 2 9 2" xfId="7190"/>
    <cellStyle name="Heading 2 9 3" xfId="7191"/>
    <cellStyle name="Heading 2 9 4" xfId="7192"/>
    <cellStyle name="Heading 3 1" xfId="7193"/>
    <cellStyle name="Heading 3 10 2" xfId="7194"/>
    <cellStyle name="Heading 3 10 3" xfId="7195"/>
    <cellStyle name="Heading 3 10 4" xfId="7196"/>
    <cellStyle name="Heading 3 11 2" xfId="7197"/>
    <cellStyle name="Heading 3 11 3" xfId="7198"/>
    <cellStyle name="Heading 3 11 4" xfId="7199"/>
    <cellStyle name="Heading 3 12 2" xfId="7200"/>
    <cellStyle name="Heading 3 12 3" xfId="7201"/>
    <cellStyle name="Heading 3 12 4" xfId="7202"/>
    <cellStyle name="Heading 3 13 2" xfId="7203"/>
    <cellStyle name="Heading 3 13 3" xfId="7204"/>
    <cellStyle name="Heading 3 13 4" xfId="7205"/>
    <cellStyle name="Heading 3 14 2" xfId="7206"/>
    <cellStyle name="Heading 3 14 3" xfId="7207"/>
    <cellStyle name="Heading 3 14 4" xfId="7208"/>
    <cellStyle name="Heading 3 15 2" xfId="7209"/>
    <cellStyle name="Heading 3 15 3" xfId="7210"/>
    <cellStyle name="Heading 3 15 4" xfId="7211"/>
    <cellStyle name="Heading 3 16 2" xfId="7212"/>
    <cellStyle name="Heading 3 16 3" xfId="7213"/>
    <cellStyle name="Heading 3 16 4" xfId="7214"/>
    <cellStyle name="Heading 3 17 2" xfId="7215"/>
    <cellStyle name="Heading 3 17 3" xfId="7216"/>
    <cellStyle name="Heading 3 17 4" xfId="7217"/>
    <cellStyle name="Heading 3 2" xfId="7218"/>
    <cellStyle name="Heading 3 2 2" xfId="7219"/>
    <cellStyle name="Heading 3 2 2 2" xfId="7220"/>
    <cellStyle name="Heading 3 2 2 3" xfId="7221"/>
    <cellStyle name="Heading 3 2 2 4" xfId="7222"/>
    <cellStyle name="Heading 3 2 2 5" xfId="7223"/>
    <cellStyle name="Heading 3 2 3" xfId="7224"/>
    <cellStyle name="Heading 3 2 3 2" xfId="7225"/>
    <cellStyle name="Heading 3 2 3 3" xfId="7226"/>
    <cellStyle name="Heading 3 2 3 4" xfId="7227"/>
    <cellStyle name="Heading 3 2 3 5" xfId="7228"/>
    <cellStyle name="Heading 3 2 4" xfId="7229"/>
    <cellStyle name="Heading 3 2 4 2" xfId="7230"/>
    <cellStyle name="Heading 3 2 4 3" xfId="7231"/>
    <cellStyle name="Heading 3 2 4 4" xfId="7232"/>
    <cellStyle name="Heading 3 2 4 5" xfId="7233"/>
    <cellStyle name="Heading 3 2 5" xfId="7234"/>
    <cellStyle name="Heading 3 2 6" xfId="7235"/>
    <cellStyle name="Heading 3 2 7" xfId="7236"/>
    <cellStyle name="Heading 3 2 8" xfId="7237"/>
    <cellStyle name="Heading 3 3" xfId="7238"/>
    <cellStyle name="Heading 3 3 2" xfId="7239"/>
    <cellStyle name="Heading 3 3 3" xfId="7240"/>
    <cellStyle name="Heading 3 3 4" xfId="7241"/>
    <cellStyle name="Heading 3 3 5" xfId="7242"/>
    <cellStyle name="Heading 3 3 6" xfId="7243"/>
    <cellStyle name="Heading 3 3 7" xfId="7244"/>
    <cellStyle name="Heading 3 4" xfId="7245"/>
    <cellStyle name="Heading 3 4 2" xfId="7246"/>
    <cellStyle name="Heading 3 4 3" xfId="7247"/>
    <cellStyle name="Heading 3 4 4" xfId="7248"/>
    <cellStyle name="Heading 3 5" xfId="7249"/>
    <cellStyle name="Heading 3 5 2" xfId="7250"/>
    <cellStyle name="Heading 3 5 3" xfId="7251"/>
    <cellStyle name="Heading 3 5 4" xfId="7252"/>
    <cellStyle name="Heading 3 6 2" xfId="7253"/>
    <cellStyle name="Heading 3 6 3" xfId="7254"/>
    <cellStyle name="Heading 3 6 4" xfId="7255"/>
    <cellStyle name="Heading 3 7 2" xfId="7256"/>
    <cellStyle name="Heading 3 7 3" xfId="7257"/>
    <cellStyle name="Heading 3 7 4" xfId="7258"/>
    <cellStyle name="Heading 3 8 2" xfId="7259"/>
    <cellStyle name="Heading 3 8 3" xfId="7260"/>
    <cellStyle name="Heading 3 8 4" xfId="7261"/>
    <cellStyle name="Heading 3 9 2" xfId="7262"/>
    <cellStyle name="Heading 3 9 3" xfId="7263"/>
    <cellStyle name="Heading 3 9 4" xfId="7264"/>
    <cellStyle name="Heading 4 1" xfId="7265"/>
    <cellStyle name="Heading 4 10 2" xfId="7266"/>
    <cellStyle name="Heading 4 10 3" xfId="7267"/>
    <cellStyle name="Heading 4 10 4" xfId="7268"/>
    <cellStyle name="Heading 4 11 2" xfId="7269"/>
    <cellStyle name="Heading 4 11 3" xfId="7270"/>
    <cellStyle name="Heading 4 11 4" xfId="7271"/>
    <cellStyle name="Heading 4 12 2" xfId="7272"/>
    <cellStyle name="Heading 4 12 3" xfId="7273"/>
    <cellStyle name="Heading 4 12 4" xfId="7274"/>
    <cellStyle name="Heading 4 13 2" xfId="7275"/>
    <cellStyle name="Heading 4 13 3" xfId="7276"/>
    <cellStyle name="Heading 4 13 4" xfId="7277"/>
    <cellStyle name="Heading 4 14 2" xfId="7278"/>
    <cellStyle name="Heading 4 14 3" xfId="7279"/>
    <cellStyle name="Heading 4 14 4" xfId="7280"/>
    <cellStyle name="Heading 4 15 2" xfId="7281"/>
    <cellStyle name="Heading 4 15 3" xfId="7282"/>
    <cellStyle name="Heading 4 15 4" xfId="7283"/>
    <cellStyle name="Heading 4 16 2" xfId="7284"/>
    <cellStyle name="Heading 4 16 3" xfId="7285"/>
    <cellStyle name="Heading 4 16 4" xfId="7286"/>
    <cellStyle name="Heading 4 17 2" xfId="7287"/>
    <cellStyle name="Heading 4 17 3" xfId="7288"/>
    <cellStyle name="Heading 4 17 4" xfId="7289"/>
    <cellStyle name="Heading 4 2" xfId="7290"/>
    <cellStyle name="Heading 4 2 2" xfId="7291"/>
    <cellStyle name="Heading 4 2 3" xfId="7292"/>
    <cellStyle name="Heading 4 2 4" xfId="7293"/>
    <cellStyle name="Heading 4 3" xfId="7294"/>
    <cellStyle name="Heading 4 3 2" xfId="7295"/>
    <cellStyle name="Heading 4 3 3" xfId="7296"/>
    <cellStyle name="Heading 4 3 4" xfId="7297"/>
    <cellStyle name="Heading 4 4" xfId="7298"/>
    <cellStyle name="Heading 4 4 2" xfId="7299"/>
    <cellStyle name="Heading 4 4 3" xfId="7300"/>
    <cellStyle name="Heading 4 4 4" xfId="7301"/>
    <cellStyle name="Heading 4 5" xfId="7302"/>
    <cellStyle name="Heading 4 5 2" xfId="7303"/>
    <cellStyle name="Heading 4 5 3" xfId="7304"/>
    <cellStyle name="Heading 4 5 4" xfId="7305"/>
    <cellStyle name="Heading 4 6" xfId="7306"/>
    <cellStyle name="Heading 4 6 2" xfId="7307"/>
    <cellStyle name="Heading 4 6 3" xfId="7308"/>
    <cellStyle name="Heading 4 6 4" xfId="7309"/>
    <cellStyle name="Heading 4 7 2" xfId="7310"/>
    <cellStyle name="Heading 4 7 3" xfId="7311"/>
    <cellStyle name="Heading 4 7 4" xfId="7312"/>
    <cellStyle name="Heading 4 8 2" xfId="7313"/>
    <cellStyle name="Heading 4 8 3" xfId="7314"/>
    <cellStyle name="Heading 4 8 4" xfId="7315"/>
    <cellStyle name="Heading 4 9 2" xfId="7316"/>
    <cellStyle name="Heading 4 9 3" xfId="7317"/>
    <cellStyle name="Heading 4 9 4" xfId="7318"/>
    <cellStyle name="Heading1" xfId="7319"/>
    <cellStyle name="Heading1 1" xfId="7320"/>
    <cellStyle name="Heading1 2" xfId="7321"/>
    <cellStyle name="Heading1 3" xfId="7322"/>
    <cellStyle name="Heading1 4" xfId="7323"/>
    <cellStyle name="Heading1 5" xfId="7324"/>
    <cellStyle name="Heading1 6" xfId="7325"/>
    <cellStyle name="Heading1 7" xfId="7326"/>
    <cellStyle name="Heading1 8" xfId="7327"/>
    <cellStyle name="Heading1 9" xfId="7328"/>
    <cellStyle name="Heading1_AP Logistic 2010 Konsolidasi (091110)" xfId="7329"/>
    <cellStyle name="Heading2" xfId="7330"/>
    <cellStyle name="Heading2 2" xfId="7331"/>
    <cellStyle name="Heading2 3" xfId="7332"/>
    <cellStyle name="Heading2 4" xfId="7333"/>
    <cellStyle name="Heading2 5" xfId="7334"/>
    <cellStyle name="Heading2 6" xfId="7335"/>
    <cellStyle name="Heading2 7" xfId="7336"/>
    <cellStyle name="Heading2 8" xfId="7337"/>
    <cellStyle name="Heading2 9" xfId="7338"/>
    <cellStyle name="Heading3" xfId="7339"/>
    <cellStyle name="Hyperlink 2" xfId="7340"/>
    <cellStyle name="Hyperlink 2 2" xfId="7341"/>
    <cellStyle name="Hyperlink 3" xfId="7342"/>
    <cellStyle name="i·0" xfId="7343"/>
    <cellStyle name="Input [yellow]" xfId="7344"/>
    <cellStyle name="Input [yellow] 10" xfId="7345"/>
    <cellStyle name="Input [yellow] 10 2" xfId="7346"/>
    <cellStyle name="Input [yellow] 10 3" xfId="7347"/>
    <cellStyle name="Input [yellow] 11" xfId="7348"/>
    <cellStyle name="Input [yellow] 12" xfId="7349"/>
    <cellStyle name="Input [yellow] 2" xfId="7350"/>
    <cellStyle name="Input [yellow] 2 2" xfId="7351"/>
    <cellStyle name="Input [yellow] 2 3" xfId="7352"/>
    <cellStyle name="Input [yellow] 3" xfId="7353"/>
    <cellStyle name="Input [yellow] 3 2" xfId="7354"/>
    <cellStyle name="Input [yellow] 3 3" xfId="7355"/>
    <cellStyle name="Input [yellow] 4" xfId="7356"/>
    <cellStyle name="Input [yellow] 4 2" xfId="7357"/>
    <cellStyle name="Input [yellow] 4 3" xfId="7358"/>
    <cellStyle name="Input [yellow] 5" xfId="7359"/>
    <cellStyle name="Input [yellow] 5 2" xfId="7360"/>
    <cellStyle name="Input [yellow] 5 3" xfId="7361"/>
    <cellStyle name="Input [yellow] 6" xfId="7362"/>
    <cellStyle name="Input [yellow] 6 2" xfId="7363"/>
    <cellStyle name="Input [yellow] 6 3" xfId="7364"/>
    <cellStyle name="Input [yellow] 7" xfId="7365"/>
    <cellStyle name="Input [yellow] 7 2" xfId="7366"/>
    <cellStyle name="Input [yellow] 7 3" xfId="7367"/>
    <cellStyle name="Input [yellow] 8" xfId="7368"/>
    <cellStyle name="Input [yellow] 8 2" xfId="7369"/>
    <cellStyle name="Input [yellow] 8 3" xfId="7370"/>
    <cellStyle name="Input [yellow] 9" xfId="7371"/>
    <cellStyle name="Input [yellow] 9 2" xfId="7372"/>
    <cellStyle name="Input [yellow] 9 3" xfId="7373"/>
    <cellStyle name="Input 1" xfId="7374"/>
    <cellStyle name="Input 10" xfId="7375"/>
    <cellStyle name="Input 10 2" xfId="7376"/>
    <cellStyle name="Input 10 2 2" xfId="7377"/>
    <cellStyle name="Input 10 2 3" xfId="7378"/>
    <cellStyle name="Input 10 3" xfId="7379"/>
    <cellStyle name="Input 10 3 2" xfId="7380"/>
    <cellStyle name="Input 10 3 3" xfId="7381"/>
    <cellStyle name="Input 10 4" xfId="7382"/>
    <cellStyle name="Input 10 4 2" xfId="7383"/>
    <cellStyle name="Input 10 4 3" xfId="7384"/>
    <cellStyle name="Input 11" xfId="7385"/>
    <cellStyle name="Input 11 2" xfId="7386"/>
    <cellStyle name="Input 11 2 2" xfId="7387"/>
    <cellStyle name="Input 11 2 3" xfId="7388"/>
    <cellStyle name="Input 11 3" xfId="7389"/>
    <cellStyle name="Input 11 3 2" xfId="7390"/>
    <cellStyle name="Input 11 3 3" xfId="7391"/>
    <cellStyle name="Input 11 4" xfId="7392"/>
    <cellStyle name="Input 11 4 2" xfId="7393"/>
    <cellStyle name="Input 11 4 3" xfId="7394"/>
    <cellStyle name="Input 12" xfId="7395"/>
    <cellStyle name="Input 12 2" xfId="7396"/>
    <cellStyle name="Input 12 2 2" xfId="7397"/>
    <cellStyle name="Input 12 2 3" xfId="7398"/>
    <cellStyle name="Input 12 3" xfId="7399"/>
    <cellStyle name="Input 12 3 2" xfId="7400"/>
    <cellStyle name="Input 12 3 3" xfId="7401"/>
    <cellStyle name="Input 12 4" xfId="7402"/>
    <cellStyle name="Input 12 4 2" xfId="7403"/>
    <cellStyle name="Input 12 4 3" xfId="7404"/>
    <cellStyle name="Input 13" xfId="7405"/>
    <cellStyle name="Input 13 2" xfId="7406"/>
    <cellStyle name="Input 13 2 2" xfId="7407"/>
    <cellStyle name="Input 13 2 3" xfId="7408"/>
    <cellStyle name="Input 13 3" xfId="7409"/>
    <cellStyle name="Input 13 3 2" xfId="7410"/>
    <cellStyle name="Input 13 3 3" xfId="7411"/>
    <cellStyle name="Input 13 4" xfId="7412"/>
    <cellStyle name="Input 13 4 2" xfId="7413"/>
    <cellStyle name="Input 13 4 3" xfId="7414"/>
    <cellStyle name="Input 14" xfId="7415"/>
    <cellStyle name="Input 14 2" xfId="7416"/>
    <cellStyle name="Input 14 2 2" xfId="7417"/>
    <cellStyle name="Input 14 2 3" xfId="7418"/>
    <cellStyle name="Input 14 3" xfId="7419"/>
    <cellStyle name="Input 14 3 2" xfId="7420"/>
    <cellStyle name="Input 14 3 3" xfId="7421"/>
    <cellStyle name="Input 14 4" xfId="7422"/>
    <cellStyle name="Input 14 4 2" xfId="7423"/>
    <cellStyle name="Input 14 4 3" xfId="7424"/>
    <cellStyle name="Input 15" xfId="7425"/>
    <cellStyle name="Input 15 2" xfId="7426"/>
    <cellStyle name="Input 15 2 2" xfId="7427"/>
    <cellStyle name="Input 15 2 3" xfId="7428"/>
    <cellStyle name="Input 15 3" xfId="7429"/>
    <cellStyle name="Input 15 3 2" xfId="7430"/>
    <cellStyle name="Input 15 3 3" xfId="7431"/>
    <cellStyle name="Input 15 4" xfId="7432"/>
    <cellStyle name="Input 15 4 2" xfId="7433"/>
    <cellStyle name="Input 15 4 3" xfId="7434"/>
    <cellStyle name="Input 16" xfId="7435"/>
    <cellStyle name="Input 16 2" xfId="7436"/>
    <cellStyle name="Input 16 2 2" xfId="7437"/>
    <cellStyle name="Input 16 2 3" xfId="7438"/>
    <cellStyle name="Input 16 3" xfId="7439"/>
    <cellStyle name="Input 16 3 2" xfId="7440"/>
    <cellStyle name="Input 16 3 3" xfId="7441"/>
    <cellStyle name="Input 16 4" xfId="7442"/>
    <cellStyle name="Input 16 4 2" xfId="7443"/>
    <cellStyle name="Input 16 4 3" xfId="7444"/>
    <cellStyle name="Input 17" xfId="7445"/>
    <cellStyle name="Input 17 2" xfId="7446"/>
    <cellStyle name="Input 17 2 2" xfId="7447"/>
    <cellStyle name="Input 17 2 3" xfId="7448"/>
    <cellStyle name="Input 17 3" xfId="7449"/>
    <cellStyle name="Input 17 3 2" xfId="7450"/>
    <cellStyle name="Input 17 3 3" xfId="7451"/>
    <cellStyle name="Input 17 4" xfId="7452"/>
    <cellStyle name="Input 17 4 2" xfId="7453"/>
    <cellStyle name="Input 17 4 3" xfId="7454"/>
    <cellStyle name="Input 18" xfId="7455"/>
    <cellStyle name="Input 19" xfId="7456"/>
    <cellStyle name="Input 2" xfId="7457"/>
    <cellStyle name="Input 2 2" xfId="7458"/>
    <cellStyle name="Input 2 2 2" xfId="7459"/>
    <cellStyle name="Input 2 2 3" xfId="7460"/>
    <cellStyle name="Input 2 3" xfId="7461"/>
    <cellStyle name="Input 2 3 2" xfId="7462"/>
    <cellStyle name="Input 2 3 3" xfId="7463"/>
    <cellStyle name="Input 2 4" xfId="7464"/>
    <cellStyle name="Input 2 4 2" xfId="7465"/>
    <cellStyle name="Input 2 4 3" xfId="7466"/>
    <cellStyle name="Input 2 5" xfId="7467"/>
    <cellStyle name="Input 2 6" xfId="7468"/>
    <cellStyle name="Input 20" xfId="7469"/>
    <cellStyle name="Input 21" xfId="7470"/>
    <cellStyle name="Input 22" xfId="7471"/>
    <cellStyle name="Input 23" xfId="7472"/>
    <cellStyle name="Input 24" xfId="7473"/>
    <cellStyle name="Input 25" xfId="7474"/>
    <cellStyle name="Input 26" xfId="7475"/>
    <cellStyle name="Input 27" xfId="7476"/>
    <cellStyle name="Input 3" xfId="7477"/>
    <cellStyle name="Input 3 2" xfId="7478"/>
    <cellStyle name="Input 3 2 2" xfId="7479"/>
    <cellStyle name="Input 3 2 3" xfId="7480"/>
    <cellStyle name="Input 3 3" xfId="7481"/>
    <cellStyle name="Input 3 3 2" xfId="7482"/>
    <cellStyle name="Input 3 3 3" xfId="7483"/>
    <cellStyle name="Input 3 4" xfId="7484"/>
    <cellStyle name="Input 3 4 2" xfId="7485"/>
    <cellStyle name="Input 3 4 3" xfId="7486"/>
    <cellStyle name="Input 3 5" xfId="7487"/>
    <cellStyle name="Input 3 6" xfId="7488"/>
    <cellStyle name="Input 4" xfId="7489"/>
    <cellStyle name="Input 4 2" xfId="7490"/>
    <cellStyle name="Input 4 2 2" xfId="7491"/>
    <cellStyle name="Input 4 2 3" xfId="7492"/>
    <cellStyle name="Input 4 3" xfId="7493"/>
    <cellStyle name="Input 4 3 2" xfId="7494"/>
    <cellStyle name="Input 4 3 3" xfId="7495"/>
    <cellStyle name="Input 4 4" xfId="7496"/>
    <cellStyle name="Input 4 4 2" xfId="7497"/>
    <cellStyle name="Input 4 4 3" xfId="7498"/>
    <cellStyle name="Input 4 5" xfId="7499"/>
    <cellStyle name="Input 4 6" xfId="7500"/>
    <cellStyle name="Input 5" xfId="7501"/>
    <cellStyle name="Input 5 2" xfId="7502"/>
    <cellStyle name="Input 5 2 2" xfId="7503"/>
    <cellStyle name="Input 5 2 3" xfId="7504"/>
    <cellStyle name="Input 5 3" xfId="7505"/>
    <cellStyle name="Input 5 3 2" xfId="7506"/>
    <cellStyle name="Input 5 3 3" xfId="7507"/>
    <cellStyle name="Input 5 4" xfId="7508"/>
    <cellStyle name="Input 5 4 2" xfId="7509"/>
    <cellStyle name="Input 5 4 3" xfId="7510"/>
    <cellStyle name="Input 6" xfId="7511"/>
    <cellStyle name="Input 6 2" xfId="7512"/>
    <cellStyle name="Input 6 2 2" xfId="7513"/>
    <cellStyle name="Input 6 2 3" xfId="7514"/>
    <cellStyle name="Input 6 3" xfId="7515"/>
    <cellStyle name="Input 6 3 2" xfId="7516"/>
    <cellStyle name="Input 6 3 3" xfId="7517"/>
    <cellStyle name="Input 6 4" xfId="7518"/>
    <cellStyle name="Input 6 4 2" xfId="7519"/>
    <cellStyle name="Input 6 4 3" xfId="7520"/>
    <cellStyle name="Input 7" xfId="7521"/>
    <cellStyle name="Input 7 2" xfId="7522"/>
    <cellStyle name="Input 7 2 2" xfId="7523"/>
    <cellStyle name="Input 7 2 3" xfId="7524"/>
    <cellStyle name="Input 7 3" xfId="7525"/>
    <cellStyle name="Input 7 3 2" xfId="7526"/>
    <cellStyle name="Input 7 3 3" xfId="7527"/>
    <cellStyle name="Input 7 4" xfId="7528"/>
    <cellStyle name="Input 7 4 2" xfId="7529"/>
    <cellStyle name="Input 7 4 3" xfId="7530"/>
    <cellStyle name="Input 8" xfId="7531"/>
    <cellStyle name="Input 8 2" xfId="7532"/>
    <cellStyle name="Input 8 2 2" xfId="7533"/>
    <cellStyle name="Input 8 2 3" xfId="7534"/>
    <cellStyle name="Input 8 3" xfId="7535"/>
    <cellStyle name="Input 8 3 2" xfId="7536"/>
    <cellStyle name="Input 8 3 3" xfId="7537"/>
    <cellStyle name="Input 8 4" xfId="7538"/>
    <cellStyle name="Input 8 4 2" xfId="7539"/>
    <cellStyle name="Input 8 4 3" xfId="7540"/>
    <cellStyle name="Input 9" xfId="7541"/>
    <cellStyle name="Input 9 2" xfId="7542"/>
    <cellStyle name="Input 9 2 2" xfId="7543"/>
    <cellStyle name="Input 9 2 3" xfId="7544"/>
    <cellStyle name="Input 9 3" xfId="7545"/>
    <cellStyle name="Input 9 3 2" xfId="7546"/>
    <cellStyle name="Input 9 3 3" xfId="7547"/>
    <cellStyle name="Input 9 4" xfId="7548"/>
    <cellStyle name="Input 9 4 2" xfId="7549"/>
    <cellStyle name="Input 9 4 3" xfId="7550"/>
    <cellStyle name="Input Cells" xfId="7551"/>
    <cellStyle name="Insatisfaisant" xfId="7552"/>
    <cellStyle name="Item_Current" xfId="7553"/>
    <cellStyle name="Lien hypertexte" xfId="7554"/>
    <cellStyle name="Lien hypertexte visit?" xfId="7555"/>
    <cellStyle name="Lien hypertexte visite" xfId="7556"/>
    <cellStyle name="Lien hypertexte visité" xfId="7557"/>
    <cellStyle name="Link Currency (0)" xfId="7558"/>
    <cellStyle name="Link Currency (0) 2" xfId="7559"/>
    <cellStyle name="Link Currency (0) 3" xfId="7560"/>
    <cellStyle name="Link Currency (0) 4" xfId="7561"/>
    <cellStyle name="Link Currency (0) 5" xfId="7562"/>
    <cellStyle name="Link Currency (0) 6" xfId="7563"/>
    <cellStyle name="Link Currency (0) 7" xfId="7564"/>
    <cellStyle name="Link Currency (0) 8" xfId="7565"/>
    <cellStyle name="Link Currency (2)" xfId="7566"/>
    <cellStyle name="Link Currency (2) 2" xfId="7567"/>
    <cellStyle name="Link Currency (2) 3" xfId="7568"/>
    <cellStyle name="Link Currency (2) 4" xfId="7569"/>
    <cellStyle name="Link Currency (2) 5" xfId="7570"/>
    <cellStyle name="Link Currency (2) 6" xfId="7571"/>
    <cellStyle name="Link Currency (2) 7" xfId="7572"/>
    <cellStyle name="Link Currency (2) 8" xfId="7573"/>
    <cellStyle name="Link Units (0)" xfId="7574"/>
    <cellStyle name="Link Units (0) 2" xfId="7575"/>
    <cellStyle name="Link Units (0) 3" xfId="7576"/>
    <cellStyle name="Link Units (0) 4" xfId="7577"/>
    <cellStyle name="Link Units (0) 5" xfId="7578"/>
    <cellStyle name="Link Units (0) 6" xfId="7579"/>
    <cellStyle name="Link Units (0) 7" xfId="7580"/>
    <cellStyle name="Link Units (0) 8" xfId="7581"/>
    <cellStyle name="Link Units (1)" xfId="7582"/>
    <cellStyle name="Link Units (1) 2" xfId="7583"/>
    <cellStyle name="Link Units (1) 3" xfId="7584"/>
    <cellStyle name="Link Units (1) 4" xfId="7585"/>
    <cellStyle name="Link Units (1) 5" xfId="7586"/>
    <cellStyle name="Link Units (1) 6" xfId="7587"/>
    <cellStyle name="Link Units (1) 7" xfId="7588"/>
    <cellStyle name="Link Units (1) 8" xfId="7589"/>
    <cellStyle name="Link Units (2)" xfId="7590"/>
    <cellStyle name="Link Units (2) 2" xfId="7591"/>
    <cellStyle name="Link Units (2) 3" xfId="7592"/>
    <cellStyle name="Link Units (2) 4" xfId="7593"/>
    <cellStyle name="Link Units (2) 5" xfId="7594"/>
    <cellStyle name="Link Units (2) 6" xfId="7595"/>
    <cellStyle name="Link Units (2) 7" xfId="7596"/>
    <cellStyle name="Link Units (2) 8" xfId="7597"/>
    <cellStyle name="Linked Cell 1" xfId="7598"/>
    <cellStyle name="Linked Cell 10 2" xfId="7599"/>
    <cellStyle name="Linked Cell 10 3" xfId="7600"/>
    <cellStyle name="Linked Cell 10 4" xfId="7601"/>
    <cellStyle name="Linked Cell 11 2" xfId="7602"/>
    <cellStyle name="Linked Cell 11 3" xfId="7603"/>
    <cellStyle name="Linked Cell 11 4" xfId="7604"/>
    <cellStyle name="Linked Cell 12 2" xfId="7605"/>
    <cellStyle name="Linked Cell 12 3" xfId="7606"/>
    <cellStyle name="Linked Cell 12 4" xfId="7607"/>
    <cellStyle name="Linked Cell 13 2" xfId="7608"/>
    <cellStyle name="Linked Cell 13 3" xfId="7609"/>
    <cellStyle name="Linked Cell 13 4" xfId="7610"/>
    <cellStyle name="Linked Cell 14 2" xfId="7611"/>
    <cellStyle name="Linked Cell 14 3" xfId="7612"/>
    <cellStyle name="Linked Cell 14 4" xfId="7613"/>
    <cellStyle name="Linked Cell 15 2" xfId="7614"/>
    <cellStyle name="Linked Cell 15 3" xfId="7615"/>
    <cellStyle name="Linked Cell 15 4" xfId="7616"/>
    <cellStyle name="Linked Cell 16 2" xfId="7617"/>
    <cellStyle name="Linked Cell 16 3" xfId="7618"/>
    <cellStyle name="Linked Cell 16 4" xfId="7619"/>
    <cellStyle name="Linked Cell 17 2" xfId="7620"/>
    <cellStyle name="Linked Cell 17 3" xfId="7621"/>
    <cellStyle name="Linked Cell 17 4" xfId="7622"/>
    <cellStyle name="Linked Cell 2" xfId="7623"/>
    <cellStyle name="Linked Cell 2 2" xfId="7624"/>
    <cellStyle name="Linked Cell 2 3" xfId="7625"/>
    <cellStyle name="Linked Cell 2 4" xfId="7626"/>
    <cellStyle name="Linked Cell 3" xfId="7627"/>
    <cellStyle name="Linked Cell 3 2" xfId="7628"/>
    <cellStyle name="Linked Cell 3 3" xfId="7629"/>
    <cellStyle name="Linked Cell 3 4" xfId="7630"/>
    <cellStyle name="Linked Cell 4" xfId="7631"/>
    <cellStyle name="Linked Cell 4 2" xfId="7632"/>
    <cellStyle name="Linked Cell 4 3" xfId="7633"/>
    <cellStyle name="Linked Cell 4 4" xfId="7634"/>
    <cellStyle name="Linked Cell 5" xfId="7635"/>
    <cellStyle name="Linked Cell 5 2" xfId="7636"/>
    <cellStyle name="Linked Cell 5 3" xfId="7637"/>
    <cellStyle name="Linked Cell 5 4" xfId="7638"/>
    <cellStyle name="Linked Cell 6" xfId="7639"/>
    <cellStyle name="Linked Cell 6 2" xfId="7640"/>
    <cellStyle name="Linked Cell 6 3" xfId="7641"/>
    <cellStyle name="Linked Cell 6 4" xfId="7642"/>
    <cellStyle name="Linked Cell 7 2" xfId="7643"/>
    <cellStyle name="Linked Cell 7 3" xfId="7644"/>
    <cellStyle name="Linked Cell 7 4" xfId="7645"/>
    <cellStyle name="Linked Cell 8 2" xfId="7646"/>
    <cellStyle name="Linked Cell 8 3" xfId="7647"/>
    <cellStyle name="Linked Cell 8 4" xfId="7648"/>
    <cellStyle name="Linked Cell 9 2" xfId="7649"/>
    <cellStyle name="Linked Cell 9 3" xfId="7650"/>
    <cellStyle name="Linked Cell 9 4" xfId="7651"/>
    <cellStyle name="Linked Cells" xfId="7652"/>
    <cellStyle name="LISAM" xfId="7653"/>
    <cellStyle name="Millares [0]_Grade Differentiators" xfId="7654"/>
    <cellStyle name="Millares_Grade Differentiators" xfId="7655"/>
    <cellStyle name="Milliers [0]_1" xfId="7656"/>
    <cellStyle name="Milliers_~9720173" xfId="7657"/>
    <cellStyle name="Model" xfId="7658"/>
    <cellStyle name="Moneda [0]_Grade Differentiators" xfId="7659"/>
    <cellStyle name="Moneda_Grade Differentiators" xfId="7660"/>
    <cellStyle name="Monétaire [0]_1" xfId="7661"/>
    <cellStyle name="Monétaire_~9720173" xfId="7662"/>
    <cellStyle name="ＭＳゴシック" xfId="7663"/>
    <cellStyle name="n" xfId="7664"/>
    <cellStyle name="n_Bao cao KT tuan 36" xfId="7665"/>
    <cellStyle name="N_Intimex-2007" xfId="7666"/>
    <cellStyle name="Neutral 1" xfId="7667"/>
    <cellStyle name="Neutral 10 2" xfId="7668"/>
    <cellStyle name="Neutral 10 3" xfId="7669"/>
    <cellStyle name="Neutral 10 4" xfId="7670"/>
    <cellStyle name="Neutral 11 2" xfId="7671"/>
    <cellStyle name="Neutral 11 3" xfId="7672"/>
    <cellStyle name="Neutral 11 4" xfId="7673"/>
    <cellStyle name="Neutral 12 2" xfId="7674"/>
    <cellStyle name="Neutral 12 3" xfId="7675"/>
    <cellStyle name="Neutral 12 4" xfId="7676"/>
    <cellStyle name="Neutral 13 2" xfId="7677"/>
    <cellStyle name="Neutral 13 3" xfId="7678"/>
    <cellStyle name="Neutral 13 4" xfId="7679"/>
    <cellStyle name="Neutral 14 2" xfId="7680"/>
    <cellStyle name="Neutral 14 3" xfId="7681"/>
    <cellStyle name="Neutral 14 4" xfId="7682"/>
    <cellStyle name="Neutral 15 2" xfId="7683"/>
    <cellStyle name="Neutral 15 3" xfId="7684"/>
    <cellStyle name="Neutral 15 4" xfId="7685"/>
    <cellStyle name="Neutral 16 2" xfId="7686"/>
    <cellStyle name="Neutral 16 3" xfId="7687"/>
    <cellStyle name="Neutral 16 4" xfId="7688"/>
    <cellStyle name="Neutral 17 2" xfId="7689"/>
    <cellStyle name="Neutral 17 3" xfId="7690"/>
    <cellStyle name="Neutral 17 4" xfId="7691"/>
    <cellStyle name="Neutral 2" xfId="7692"/>
    <cellStyle name="Neutral 2 2" xfId="7693"/>
    <cellStyle name="Neutral 2 3" xfId="7694"/>
    <cellStyle name="Neutral 2 4" xfId="7695"/>
    <cellStyle name="Neutral 3" xfId="7696"/>
    <cellStyle name="Neutral 3 2" xfId="7697"/>
    <cellStyle name="Neutral 3 3" xfId="7698"/>
    <cellStyle name="Neutral 3 4" xfId="7699"/>
    <cellStyle name="Neutral 4" xfId="7700"/>
    <cellStyle name="Neutral 4 2" xfId="7701"/>
    <cellStyle name="Neutral 4 3" xfId="7702"/>
    <cellStyle name="Neutral 4 4" xfId="7703"/>
    <cellStyle name="Neutral 5" xfId="7704"/>
    <cellStyle name="Neutral 5 2" xfId="7705"/>
    <cellStyle name="Neutral 5 3" xfId="7706"/>
    <cellStyle name="Neutral 5 4" xfId="7707"/>
    <cellStyle name="Neutral 6" xfId="7708"/>
    <cellStyle name="Neutral 6 2" xfId="7709"/>
    <cellStyle name="Neutral 6 3" xfId="7710"/>
    <cellStyle name="Neutral 6 4" xfId="7711"/>
    <cellStyle name="Neutral 7 2" xfId="7712"/>
    <cellStyle name="Neutral 7 3" xfId="7713"/>
    <cellStyle name="Neutral 7 4" xfId="7714"/>
    <cellStyle name="Neutral 8 2" xfId="7715"/>
    <cellStyle name="Neutral 8 3" xfId="7716"/>
    <cellStyle name="Neutral 8 4" xfId="7717"/>
    <cellStyle name="Neutral 9 2" xfId="7718"/>
    <cellStyle name="Neutral 9 3" xfId="7719"/>
    <cellStyle name="Neutral 9 4" xfId="7720"/>
    <cellStyle name="Neutre" xfId="7721"/>
    <cellStyle name="No" xfId="7722"/>
    <cellStyle name="no dec" xfId="7723"/>
    <cellStyle name="no dec 2" xfId="7724"/>
    <cellStyle name="no dec 3" xfId="7725"/>
    <cellStyle name="no dec 4" xfId="7726"/>
    <cellStyle name="no dec 5" xfId="7727"/>
    <cellStyle name="no dec 6" xfId="7728"/>
    <cellStyle name="no dec 7" xfId="7729"/>
    <cellStyle name="no dec 8" xfId="7730"/>
    <cellStyle name="ÑONVÒ" xfId="7731"/>
    <cellStyle name="Normal" xfId="0" builtinId="0"/>
    <cellStyle name="Normal - Style1" xfId="7732"/>
    <cellStyle name="Normal - Style5" xfId="7733"/>
    <cellStyle name="Normal 1" xfId="7734"/>
    <cellStyle name="Normal 10" xfId="7735"/>
    <cellStyle name="Normal 10 2" xfId="7736"/>
    <cellStyle name="Normal 10 2 2" xfId="7737"/>
    <cellStyle name="Normal 10 2 3" xfId="7738"/>
    <cellStyle name="Normal 10 2 4" xfId="7739"/>
    <cellStyle name="Normal 10 2 5" xfId="7740"/>
    <cellStyle name="Normal 10 2 6" xfId="7741"/>
    <cellStyle name="Normal 10 3" xfId="7742"/>
    <cellStyle name="Normal 10 3 10" xfId="7743"/>
    <cellStyle name="Normal 10 3 10 2" xfId="7744"/>
    <cellStyle name="Normal 10 3 10 3" xfId="7745"/>
    <cellStyle name="Normal 10 3 10 4" xfId="7746"/>
    <cellStyle name="Normal 10 3 10 5" xfId="7747"/>
    <cellStyle name="Normal 10 3 11" xfId="7748"/>
    <cellStyle name="Normal 10 3 12" xfId="7749"/>
    <cellStyle name="Normal 10 3 13" xfId="7750"/>
    <cellStyle name="Normal 10 3 14" xfId="7751"/>
    <cellStyle name="Normal 10 3 15" xfId="7752"/>
    <cellStyle name="Normal 10 3 16" xfId="7753"/>
    <cellStyle name="Normal 10 3 2" xfId="7754"/>
    <cellStyle name="Normal 10 3 2 10" xfId="7755"/>
    <cellStyle name="Normal 10 3 2 2" xfId="7756"/>
    <cellStyle name="Normal 10 3 2 2 2" xfId="7757"/>
    <cellStyle name="Normal 10 3 2 2 2 2" xfId="7758"/>
    <cellStyle name="Normal 10 3 2 2 2 3" xfId="7759"/>
    <cellStyle name="Normal 10 3 2 2 2 4" xfId="7760"/>
    <cellStyle name="Normal 10 3 2 2 3" xfId="7761"/>
    <cellStyle name="Normal 10 3 2 2 4" xfId="7762"/>
    <cellStyle name="Normal 10 3 2 2 5" xfId="7763"/>
    <cellStyle name="Normal 10 3 2 2 6" xfId="7764"/>
    <cellStyle name="Normal 10 3 2 2 7" xfId="7765"/>
    <cellStyle name="Normal 10 3 2 2 8" xfId="7766"/>
    <cellStyle name="Normal 10 3 2 2 9" xfId="7767"/>
    <cellStyle name="Normal 10 3 2 3" xfId="7768"/>
    <cellStyle name="Normal 10 3 2 3 2" xfId="7769"/>
    <cellStyle name="Normal 10 3 2 3 3" xfId="7770"/>
    <cellStyle name="Normal 10 3 2 3 4" xfId="7771"/>
    <cellStyle name="Normal 10 3 2 3 5" xfId="7772"/>
    <cellStyle name="Normal 10 3 2 3 6" xfId="7773"/>
    <cellStyle name="Normal 10 3 2 3 7" xfId="7774"/>
    <cellStyle name="Normal 10 3 2 3 8" xfId="7775"/>
    <cellStyle name="Normal 10 3 2 4" xfId="7776"/>
    <cellStyle name="Normal 10 3 2 5" xfId="7777"/>
    <cellStyle name="Normal 10 3 2 6" xfId="7778"/>
    <cellStyle name="Normal 10 3 2 7" xfId="7779"/>
    <cellStyle name="Normal 10 3 2 8" xfId="7780"/>
    <cellStyle name="Normal 10 3 2 9" xfId="7781"/>
    <cellStyle name="Normal 10 3 3" xfId="7782"/>
    <cellStyle name="Normal 10 3 3 10" xfId="7783"/>
    <cellStyle name="Normal 10 3 3 2" xfId="7784"/>
    <cellStyle name="Normal 10 3 3 2 2" xfId="7785"/>
    <cellStyle name="Normal 10 3 3 2 2 2" xfId="7786"/>
    <cellStyle name="Normal 10 3 3 2 2 3" xfId="7787"/>
    <cellStyle name="Normal 10 3 3 2 2 4" xfId="7788"/>
    <cellStyle name="Normal 10 3 3 2 3" xfId="7789"/>
    <cellStyle name="Normal 10 3 3 2 4" xfId="7790"/>
    <cellStyle name="Normal 10 3 3 2 5" xfId="7791"/>
    <cellStyle name="Normal 10 3 3 2 6" xfId="7792"/>
    <cellStyle name="Normal 10 3 3 2 7" xfId="7793"/>
    <cellStyle name="Normal 10 3 3 2 8" xfId="7794"/>
    <cellStyle name="Normal 10 3 3 2 9" xfId="7795"/>
    <cellStyle name="Normal 10 3 3 3" xfId="7796"/>
    <cellStyle name="Normal 10 3 3 3 2" xfId="7797"/>
    <cellStyle name="Normal 10 3 3 3 3" xfId="7798"/>
    <cellStyle name="Normal 10 3 3 3 4" xfId="7799"/>
    <cellStyle name="Normal 10 3 3 3 5" xfId="7800"/>
    <cellStyle name="Normal 10 3 3 3 6" xfId="7801"/>
    <cellStyle name="Normal 10 3 3 3 7" xfId="7802"/>
    <cellStyle name="Normal 10 3 3 3 8" xfId="7803"/>
    <cellStyle name="Normal 10 3 3 4" xfId="7804"/>
    <cellStyle name="Normal 10 3 3 5" xfId="7805"/>
    <cellStyle name="Normal 10 3 3 6" xfId="7806"/>
    <cellStyle name="Normal 10 3 3 7" xfId="7807"/>
    <cellStyle name="Normal 10 3 3 8" xfId="7808"/>
    <cellStyle name="Normal 10 3 3 9" xfId="7809"/>
    <cellStyle name="Normal 10 3 4" xfId="7810"/>
    <cellStyle name="Normal 10 3 4 2" xfId="7811"/>
    <cellStyle name="Normal 10 3 4 2 2" xfId="7812"/>
    <cellStyle name="Normal 10 3 4 2 3" xfId="7813"/>
    <cellStyle name="Normal 10 3 4 2 4" xfId="7814"/>
    <cellStyle name="Normal 10 3 4 2 5" xfId="7815"/>
    <cellStyle name="Normal 10 3 4 2 6" xfId="7816"/>
    <cellStyle name="Normal 10 3 4 2 7" xfId="7817"/>
    <cellStyle name="Normal 10 3 4 2 8" xfId="7818"/>
    <cellStyle name="Normal 10 3 4 3" xfId="7819"/>
    <cellStyle name="Normal 10 3 4 3 2" xfId="7820"/>
    <cellStyle name="Normal 10 3 4 3 3" xfId="7821"/>
    <cellStyle name="Normal 10 3 4 3 4" xfId="7822"/>
    <cellStyle name="Normal 10 3 4 3 5" xfId="7823"/>
    <cellStyle name="Normal 10 3 4 4" xfId="7824"/>
    <cellStyle name="Normal 10 3 4 5" xfId="7825"/>
    <cellStyle name="Normal 10 3 4 6" xfId="7826"/>
    <cellStyle name="Normal 10 3 4 7" xfId="7827"/>
    <cellStyle name="Normal 10 3 4 8" xfId="7828"/>
    <cellStyle name="Normal 10 3 4 9" xfId="7829"/>
    <cellStyle name="Normal 10 3 5" xfId="7830"/>
    <cellStyle name="Normal 10 3 5 2" xfId="7831"/>
    <cellStyle name="Normal 10 3 5 2 2" xfId="7832"/>
    <cellStyle name="Normal 10 3 5 2 3" xfId="7833"/>
    <cellStyle name="Normal 10 3 5 2 4" xfId="7834"/>
    <cellStyle name="Normal 10 3 5 3" xfId="7835"/>
    <cellStyle name="Normal 10 3 5 4" xfId="7836"/>
    <cellStyle name="Normal 10 3 5 5" xfId="7837"/>
    <cellStyle name="Normal 10 3 5 6" xfId="7838"/>
    <cellStyle name="Normal 10 3 5 7" xfId="7839"/>
    <cellStyle name="Normal 10 3 5 8" xfId="7840"/>
    <cellStyle name="Normal 10 3 5 9" xfId="7841"/>
    <cellStyle name="Normal 10 3 6" xfId="7842"/>
    <cellStyle name="Normal 10 3 6 2" xfId="7843"/>
    <cellStyle name="Normal 10 3 6 3" xfId="7844"/>
    <cellStyle name="Normal 10 3 6 4" xfId="7845"/>
    <cellStyle name="Normal 10 3 6 5" xfId="7846"/>
    <cellStyle name="Normal 10 3 6 6" xfId="7847"/>
    <cellStyle name="Normal 10 3 6 7" xfId="7848"/>
    <cellStyle name="Normal 10 3 6 8" xfId="7849"/>
    <cellStyle name="Normal 10 3 7" xfId="7850"/>
    <cellStyle name="Normal 10 3 7 2" xfId="7851"/>
    <cellStyle name="Normal 10 3 7 3" xfId="7852"/>
    <cellStyle name="Normal 10 3 7 4" xfId="7853"/>
    <cellStyle name="Normal 10 3 7 5" xfId="7854"/>
    <cellStyle name="Normal 10 3 7 6" xfId="7855"/>
    <cellStyle name="Normal 10 3 7 7" xfId="7856"/>
    <cellStyle name="Normal 10 3 7 8" xfId="7857"/>
    <cellStyle name="Normal 10 3 8" xfId="7858"/>
    <cellStyle name="Normal 10 3 8 2" xfId="7859"/>
    <cellStyle name="Normal 10 3 8 3" xfId="7860"/>
    <cellStyle name="Normal 10 3 8 4" xfId="7861"/>
    <cellStyle name="Normal 10 3 8 5" xfId="7862"/>
    <cellStyle name="Normal 10 3 8 6" xfId="7863"/>
    <cellStyle name="Normal 10 3 8 7" xfId="7864"/>
    <cellStyle name="Normal 10 3 8 8" xfId="7865"/>
    <cellStyle name="Normal 10 3 9" xfId="7866"/>
    <cellStyle name="Normal 10 3 9 2" xfId="7867"/>
    <cellStyle name="Normal 10 3 9 3" xfId="7868"/>
    <cellStyle name="Normal 10 3 9 4" xfId="7869"/>
    <cellStyle name="Normal 10 3 9 5" xfId="7870"/>
    <cellStyle name="Normal 10 4" xfId="7871"/>
    <cellStyle name="Normal 10 4 2" xfId="7872"/>
    <cellStyle name="Normal 10 4 3" xfId="7873"/>
    <cellStyle name="Normal 10 4 4" xfId="7874"/>
    <cellStyle name="Normal 10 4 5" xfId="7875"/>
    <cellStyle name="Normal 10 5" xfId="7876"/>
    <cellStyle name="Normal 10 5 2" xfId="7877"/>
    <cellStyle name="Normal 10 5 3" xfId="7878"/>
    <cellStyle name="Normal 10 5 4" xfId="7879"/>
    <cellStyle name="Normal 10 5 5" xfId="7880"/>
    <cellStyle name="Normal 10 6" xfId="7881"/>
    <cellStyle name="Normal 10 7" xfId="7882"/>
    <cellStyle name="Normal 10 8" xfId="7883"/>
    <cellStyle name="Normal 10 9" xfId="7884"/>
    <cellStyle name="Normal 100" xfId="7885"/>
    <cellStyle name="Normal 101" xfId="7886"/>
    <cellStyle name="Normal 102" xfId="7887"/>
    <cellStyle name="Normal 103" xfId="7888"/>
    <cellStyle name="Normal 104" xfId="7889"/>
    <cellStyle name="Normal 105" xfId="7890"/>
    <cellStyle name="Normal 106" xfId="7891"/>
    <cellStyle name="Normal 107" xfId="7892"/>
    <cellStyle name="Normal 108" xfId="7893"/>
    <cellStyle name="Normal 109" xfId="7894"/>
    <cellStyle name="Normal 10pt" xfId="7895"/>
    <cellStyle name="Normal 11" xfId="7896"/>
    <cellStyle name="Normal 11 10" xfId="7897"/>
    <cellStyle name="Normal 11 11" xfId="7898"/>
    <cellStyle name="Normal 11 12" xfId="7899"/>
    <cellStyle name="Normal 11 13" xfId="7900"/>
    <cellStyle name="Normal 11 14" xfId="7901"/>
    <cellStyle name="Normal 11 15" xfId="7902"/>
    <cellStyle name="Normal 11 16" xfId="7903"/>
    <cellStyle name="Normal 11 17" xfId="7904"/>
    <cellStyle name="Normal 11 2" xfId="7905"/>
    <cellStyle name="Normal 11 2 10" xfId="7906"/>
    <cellStyle name="Normal 11 2 11" xfId="7907"/>
    <cellStyle name="Normal 11 2 12" xfId="7908"/>
    <cellStyle name="Normal 11 2 13" xfId="7909"/>
    <cellStyle name="Normal 11 2 2" xfId="7910"/>
    <cellStyle name="Normal 11 2 2 2" xfId="7911"/>
    <cellStyle name="Normal 11 2 2 3" xfId="7912"/>
    <cellStyle name="Normal 11 2 2 4" xfId="7913"/>
    <cellStyle name="Normal 11 2 2 5" xfId="7914"/>
    <cellStyle name="Normal 11 2 3" xfId="7915"/>
    <cellStyle name="Normal 11 2 3 2" xfId="7916"/>
    <cellStyle name="Normal 11 2 3 3" xfId="7917"/>
    <cellStyle name="Normal 11 2 3 4" xfId="7918"/>
    <cellStyle name="Normal 11 2 3 5" xfId="7919"/>
    <cellStyle name="Normal 11 2 4" xfId="7920"/>
    <cellStyle name="Normal 11 2 5" xfId="7921"/>
    <cellStyle name="Normal 11 2 6" xfId="7922"/>
    <cellStyle name="Normal 11 2 7" xfId="7923"/>
    <cellStyle name="Normal 11 2 8" xfId="7924"/>
    <cellStyle name="Normal 11 2 9" xfId="7925"/>
    <cellStyle name="Normal 11 3" xfId="7926"/>
    <cellStyle name="Normal 11 3 10" xfId="7927"/>
    <cellStyle name="Normal 11 3 11" xfId="7928"/>
    <cellStyle name="Normal 11 3 2" xfId="7929"/>
    <cellStyle name="Normal 11 3 2 2" xfId="7930"/>
    <cellStyle name="Normal 11 3 2 2 2" xfId="7931"/>
    <cellStyle name="Normal 11 3 2 2 3" xfId="7932"/>
    <cellStyle name="Normal 11 3 2 2 4" xfId="7933"/>
    <cellStyle name="Normal 11 3 2 3" xfId="7934"/>
    <cellStyle name="Normal 11 3 2 4" xfId="7935"/>
    <cellStyle name="Normal 11 3 2 5" xfId="7936"/>
    <cellStyle name="Normal 11 3 2 6" xfId="7937"/>
    <cellStyle name="Normal 11 3 2 7" xfId="7938"/>
    <cellStyle name="Normal 11 3 2 8" xfId="7939"/>
    <cellStyle name="Normal 11 3 2 9" xfId="7940"/>
    <cellStyle name="Normal 11 3 3" xfId="7941"/>
    <cellStyle name="Normal 11 3 3 2" xfId="7942"/>
    <cellStyle name="Normal 11 3 3 3" xfId="7943"/>
    <cellStyle name="Normal 11 3 3 4" xfId="7944"/>
    <cellStyle name="Normal 11 3 3 5" xfId="7945"/>
    <cellStyle name="Normal 11 3 3 6" xfId="7946"/>
    <cellStyle name="Normal 11 3 3 7" xfId="7947"/>
    <cellStyle name="Normal 11 3 3 8" xfId="7948"/>
    <cellStyle name="Normal 11 3 4" xfId="7949"/>
    <cellStyle name="Normal 11 3 4 2" xfId="7950"/>
    <cellStyle name="Normal 11 3 4 3" xfId="7951"/>
    <cellStyle name="Normal 11 3 4 4" xfId="7952"/>
    <cellStyle name="Normal 11 3 4 5" xfId="7953"/>
    <cellStyle name="Normal 11 3 5" xfId="7954"/>
    <cellStyle name="Normal 11 3 5 2" xfId="7955"/>
    <cellStyle name="Normal 11 3 5 3" xfId="7956"/>
    <cellStyle name="Normal 11 3 5 4" xfId="7957"/>
    <cellStyle name="Normal 11 3 5 5" xfId="7958"/>
    <cellStyle name="Normal 11 3 6" xfId="7959"/>
    <cellStyle name="Normal 11 3 6 2" xfId="7960"/>
    <cellStyle name="Normal 11 3 6 3" xfId="7961"/>
    <cellStyle name="Normal 11 3 6 4" xfId="7962"/>
    <cellStyle name="Normal 11 3 6 5" xfId="7963"/>
    <cellStyle name="Normal 11 3 7" xfId="7964"/>
    <cellStyle name="Normal 11 3 8" xfId="7965"/>
    <cellStyle name="Normal 11 3 9" xfId="7966"/>
    <cellStyle name="Normal 11 4" xfId="7967"/>
    <cellStyle name="Normal 11 4 10" xfId="7968"/>
    <cellStyle name="Normal 11 4 11" xfId="7969"/>
    <cellStyle name="Normal 11 4 2" xfId="7970"/>
    <cellStyle name="Normal 11 4 2 2" xfId="7971"/>
    <cellStyle name="Normal 11 4 2 2 2" xfId="7972"/>
    <cellStyle name="Normal 11 4 2 2 3" xfId="7973"/>
    <cellStyle name="Normal 11 4 2 2 4" xfId="7974"/>
    <cellStyle name="Normal 11 4 2 3" xfId="7975"/>
    <cellStyle name="Normal 11 4 2 4" xfId="7976"/>
    <cellStyle name="Normal 11 4 2 5" xfId="7977"/>
    <cellStyle name="Normal 11 4 2 6" xfId="7978"/>
    <cellStyle name="Normal 11 4 2 7" xfId="7979"/>
    <cellStyle name="Normal 11 4 2 8" xfId="7980"/>
    <cellStyle name="Normal 11 4 2 9" xfId="7981"/>
    <cellStyle name="Normal 11 4 3" xfId="7982"/>
    <cellStyle name="Normal 11 4 3 2" xfId="7983"/>
    <cellStyle name="Normal 11 4 3 3" xfId="7984"/>
    <cellStyle name="Normal 11 4 3 4" xfId="7985"/>
    <cellStyle name="Normal 11 4 3 5" xfId="7986"/>
    <cellStyle name="Normal 11 4 3 6" xfId="7987"/>
    <cellStyle name="Normal 11 4 3 7" xfId="7988"/>
    <cellStyle name="Normal 11 4 3 8" xfId="7989"/>
    <cellStyle name="Normal 11 4 4" xfId="7990"/>
    <cellStyle name="Normal 11 4 4 2" xfId="7991"/>
    <cellStyle name="Normal 11 4 4 3" xfId="7992"/>
    <cellStyle name="Normal 11 4 4 4" xfId="7993"/>
    <cellStyle name="Normal 11 4 4 5" xfId="7994"/>
    <cellStyle name="Normal 11 4 5" xfId="7995"/>
    <cellStyle name="Normal 11 4 5 2" xfId="7996"/>
    <cellStyle name="Normal 11 4 5 3" xfId="7997"/>
    <cellStyle name="Normal 11 4 5 4" xfId="7998"/>
    <cellStyle name="Normal 11 4 5 5" xfId="7999"/>
    <cellStyle name="Normal 11 4 6" xfId="8000"/>
    <cellStyle name="Normal 11 4 6 2" xfId="8001"/>
    <cellStyle name="Normal 11 4 6 3" xfId="8002"/>
    <cellStyle name="Normal 11 4 6 4" xfId="8003"/>
    <cellStyle name="Normal 11 4 6 5" xfId="8004"/>
    <cellStyle name="Normal 11 4 7" xfId="8005"/>
    <cellStyle name="Normal 11 4 8" xfId="8006"/>
    <cellStyle name="Normal 11 4 9" xfId="8007"/>
    <cellStyle name="Normal 11 5" xfId="8008"/>
    <cellStyle name="Normal 11 5 2" xfId="8009"/>
    <cellStyle name="Normal 11 5 2 2" xfId="8010"/>
    <cellStyle name="Normal 11 5 2 3" xfId="8011"/>
    <cellStyle name="Normal 11 5 2 4" xfId="8012"/>
    <cellStyle name="Normal 11 5 3" xfId="8013"/>
    <cellStyle name="Normal 11 5 4" xfId="8014"/>
    <cellStyle name="Normal 11 5 5" xfId="8015"/>
    <cellStyle name="Normal 11 5 6" xfId="8016"/>
    <cellStyle name="Normal 11 5 7" xfId="8017"/>
    <cellStyle name="Normal 11 5 8" xfId="8018"/>
    <cellStyle name="Normal 11 5 9" xfId="8019"/>
    <cellStyle name="Normal 11 6" xfId="8020"/>
    <cellStyle name="Normal 11 6 2" xfId="8021"/>
    <cellStyle name="Normal 11 6 2 2" xfId="8022"/>
    <cellStyle name="Normal 11 6 2 3" xfId="8023"/>
    <cellStyle name="Normal 11 6 2 4" xfId="8024"/>
    <cellStyle name="Normal 11 6 3" xfId="8025"/>
    <cellStyle name="Normal 11 6 4" xfId="8026"/>
    <cellStyle name="Normal 11 6 5" xfId="8027"/>
    <cellStyle name="Normal 11 6 6" xfId="8028"/>
    <cellStyle name="Normal 11 6 7" xfId="8029"/>
    <cellStyle name="Normal 11 6 8" xfId="8030"/>
    <cellStyle name="Normal 11 6 9" xfId="8031"/>
    <cellStyle name="Normal 11 7" xfId="8032"/>
    <cellStyle name="Normal 11 7 2" xfId="8033"/>
    <cellStyle name="Normal 11 7 3" xfId="8034"/>
    <cellStyle name="Normal 11 7 4" xfId="8035"/>
    <cellStyle name="Normal 11 7 5" xfId="8036"/>
    <cellStyle name="Normal 11 7 6" xfId="8037"/>
    <cellStyle name="Normal 11 7 7" xfId="8038"/>
    <cellStyle name="Normal 11 7 8" xfId="8039"/>
    <cellStyle name="Normal 11 8" xfId="8040"/>
    <cellStyle name="Normal 11 8 2" xfId="8041"/>
    <cellStyle name="Normal 11 8 3" xfId="8042"/>
    <cellStyle name="Normal 11 8 4" xfId="8043"/>
    <cellStyle name="Normal 11 9" xfId="8044"/>
    <cellStyle name="Normal 11 9 2" xfId="8045"/>
    <cellStyle name="Normal 11 9 3" xfId="8046"/>
    <cellStyle name="Normal 11 9 4" xfId="8047"/>
    <cellStyle name="Normal 110" xfId="8048"/>
    <cellStyle name="Normal 111" xfId="8049"/>
    <cellStyle name="Normal 112" xfId="8050"/>
    <cellStyle name="Normal 113" xfId="8051"/>
    <cellStyle name="Normal 114" xfId="8052"/>
    <cellStyle name="Normal 115" xfId="8053"/>
    <cellStyle name="Normal 116" xfId="8054"/>
    <cellStyle name="Normal 117" xfId="8055"/>
    <cellStyle name="Normal 118" xfId="8056"/>
    <cellStyle name="Normal 119" xfId="8057"/>
    <cellStyle name="Normal 12" xfId="8058"/>
    <cellStyle name="Normal 12 10" xfId="8059"/>
    <cellStyle name="Normal 12 11" xfId="8060"/>
    <cellStyle name="Normal 12 12" xfId="8061"/>
    <cellStyle name="Normal 12 13" xfId="8062"/>
    <cellStyle name="Normal 12 14" xfId="8063"/>
    <cellStyle name="Normal 12 15" xfId="8064"/>
    <cellStyle name="Normal 12 2" xfId="8065"/>
    <cellStyle name="Normal 12 2 10" xfId="8066"/>
    <cellStyle name="Normal 12 2 11" xfId="8067"/>
    <cellStyle name="Normal 12 2 2" xfId="8068"/>
    <cellStyle name="Normal 12 2 2 2" xfId="8069"/>
    <cellStyle name="Normal 12 2 2 2 2" xfId="8070"/>
    <cellStyle name="Normal 12 2 2 2 3" xfId="8071"/>
    <cellStyle name="Normal 12 2 2 2 4" xfId="8072"/>
    <cellStyle name="Normal 12 2 2 3" xfId="8073"/>
    <cellStyle name="Normal 12 2 2 4" xfId="8074"/>
    <cellStyle name="Normal 12 2 2 5" xfId="8075"/>
    <cellStyle name="Normal 12 2 2 6" xfId="8076"/>
    <cellStyle name="Normal 12 2 2 7" xfId="8077"/>
    <cellStyle name="Normal 12 2 2 8" xfId="8078"/>
    <cellStyle name="Normal 12 2 2 9" xfId="8079"/>
    <cellStyle name="Normal 12 2 3" xfId="8080"/>
    <cellStyle name="Normal 12 2 3 2" xfId="8081"/>
    <cellStyle name="Normal 12 2 3 3" xfId="8082"/>
    <cellStyle name="Normal 12 2 3 4" xfId="8083"/>
    <cellStyle name="Normal 12 2 3 5" xfId="8084"/>
    <cellStyle name="Normal 12 2 3 6" xfId="8085"/>
    <cellStyle name="Normal 12 2 3 7" xfId="8086"/>
    <cellStyle name="Normal 12 2 3 8" xfId="8087"/>
    <cellStyle name="Normal 12 2 4" xfId="8088"/>
    <cellStyle name="Normal 12 2 4 2" xfId="8089"/>
    <cellStyle name="Normal 12 2 4 3" xfId="8090"/>
    <cellStyle name="Normal 12 2 4 4" xfId="8091"/>
    <cellStyle name="Normal 12 2 4 5" xfId="8092"/>
    <cellStyle name="Normal 12 2 5" xfId="8093"/>
    <cellStyle name="Normal 12 2 5 2" xfId="8094"/>
    <cellStyle name="Normal 12 2 5 3" xfId="8095"/>
    <cellStyle name="Normal 12 2 5 4" xfId="8096"/>
    <cellStyle name="Normal 12 2 5 5" xfId="8097"/>
    <cellStyle name="Normal 12 2 6" xfId="8098"/>
    <cellStyle name="Normal 12 2 6 2" xfId="8099"/>
    <cellStyle name="Normal 12 2 6 3" xfId="8100"/>
    <cellStyle name="Normal 12 2 6 4" xfId="8101"/>
    <cellStyle name="Normal 12 2 6 5" xfId="8102"/>
    <cellStyle name="Normal 12 2 7" xfId="8103"/>
    <cellStyle name="Normal 12 2 8" xfId="8104"/>
    <cellStyle name="Normal 12 2 9" xfId="8105"/>
    <cellStyle name="Normal 12 3" xfId="8106"/>
    <cellStyle name="Normal 12 3 10" xfId="8107"/>
    <cellStyle name="Normal 12 3 11" xfId="8108"/>
    <cellStyle name="Normal 12 3 2" xfId="8109"/>
    <cellStyle name="Normal 12 3 2 2" xfId="8110"/>
    <cellStyle name="Normal 12 3 2 2 2" xfId="8111"/>
    <cellStyle name="Normal 12 3 2 2 3" xfId="8112"/>
    <cellStyle name="Normal 12 3 2 2 4" xfId="8113"/>
    <cellStyle name="Normal 12 3 2 3" xfId="8114"/>
    <cellStyle name="Normal 12 3 2 4" xfId="8115"/>
    <cellStyle name="Normal 12 3 2 5" xfId="8116"/>
    <cellStyle name="Normal 12 3 2 6" xfId="8117"/>
    <cellStyle name="Normal 12 3 2 7" xfId="8118"/>
    <cellStyle name="Normal 12 3 2 8" xfId="8119"/>
    <cellStyle name="Normal 12 3 2 9" xfId="8120"/>
    <cellStyle name="Normal 12 3 3" xfId="8121"/>
    <cellStyle name="Normal 12 3 3 2" xfId="8122"/>
    <cellStyle name="Normal 12 3 3 3" xfId="8123"/>
    <cellStyle name="Normal 12 3 3 4" xfId="8124"/>
    <cellStyle name="Normal 12 3 3 5" xfId="8125"/>
    <cellStyle name="Normal 12 3 3 6" xfId="8126"/>
    <cellStyle name="Normal 12 3 3 7" xfId="8127"/>
    <cellStyle name="Normal 12 3 3 8" xfId="8128"/>
    <cellStyle name="Normal 12 3 4" xfId="8129"/>
    <cellStyle name="Normal 12 3 4 2" xfId="8130"/>
    <cellStyle name="Normal 12 3 4 3" xfId="8131"/>
    <cellStyle name="Normal 12 3 4 4" xfId="8132"/>
    <cellStyle name="Normal 12 3 4 5" xfId="8133"/>
    <cellStyle name="Normal 12 3 5" xfId="8134"/>
    <cellStyle name="Normal 12 3 5 2" xfId="8135"/>
    <cellStyle name="Normal 12 3 5 3" xfId="8136"/>
    <cellStyle name="Normal 12 3 5 4" xfId="8137"/>
    <cellStyle name="Normal 12 3 5 5" xfId="8138"/>
    <cellStyle name="Normal 12 3 6" xfId="8139"/>
    <cellStyle name="Normal 12 3 6 2" xfId="8140"/>
    <cellStyle name="Normal 12 3 6 3" xfId="8141"/>
    <cellStyle name="Normal 12 3 6 4" xfId="8142"/>
    <cellStyle name="Normal 12 3 6 5" xfId="8143"/>
    <cellStyle name="Normal 12 3 7" xfId="8144"/>
    <cellStyle name="Normal 12 3 8" xfId="8145"/>
    <cellStyle name="Normal 12 3 9" xfId="8146"/>
    <cellStyle name="Normal 12 4" xfId="8147"/>
    <cellStyle name="Normal 12 4 10" xfId="8148"/>
    <cellStyle name="Normal 12 4 11" xfId="8149"/>
    <cellStyle name="Normal 12 4 2" xfId="8150"/>
    <cellStyle name="Normal 12 4 2 2" xfId="8151"/>
    <cellStyle name="Normal 12 4 2 3" xfId="8152"/>
    <cellStyle name="Normal 12 4 2 4" xfId="8153"/>
    <cellStyle name="Normal 12 4 2 5" xfId="8154"/>
    <cellStyle name="Normal 12 4 2 6" xfId="8155"/>
    <cellStyle name="Normal 12 4 2 7" xfId="8156"/>
    <cellStyle name="Normal 12 4 2 8" xfId="8157"/>
    <cellStyle name="Normal 12 4 3" xfId="8158"/>
    <cellStyle name="Normal 12 4 3 2" xfId="8159"/>
    <cellStyle name="Normal 12 4 3 3" xfId="8160"/>
    <cellStyle name="Normal 12 4 3 4" xfId="8161"/>
    <cellStyle name="Normal 12 4 3 5" xfId="8162"/>
    <cellStyle name="Normal 12 4 4" xfId="8163"/>
    <cellStyle name="Normal 12 4 4 2" xfId="8164"/>
    <cellStyle name="Normal 12 4 4 3" xfId="8165"/>
    <cellStyle name="Normal 12 4 4 4" xfId="8166"/>
    <cellStyle name="Normal 12 4 4 5" xfId="8167"/>
    <cellStyle name="Normal 12 4 5" xfId="8168"/>
    <cellStyle name="Normal 12 4 5 2" xfId="8169"/>
    <cellStyle name="Normal 12 4 5 3" xfId="8170"/>
    <cellStyle name="Normal 12 4 5 4" xfId="8171"/>
    <cellStyle name="Normal 12 4 5 5" xfId="8172"/>
    <cellStyle name="Normal 12 4 6" xfId="8173"/>
    <cellStyle name="Normal 12 4 7" xfId="8174"/>
    <cellStyle name="Normal 12 4 8" xfId="8175"/>
    <cellStyle name="Normal 12 4 9" xfId="8176"/>
    <cellStyle name="Normal 12 5" xfId="8177"/>
    <cellStyle name="Normal 12 5 2" xfId="8178"/>
    <cellStyle name="Normal 12 5 2 2" xfId="8179"/>
    <cellStyle name="Normal 12 5 2 3" xfId="8180"/>
    <cellStyle name="Normal 12 5 2 4" xfId="8181"/>
    <cellStyle name="Normal 12 5 3" xfId="8182"/>
    <cellStyle name="Normal 12 5 4" xfId="8183"/>
    <cellStyle name="Normal 12 5 5" xfId="8184"/>
    <cellStyle name="Normal 12 5 6" xfId="8185"/>
    <cellStyle name="Normal 12 5 7" xfId="8186"/>
    <cellStyle name="Normal 12 5 8" xfId="8187"/>
    <cellStyle name="Normal 12 5 9" xfId="8188"/>
    <cellStyle name="Normal 12 6" xfId="8189"/>
    <cellStyle name="Normal 12 6 2" xfId="8190"/>
    <cellStyle name="Normal 12 6 3" xfId="8191"/>
    <cellStyle name="Normal 12 6 4" xfId="8192"/>
    <cellStyle name="Normal 12 6 5" xfId="8193"/>
    <cellStyle name="Normal 12 6 6" xfId="8194"/>
    <cellStyle name="Normal 12 6 7" xfId="8195"/>
    <cellStyle name="Normal 12 6 8" xfId="8196"/>
    <cellStyle name="Normal 12 7" xfId="8197"/>
    <cellStyle name="Normal 12 7 2" xfId="8198"/>
    <cellStyle name="Normal 12 7 3" xfId="8199"/>
    <cellStyle name="Normal 12 7 4" xfId="8200"/>
    <cellStyle name="Normal 12 8" xfId="8201"/>
    <cellStyle name="Normal 12 8 2" xfId="8202"/>
    <cellStyle name="Normal 12 8 3" xfId="8203"/>
    <cellStyle name="Normal 12 8 4" xfId="8204"/>
    <cellStyle name="Normal 12 9" xfId="8205"/>
    <cellStyle name="Normal 120" xfId="8206"/>
    <cellStyle name="Normal 121" xfId="8207"/>
    <cellStyle name="Normal 122" xfId="8208"/>
    <cellStyle name="Normal 123" xfId="8209"/>
    <cellStyle name="Normal 124" xfId="8210"/>
    <cellStyle name="Normal 125" xfId="8211"/>
    <cellStyle name="Normal 126" xfId="8212"/>
    <cellStyle name="Normal 127" xfId="8213"/>
    <cellStyle name="Normal 128" xfId="8214"/>
    <cellStyle name="Normal 129" xfId="8215"/>
    <cellStyle name="Normal 13" xfId="8216"/>
    <cellStyle name="Normal 13 10" xfId="8217"/>
    <cellStyle name="Normal 13 10 2" xfId="8218"/>
    <cellStyle name="Normal 13 10 3" xfId="8219"/>
    <cellStyle name="Normal 13 10 4" xfId="8220"/>
    <cellStyle name="Normal 13 10 5" xfId="8221"/>
    <cellStyle name="Normal 13 11" xfId="8222"/>
    <cellStyle name="Normal 13 11 2" xfId="8223"/>
    <cellStyle name="Normal 13 11 3" xfId="8224"/>
    <cellStyle name="Normal 13 11 4" xfId="8225"/>
    <cellStyle name="Normal 13 11 5" xfId="8226"/>
    <cellStyle name="Normal 13 12" xfId="8227"/>
    <cellStyle name="Normal 13 12 2" xfId="8228"/>
    <cellStyle name="Normal 13 12 3" xfId="8229"/>
    <cellStyle name="Normal 13 12 4" xfId="8230"/>
    <cellStyle name="Normal 13 12 5" xfId="8231"/>
    <cellStyle name="Normal 13 13" xfId="8232"/>
    <cellStyle name="Normal 13 14" xfId="8233"/>
    <cellStyle name="Normal 13 15" xfId="8234"/>
    <cellStyle name="Normal 13 16" xfId="8235"/>
    <cellStyle name="Normal 13 17" xfId="8236"/>
    <cellStyle name="Normal 13 2" xfId="8237"/>
    <cellStyle name="Normal 13 2 10" xfId="8238"/>
    <cellStyle name="Normal 13 2 11" xfId="8239"/>
    <cellStyle name="Normal 13 2 2" xfId="8240"/>
    <cellStyle name="Normal 13 2 2 2" xfId="8241"/>
    <cellStyle name="Normal 13 2 2 2 2" xfId="8242"/>
    <cellStyle name="Normal 13 2 2 2 3" xfId="8243"/>
    <cellStyle name="Normal 13 2 2 2 4" xfId="8244"/>
    <cellStyle name="Normal 13 2 2 3" xfId="8245"/>
    <cellStyle name="Normal 13 2 2 4" xfId="8246"/>
    <cellStyle name="Normal 13 2 2 5" xfId="8247"/>
    <cellStyle name="Normal 13 2 2 6" xfId="8248"/>
    <cellStyle name="Normal 13 2 2 7" xfId="8249"/>
    <cellStyle name="Normal 13 2 2 8" xfId="8250"/>
    <cellStyle name="Normal 13 2 2 9" xfId="8251"/>
    <cellStyle name="Normal 13 2 3" xfId="8252"/>
    <cellStyle name="Normal 13 2 3 2" xfId="8253"/>
    <cellStyle name="Normal 13 2 3 3" xfId="8254"/>
    <cellStyle name="Normal 13 2 3 4" xfId="8255"/>
    <cellStyle name="Normal 13 2 3 5" xfId="8256"/>
    <cellStyle name="Normal 13 2 3 6" xfId="8257"/>
    <cellStyle name="Normal 13 2 3 7" xfId="8258"/>
    <cellStyle name="Normal 13 2 3 8" xfId="8259"/>
    <cellStyle name="Normal 13 2 4" xfId="8260"/>
    <cellStyle name="Normal 13 2 4 2" xfId="8261"/>
    <cellStyle name="Normal 13 2 4 3" xfId="8262"/>
    <cellStyle name="Normal 13 2 4 4" xfId="8263"/>
    <cellStyle name="Normal 13 2 4 5" xfId="8264"/>
    <cellStyle name="Normal 13 2 5" xfId="8265"/>
    <cellStyle name="Normal 13 2 5 2" xfId="8266"/>
    <cellStyle name="Normal 13 2 5 3" xfId="8267"/>
    <cellStyle name="Normal 13 2 5 4" xfId="8268"/>
    <cellStyle name="Normal 13 2 5 5" xfId="8269"/>
    <cellStyle name="Normal 13 2 6" xfId="8270"/>
    <cellStyle name="Normal 13 2 6 2" xfId="8271"/>
    <cellStyle name="Normal 13 2 6 3" xfId="8272"/>
    <cellStyle name="Normal 13 2 6 4" xfId="8273"/>
    <cellStyle name="Normal 13 2 6 5" xfId="8274"/>
    <cellStyle name="Normal 13 2 7" xfId="8275"/>
    <cellStyle name="Normal 13 2 8" xfId="8276"/>
    <cellStyle name="Normal 13 2 9" xfId="8277"/>
    <cellStyle name="Normal 13 3" xfId="8278"/>
    <cellStyle name="Normal 13 3 10" xfId="8279"/>
    <cellStyle name="Normal 13 3 11" xfId="8280"/>
    <cellStyle name="Normal 13 3 2" xfId="8281"/>
    <cellStyle name="Normal 13 3 2 2" xfId="8282"/>
    <cellStyle name="Normal 13 3 2 2 2" xfId="8283"/>
    <cellStyle name="Normal 13 3 2 2 3" xfId="8284"/>
    <cellStyle name="Normal 13 3 2 2 4" xfId="8285"/>
    <cellStyle name="Normal 13 3 2 3" xfId="8286"/>
    <cellStyle name="Normal 13 3 2 4" xfId="8287"/>
    <cellStyle name="Normal 13 3 2 5" xfId="8288"/>
    <cellStyle name="Normal 13 3 2 6" xfId="8289"/>
    <cellStyle name="Normal 13 3 2 7" xfId="8290"/>
    <cellStyle name="Normal 13 3 2 8" xfId="8291"/>
    <cellStyle name="Normal 13 3 2 9" xfId="8292"/>
    <cellStyle name="Normal 13 3 3" xfId="8293"/>
    <cellStyle name="Normal 13 3 3 2" xfId="8294"/>
    <cellStyle name="Normal 13 3 3 3" xfId="8295"/>
    <cellStyle name="Normal 13 3 3 4" xfId="8296"/>
    <cellStyle name="Normal 13 3 3 5" xfId="8297"/>
    <cellStyle name="Normal 13 3 3 6" xfId="8298"/>
    <cellStyle name="Normal 13 3 3 7" xfId="8299"/>
    <cellStyle name="Normal 13 3 3 8" xfId="8300"/>
    <cellStyle name="Normal 13 3 4" xfId="8301"/>
    <cellStyle name="Normal 13 3 4 2" xfId="8302"/>
    <cellStyle name="Normal 13 3 4 3" xfId="8303"/>
    <cellStyle name="Normal 13 3 4 4" xfId="8304"/>
    <cellStyle name="Normal 13 3 4 5" xfId="8305"/>
    <cellStyle name="Normal 13 3 5" xfId="8306"/>
    <cellStyle name="Normal 13 3 5 2" xfId="8307"/>
    <cellStyle name="Normal 13 3 5 3" xfId="8308"/>
    <cellStyle name="Normal 13 3 5 4" xfId="8309"/>
    <cellStyle name="Normal 13 3 5 5" xfId="8310"/>
    <cellStyle name="Normal 13 3 6" xfId="8311"/>
    <cellStyle name="Normal 13 3 6 2" xfId="8312"/>
    <cellStyle name="Normal 13 3 6 3" xfId="8313"/>
    <cellStyle name="Normal 13 3 6 4" xfId="8314"/>
    <cellStyle name="Normal 13 3 6 5" xfId="8315"/>
    <cellStyle name="Normal 13 3 7" xfId="8316"/>
    <cellStyle name="Normal 13 3 8" xfId="8317"/>
    <cellStyle name="Normal 13 3 9" xfId="8318"/>
    <cellStyle name="Normal 13 4" xfId="8319"/>
    <cellStyle name="Normal 13 4 10" xfId="8320"/>
    <cellStyle name="Normal 13 4 11" xfId="8321"/>
    <cellStyle name="Normal 13 4 2" xfId="8322"/>
    <cellStyle name="Normal 13 4 2 2" xfId="8323"/>
    <cellStyle name="Normal 13 4 2 3" xfId="8324"/>
    <cellStyle name="Normal 13 4 2 4" xfId="8325"/>
    <cellStyle name="Normal 13 4 2 5" xfId="8326"/>
    <cellStyle name="Normal 13 4 2 6" xfId="8327"/>
    <cellStyle name="Normal 13 4 2 7" xfId="8328"/>
    <cellStyle name="Normal 13 4 2 8" xfId="8329"/>
    <cellStyle name="Normal 13 4 3" xfId="8330"/>
    <cellStyle name="Normal 13 4 3 2" xfId="8331"/>
    <cellStyle name="Normal 13 4 3 3" xfId="8332"/>
    <cellStyle name="Normal 13 4 3 4" xfId="8333"/>
    <cellStyle name="Normal 13 4 3 5" xfId="8334"/>
    <cellStyle name="Normal 13 4 4" xfId="8335"/>
    <cellStyle name="Normal 13 4 4 2" xfId="8336"/>
    <cellStyle name="Normal 13 4 4 3" xfId="8337"/>
    <cellStyle name="Normal 13 4 4 4" xfId="8338"/>
    <cellStyle name="Normal 13 4 4 5" xfId="8339"/>
    <cellStyle name="Normal 13 4 5" xfId="8340"/>
    <cellStyle name="Normal 13 4 5 2" xfId="8341"/>
    <cellStyle name="Normal 13 4 5 3" xfId="8342"/>
    <cellStyle name="Normal 13 4 5 4" xfId="8343"/>
    <cellStyle name="Normal 13 4 5 5" xfId="8344"/>
    <cellStyle name="Normal 13 4 6" xfId="8345"/>
    <cellStyle name="Normal 13 4 7" xfId="8346"/>
    <cellStyle name="Normal 13 4 8" xfId="8347"/>
    <cellStyle name="Normal 13 4 9" xfId="8348"/>
    <cellStyle name="Normal 13 5" xfId="8349"/>
    <cellStyle name="Normal 13 5 10" xfId="8350"/>
    <cellStyle name="Normal 13 5 2" xfId="8351"/>
    <cellStyle name="Normal 13 5 2 2" xfId="8352"/>
    <cellStyle name="Normal 13 5 2 2 2" xfId="8353"/>
    <cellStyle name="Normal 13 5 2 2 3" xfId="8354"/>
    <cellStyle name="Normal 13 5 2 2 4" xfId="8355"/>
    <cellStyle name="Normal 13 5 2 3" xfId="8356"/>
    <cellStyle name="Normal 13 5 2 4" xfId="8357"/>
    <cellStyle name="Normal 13 5 2 5" xfId="8358"/>
    <cellStyle name="Normal 13 5 3" xfId="8359"/>
    <cellStyle name="Normal 13 5 3 2" xfId="8360"/>
    <cellStyle name="Normal 13 5 3 3" xfId="8361"/>
    <cellStyle name="Normal 13 5 3 4" xfId="8362"/>
    <cellStyle name="Normal 13 5 4" xfId="8363"/>
    <cellStyle name="Normal 13 5 5" xfId="8364"/>
    <cellStyle name="Normal 13 5 6" xfId="8365"/>
    <cellStyle name="Normal 13 5 7" xfId="8366"/>
    <cellStyle name="Normal 13 5 8" xfId="8367"/>
    <cellStyle name="Normal 13 5 9" xfId="8368"/>
    <cellStyle name="Normal 13 6" xfId="8369"/>
    <cellStyle name="Normal 13 6 2" xfId="8370"/>
    <cellStyle name="Normal 13 6 2 2" xfId="8371"/>
    <cellStyle name="Normal 13 6 2 3" xfId="8372"/>
    <cellStyle name="Normal 13 6 2 4" xfId="8373"/>
    <cellStyle name="Normal 13 6 3" xfId="8374"/>
    <cellStyle name="Normal 13 6 4" xfId="8375"/>
    <cellStyle name="Normal 13 6 5" xfId="8376"/>
    <cellStyle name="Normal 13 6 6" xfId="8377"/>
    <cellStyle name="Normal 13 6 7" xfId="8378"/>
    <cellStyle name="Normal 13 6 8" xfId="8379"/>
    <cellStyle name="Normal 13 6 9" xfId="8380"/>
    <cellStyle name="Normal 13 7" xfId="8381"/>
    <cellStyle name="Normal 13 7 2" xfId="8382"/>
    <cellStyle name="Normal 13 7 3" xfId="8383"/>
    <cellStyle name="Normal 13 7 4" xfId="8384"/>
    <cellStyle name="Normal 13 7 5" xfId="8385"/>
    <cellStyle name="Normal 13 7 6" xfId="8386"/>
    <cellStyle name="Normal 13 7 7" xfId="8387"/>
    <cellStyle name="Normal 13 7 8" xfId="8388"/>
    <cellStyle name="Normal 13 8" xfId="8389"/>
    <cellStyle name="Normal 13 8 2" xfId="8390"/>
    <cellStyle name="Normal 13 8 3" xfId="8391"/>
    <cellStyle name="Normal 13 8 4" xfId="8392"/>
    <cellStyle name="Normal 13 8 5" xfId="8393"/>
    <cellStyle name="Normal 13 8 6" xfId="8394"/>
    <cellStyle name="Normal 13 8 7" xfId="8395"/>
    <cellStyle name="Normal 13 8 8" xfId="8396"/>
    <cellStyle name="Normal 13 9" xfId="8397"/>
    <cellStyle name="Normal 13 9 2" xfId="8398"/>
    <cellStyle name="Normal 13 9 3" xfId="8399"/>
    <cellStyle name="Normal 13 9 4" xfId="8400"/>
    <cellStyle name="Normal 13 9 5" xfId="8401"/>
    <cellStyle name="Normal 13 9 6" xfId="8402"/>
    <cellStyle name="Normal 13 9 7" xfId="8403"/>
    <cellStyle name="Normal 13 9 8" xfId="8404"/>
    <cellStyle name="Normal 130" xfId="8405"/>
    <cellStyle name="Normal 131" xfId="8406"/>
    <cellStyle name="Normal 132" xfId="8407"/>
    <cellStyle name="Normal 133" xfId="8408"/>
    <cellStyle name="Normal 134" xfId="8409"/>
    <cellStyle name="Normal 135" xfId="8410"/>
    <cellStyle name="Normal 136" xfId="8411"/>
    <cellStyle name="Normal 137" xfId="8412"/>
    <cellStyle name="Normal 138" xfId="8413"/>
    <cellStyle name="Normal 139" xfId="8414"/>
    <cellStyle name="Normal 14" xfId="8415"/>
    <cellStyle name="Normal 14 10" xfId="8416"/>
    <cellStyle name="Normal 14 11" xfId="8417"/>
    <cellStyle name="Normal 14 12" xfId="8418"/>
    <cellStyle name="Normal 14 13" xfId="8419"/>
    <cellStyle name="Normal 14 14" xfId="8420"/>
    <cellStyle name="Normal 14 15" xfId="8421"/>
    <cellStyle name="Normal 14 2" xfId="8422"/>
    <cellStyle name="Normal 14 2 10" xfId="8423"/>
    <cellStyle name="Normal 14 2 11" xfId="8424"/>
    <cellStyle name="Normal 14 2 2" xfId="8425"/>
    <cellStyle name="Normal 14 2 2 2" xfId="8426"/>
    <cellStyle name="Normal 14 2 2 2 2" xfId="8427"/>
    <cellStyle name="Normal 14 2 2 2 3" xfId="8428"/>
    <cellStyle name="Normal 14 2 2 2 4" xfId="8429"/>
    <cellStyle name="Normal 14 2 2 3" xfId="8430"/>
    <cellStyle name="Normal 14 2 2 4" xfId="8431"/>
    <cellStyle name="Normal 14 2 2 5" xfId="8432"/>
    <cellStyle name="Normal 14 2 2 6" xfId="8433"/>
    <cellStyle name="Normal 14 2 2 7" xfId="8434"/>
    <cellStyle name="Normal 14 2 2 8" xfId="8435"/>
    <cellStyle name="Normal 14 2 2 9" xfId="8436"/>
    <cellStyle name="Normal 14 2 3" xfId="8437"/>
    <cellStyle name="Normal 14 2 3 2" xfId="8438"/>
    <cellStyle name="Normal 14 2 3 3" xfId="8439"/>
    <cellStyle name="Normal 14 2 3 4" xfId="8440"/>
    <cellStyle name="Normal 14 2 3 5" xfId="8441"/>
    <cellStyle name="Normal 14 2 3 6" xfId="8442"/>
    <cellStyle name="Normal 14 2 3 7" xfId="8443"/>
    <cellStyle name="Normal 14 2 3 8" xfId="8444"/>
    <cellStyle name="Normal 14 2 4" xfId="8445"/>
    <cellStyle name="Normal 14 2 4 2" xfId="8446"/>
    <cellStyle name="Normal 14 2 4 3" xfId="8447"/>
    <cellStyle name="Normal 14 2 4 4" xfId="8448"/>
    <cellStyle name="Normal 14 2 4 5" xfId="8449"/>
    <cellStyle name="Normal 14 2 5" xfId="8450"/>
    <cellStyle name="Normal 14 2 5 2" xfId="8451"/>
    <cellStyle name="Normal 14 2 5 3" xfId="8452"/>
    <cellStyle name="Normal 14 2 5 4" xfId="8453"/>
    <cellStyle name="Normal 14 2 5 5" xfId="8454"/>
    <cellStyle name="Normal 14 2 6" xfId="8455"/>
    <cellStyle name="Normal 14 2 6 2" xfId="8456"/>
    <cellStyle name="Normal 14 2 6 3" xfId="8457"/>
    <cellStyle name="Normal 14 2 6 4" xfId="8458"/>
    <cellStyle name="Normal 14 2 6 5" xfId="8459"/>
    <cellStyle name="Normal 14 2 7" xfId="8460"/>
    <cellStyle name="Normal 14 2 8" xfId="8461"/>
    <cellStyle name="Normal 14 2 9" xfId="8462"/>
    <cellStyle name="Normal 14 3" xfId="8463"/>
    <cellStyle name="Normal 14 3 10" xfId="8464"/>
    <cellStyle name="Normal 14 3 11" xfId="8465"/>
    <cellStyle name="Normal 14 3 2" xfId="8466"/>
    <cellStyle name="Normal 14 3 2 2" xfId="8467"/>
    <cellStyle name="Normal 14 3 2 2 2" xfId="8468"/>
    <cellStyle name="Normal 14 3 2 2 3" xfId="8469"/>
    <cellStyle name="Normal 14 3 2 2 4" xfId="8470"/>
    <cellStyle name="Normal 14 3 2 3" xfId="8471"/>
    <cellStyle name="Normal 14 3 2 4" xfId="8472"/>
    <cellStyle name="Normal 14 3 2 5" xfId="8473"/>
    <cellStyle name="Normal 14 3 2 6" xfId="8474"/>
    <cellStyle name="Normal 14 3 2 7" xfId="8475"/>
    <cellStyle name="Normal 14 3 2 8" xfId="8476"/>
    <cellStyle name="Normal 14 3 2 9" xfId="8477"/>
    <cellStyle name="Normal 14 3 3" xfId="8478"/>
    <cellStyle name="Normal 14 3 3 2" xfId="8479"/>
    <cellStyle name="Normal 14 3 3 3" xfId="8480"/>
    <cellStyle name="Normal 14 3 3 4" xfId="8481"/>
    <cellStyle name="Normal 14 3 3 5" xfId="8482"/>
    <cellStyle name="Normal 14 3 3 6" xfId="8483"/>
    <cellStyle name="Normal 14 3 3 7" xfId="8484"/>
    <cellStyle name="Normal 14 3 3 8" xfId="8485"/>
    <cellStyle name="Normal 14 3 4" xfId="8486"/>
    <cellStyle name="Normal 14 3 4 2" xfId="8487"/>
    <cellStyle name="Normal 14 3 4 3" xfId="8488"/>
    <cellStyle name="Normal 14 3 4 4" xfId="8489"/>
    <cellStyle name="Normal 14 3 4 5" xfId="8490"/>
    <cellStyle name="Normal 14 3 5" xfId="8491"/>
    <cellStyle name="Normal 14 3 5 2" xfId="8492"/>
    <cellStyle name="Normal 14 3 5 3" xfId="8493"/>
    <cellStyle name="Normal 14 3 5 4" xfId="8494"/>
    <cellStyle name="Normal 14 3 5 5" xfId="8495"/>
    <cellStyle name="Normal 14 3 6" xfId="8496"/>
    <cellStyle name="Normal 14 3 6 2" xfId="8497"/>
    <cellStyle name="Normal 14 3 6 3" xfId="8498"/>
    <cellStyle name="Normal 14 3 6 4" xfId="8499"/>
    <cellStyle name="Normal 14 3 6 5" xfId="8500"/>
    <cellStyle name="Normal 14 3 7" xfId="8501"/>
    <cellStyle name="Normal 14 3 8" xfId="8502"/>
    <cellStyle name="Normal 14 3 9" xfId="8503"/>
    <cellStyle name="Normal 14 4" xfId="8504"/>
    <cellStyle name="Normal 14 4 10" xfId="8505"/>
    <cellStyle name="Normal 14 4 11" xfId="8506"/>
    <cellStyle name="Normal 14 4 2" xfId="8507"/>
    <cellStyle name="Normal 14 4 2 2" xfId="8508"/>
    <cellStyle name="Normal 14 4 2 3" xfId="8509"/>
    <cellStyle name="Normal 14 4 2 4" xfId="8510"/>
    <cellStyle name="Normal 14 4 2 5" xfId="8511"/>
    <cellStyle name="Normal 14 4 2 6" xfId="8512"/>
    <cellStyle name="Normal 14 4 2 7" xfId="8513"/>
    <cellStyle name="Normal 14 4 2 8" xfId="8514"/>
    <cellStyle name="Normal 14 4 3" xfId="8515"/>
    <cellStyle name="Normal 14 4 3 2" xfId="8516"/>
    <cellStyle name="Normal 14 4 3 3" xfId="8517"/>
    <cellStyle name="Normal 14 4 3 4" xfId="8518"/>
    <cellStyle name="Normal 14 4 3 5" xfId="8519"/>
    <cellStyle name="Normal 14 4 4" xfId="8520"/>
    <cellStyle name="Normal 14 4 4 2" xfId="8521"/>
    <cellStyle name="Normal 14 4 4 3" xfId="8522"/>
    <cellStyle name="Normal 14 4 4 4" xfId="8523"/>
    <cellStyle name="Normal 14 4 4 5" xfId="8524"/>
    <cellStyle name="Normal 14 4 5" xfId="8525"/>
    <cellStyle name="Normal 14 4 5 2" xfId="8526"/>
    <cellStyle name="Normal 14 4 5 3" xfId="8527"/>
    <cellStyle name="Normal 14 4 5 4" xfId="8528"/>
    <cellStyle name="Normal 14 4 5 5" xfId="8529"/>
    <cellStyle name="Normal 14 4 6" xfId="8530"/>
    <cellStyle name="Normal 14 4 7" xfId="8531"/>
    <cellStyle name="Normal 14 4 8" xfId="8532"/>
    <cellStyle name="Normal 14 4 9" xfId="8533"/>
    <cellStyle name="Normal 14 5" xfId="8534"/>
    <cellStyle name="Normal 14 5 2" xfId="8535"/>
    <cellStyle name="Normal 14 5 2 2" xfId="8536"/>
    <cellStyle name="Normal 14 5 2 3" xfId="8537"/>
    <cellStyle name="Normal 14 5 2 4" xfId="8538"/>
    <cellStyle name="Normal 14 5 3" xfId="8539"/>
    <cellStyle name="Normal 14 5 4" xfId="8540"/>
    <cellStyle name="Normal 14 5 5" xfId="8541"/>
    <cellStyle name="Normal 14 5 6" xfId="8542"/>
    <cellStyle name="Normal 14 5 7" xfId="8543"/>
    <cellStyle name="Normal 14 5 8" xfId="8544"/>
    <cellStyle name="Normal 14 5 9" xfId="8545"/>
    <cellStyle name="Normal 14 6" xfId="8546"/>
    <cellStyle name="Normal 14 6 2" xfId="8547"/>
    <cellStyle name="Normal 14 6 3" xfId="8548"/>
    <cellStyle name="Normal 14 6 4" xfId="8549"/>
    <cellStyle name="Normal 14 7" xfId="8550"/>
    <cellStyle name="Normal 14 7 2" xfId="8551"/>
    <cellStyle name="Normal 14 7 3" xfId="8552"/>
    <cellStyle name="Normal 14 7 4" xfId="8553"/>
    <cellStyle name="Normal 14 8" xfId="8554"/>
    <cellStyle name="Normal 14 8 2" xfId="8555"/>
    <cellStyle name="Normal 14 8 3" xfId="8556"/>
    <cellStyle name="Normal 14 8 4" xfId="8557"/>
    <cellStyle name="Normal 14 9" xfId="8558"/>
    <cellStyle name="Normal 140" xfId="8559"/>
    <cellStyle name="Normal 141" xfId="8560"/>
    <cellStyle name="Normal 142" xfId="8561"/>
    <cellStyle name="Normal 143" xfId="8562"/>
    <cellStyle name="Normal 144" xfId="8563"/>
    <cellStyle name="Normal 145" xfId="8564"/>
    <cellStyle name="Normal 146" xfId="8565"/>
    <cellStyle name="Normal 147" xfId="8566"/>
    <cellStyle name="Normal 148" xfId="8567"/>
    <cellStyle name="Normal 149" xfId="8568"/>
    <cellStyle name="Normal 15" xfId="8569"/>
    <cellStyle name="Normal 15 10" xfId="8570"/>
    <cellStyle name="Normal 15 10 2" xfId="8571"/>
    <cellStyle name="Normal 15 10 3" xfId="8572"/>
    <cellStyle name="Normal 15 10 4" xfId="8573"/>
    <cellStyle name="Normal 15 10 5" xfId="8574"/>
    <cellStyle name="Normal 15 11" xfId="8575"/>
    <cellStyle name="Normal 15 12" xfId="8576"/>
    <cellStyle name="Normal 15 13" xfId="8577"/>
    <cellStyle name="Normal 15 14" xfId="8578"/>
    <cellStyle name="Normal 15 15" xfId="8579"/>
    <cellStyle name="Normal 15 2" xfId="8580"/>
    <cellStyle name="Normal 15 2 10" xfId="8581"/>
    <cellStyle name="Normal 15 2 2" xfId="8582"/>
    <cellStyle name="Normal 15 2 2 2" xfId="8583"/>
    <cellStyle name="Normal 15 2 2 2 2" xfId="8584"/>
    <cellStyle name="Normal 15 2 2 2 3" xfId="8585"/>
    <cellStyle name="Normal 15 2 2 2 4" xfId="8586"/>
    <cellStyle name="Normal 15 2 2 3" xfId="8587"/>
    <cellStyle name="Normal 15 2 2 4" xfId="8588"/>
    <cellStyle name="Normal 15 2 2 5" xfId="8589"/>
    <cellStyle name="Normal 15 2 2 6" xfId="8590"/>
    <cellStyle name="Normal 15 2 2 7" xfId="8591"/>
    <cellStyle name="Normal 15 2 2 8" xfId="8592"/>
    <cellStyle name="Normal 15 2 2 9" xfId="8593"/>
    <cellStyle name="Normal 15 2 3" xfId="8594"/>
    <cellStyle name="Normal 15 2 3 2" xfId="8595"/>
    <cellStyle name="Normal 15 2 3 3" xfId="8596"/>
    <cellStyle name="Normal 15 2 3 4" xfId="8597"/>
    <cellStyle name="Normal 15 2 3 5" xfId="8598"/>
    <cellStyle name="Normal 15 2 3 6" xfId="8599"/>
    <cellStyle name="Normal 15 2 3 7" xfId="8600"/>
    <cellStyle name="Normal 15 2 3 8" xfId="8601"/>
    <cellStyle name="Normal 15 2 4" xfId="8602"/>
    <cellStyle name="Normal 15 2 5" xfId="8603"/>
    <cellStyle name="Normal 15 2 6" xfId="8604"/>
    <cellStyle name="Normal 15 2 7" xfId="8605"/>
    <cellStyle name="Normal 15 2 8" xfId="8606"/>
    <cellStyle name="Normal 15 2 9" xfId="8607"/>
    <cellStyle name="Normal 15 3" xfId="8608"/>
    <cellStyle name="Normal 15 3 10" xfId="8609"/>
    <cellStyle name="Normal 15 3 2" xfId="8610"/>
    <cellStyle name="Normal 15 3 2 2" xfId="8611"/>
    <cellStyle name="Normal 15 3 2 2 2" xfId="8612"/>
    <cellStyle name="Normal 15 3 2 2 3" xfId="8613"/>
    <cellStyle name="Normal 15 3 2 2 4" xfId="8614"/>
    <cellStyle name="Normal 15 3 2 3" xfId="8615"/>
    <cellStyle name="Normal 15 3 2 4" xfId="8616"/>
    <cellStyle name="Normal 15 3 2 5" xfId="8617"/>
    <cellStyle name="Normal 15 3 2 6" xfId="8618"/>
    <cellStyle name="Normal 15 3 2 7" xfId="8619"/>
    <cellStyle name="Normal 15 3 2 8" xfId="8620"/>
    <cellStyle name="Normal 15 3 2 9" xfId="8621"/>
    <cellStyle name="Normal 15 3 3" xfId="8622"/>
    <cellStyle name="Normal 15 3 3 2" xfId="8623"/>
    <cellStyle name="Normal 15 3 3 3" xfId="8624"/>
    <cellStyle name="Normal 15 3 3 4" xfId="8625"/>
    <cellStyle name="Normal 15 3 3 5" xfId="8626"/>
    <cellStyle name="Normal 15 3 3 6" xfId="8627"/>
    <cellStyle name="Normal 15 3 3 7" xfId="8628"/>
    <cellStyle name="Normal 15 3 3 8" xfId="8629"/>
    <cellStyle name="Normal 15 3 4" xfId="8630"/>
    <cellStyle name="Normal 15 3 5" xfId="8631"/>
    <cellStyle name="Normal 15 3 6" xfId="8632"/>
    <cellStyle name="Normal 15 3 7" xfId="8633"/>
    <cellStyle name="Normal 15 3 8" xfId="8634"/>
    <cellStyle name="Normal 15 3 9" xfId="8635"/>
    <cellStyle name="Normal 15 4" xfId="8636"/>
    <cellStyle name="Normal 15 4 2" xfId="8637"/>
    <cellStyle name="Normal 15 4 2 2" xfId="8638"/>
    <cellStyle name="Normal 15 4 2 3" xfId="8639"/>
    <cellStyle name="Normal 15 4 2 4" xfId="8640"/>
    <cellStyle name="Normal 15 4 2 5" xfId="8641"/>
    <cellStyle name="Normal 15 4 2 6" xfId="8642"/>
    <cellStyle name="Normal 15 4 2 7" xfId="8643"/>
    <cellStyle name="Normal 15 4 2 8" xfId="8644"/>
    <cellStyle name="Normal 15 4 3" xfId="8645"/>
    <cellStyle name="Normal 15 4 3 2" xfId="8646"/>
    <cellStyle name="Normal 15 4 3 3" xfId="8647"/>
    <cellStyle name="Normal 15 4 3 4" xfId="8648"/>
    <cellStyle name="Normal 15 4 3 5" xfId="8649"/>
    <cellStyle name="Normal 15 4 4" xfId="8650"/>
    <cellStyle name="Normal 15 4 5" xfId="8651"/>
    <cellStyle name="Normal 15 4 6" xfId="8652"/>
    <cellStyle name="Normal 15 4 7" xfId="8653"/>
    <cellStyle name="Normal 15 4 7 2" xfId="8654"/>
    <cellStyle name="Normal 15 4 8" xfId="8655"/>
    <cellStyle name="Normal 15 4 9" xfId="8656"/>
    <cellStyle name="Normal 15 5" xfId="8657"/>
    <cellStyle name="Normal 15 5 2" xfId="8658"/>
    <cellStyle name="Normal 15 5 2 2" xfId="8659"/>
    <cellStyle name="Normal 15 5 2 3" xfId="8660"/>
    <cellStyle name="Normal 15 5 2 4" xfId="8661"/>
    <cellStyle name="Normal 15 5 3" xfId="8662"/>
    <cellStyle name="Normal 15 5 4" xfId="8663"/>
    <cellStyle name="Normal 15 5 5" xfId="8664"/>
    <cellStyle name="Normal 15 5 6" xfId="8665"/>
    <cellStyle name="Normal 15 5 7" xfId="8666"/>
    <cellStyle name="Normal 15 5 8" xfId="8667"/>
    <cellStyle name="Normal 15 5 9" xfId="8668"/>
    <cellStyle name="Normal 15 6" xfId="8669"/>
    <cellStyle name="Normal 15 6 2" xfId="8670"/>
    <cellStyle name="Normal 15 6 3" xfId="8671"/>
    <cellStyle name="Normal 15 6 4" xfId="8672"/>
    <cellStyle name="Normal 15 6 5" xfId="8673"/>
    <cellStyle name="Normal 15 6 6" xfId="8674"/>
    <cellStyle name="Normal 15 6 7" xfId="8675"/>
    <cellStyle name="Normal 15 6 8" xfId="8676"/>
    <cellStyle name="Normal 15 7" xfId="8677"/>
    <cellStyle name="Normal 15 7 2" xfId="8678"/>
    <cellStyle name="Normal 15 7 3" xfId="8679"/>
    <cellStyle name="Normal 15 7 4" xfId="8680"/>
    <cellStyle name="Normal 15 7 5" xfId="8681"/>
    <cellStyle name="Normal 15 7 6" xfId="8682"/>
    <cellStyle name="Normal 15 7 7" xfId="8683"/>
    <cellStyle name="Normal 15 7 8" xfId="8684"/>
    <cellStyle name="Normal 15 8" xfId="8685"/>
    <cellStyle name="Normal 15 8 2" xfId="8686"/>
    <cellStyle name="Normal 15 8 3" xfId="8687"/>
    <cellStyle name="Normal 15 8 4" xfId="8688"/>
    <cellStyle name="Normal 15 8 5" xfId="8689"/>
    <cellStyle name="Normal 15 8 6" xfId="8690"/>
    <cellStyle name="Normal 15 8 7" xfId="8691"/>
    <cellStyle name="Normal 15 8 8" xfId="8692"/>
    <cellStyle name="Normal 15 9" xfId="8693"/>
    <cellStyle name="Normal 15 9 2" xfId="8694"/>
    <cellStyle name="Normal 15 9 3" xfId="8695"/>
    <cellStyle name="Normal 15 9 4" xfId="8696"/>
    <cellStyle name="Normal 15 9 5" xfId="8697"/>
    <cellStyle name="Normal 150" xfId="8698"/>
    <cellStyle name="Normal 151" xfId="8699"/>
    <cellStyle name="Normal 152" xfId="8700"/>
    <cellStyle name="Normal 153" xfId="8701"/>
    <cellStyle name="Normal 154" xfId="8702"/>
    <cellStyle name="Normal 155" xfId="8703"/>
    <cellStyle name="Normal 156" xfId="8704"/>
    <cellStyle name="Normal 157" xfId="8705"/>
    <cellStyle name="Normal 158" xfId="8706"/>
    <cellStyle name="Normal 159" xfId="8707"/>
    <cellStyle name="Normal 16" xfId="8708"/>
    <cellStyle name="Normal 16 10" xfId="8709"/>
    <cellStyle name="Normal 16 11" xfId="8710"/>
    <cellStyle name="Normal 16 12" xfId="8711"/>
    <cellStyle name="Normal 16 13" xfId="8712"/>
    <cellStyle name="Normal 16 14" xfId="8713"/>
    <cellStyle name="Normal 16 15" xfId="8714"/>
    <cellStyle name="Normal 16 2" xfId="8715"/>
    <cellStyle name="Normal 16 2 10" xfId="8716"/>
    <cellStyle name="Normal 16 2 11" xfId="8717"/>
    <cellStyle name="Normal 16 2 2" xfId="8718"/>
    <cellStyle name="Normal 16 2 2 2" xfId="8719"/>
    <cellStyle name="Normal 16 2 2 2 2" xfId="8720"/>
    <cellStyle name="Normal 16 2 2 2 3" xfId="8721"/>
    <cellStyle name="Normal 16 2 2 2 4" xfId="8722"/>
    <cellStyle name="Normal 16 2 2 3" xfId="8723"/>
    <cellStyle name="Normal 16 2 2 4" xfId="8724"/>
    <cellStyle name="Normal 16 2 2 5" xfId="8725"/>
    <cellStyle name="Normal 16 2 2 6" xfId="8726"/>
    <cellStyle name="Normal 16 2 2 7" xfId="8727"/>
    <cellStyle name="Normal 16 2 2 8" xfId="8728"/>
    <cellStyle name="Normal 16 2 2 9" xfId="8729"/>
    <cellStyle name="Normal 16 2 3" xfId="8730"/>
    <cellStyle name="Normal 16 2 3 2" xfId="8731"/>
    <cellStyle name="Normal 16 2 3 3" xfId="8732"/>
    <cellStyle name="Normal 16 2 3 4" xfId="8733"/>
    <cellStyle name="Normal 16 2 3 5" xfId="8734"/>
    <cellStyle name="Normal 16 2 3 6" xfId="8735"/>
    <cellStyle name="Normal 16 2 3 7" xfId="8736"/>
    <cellStyle name="Normal 16 2 3 8" xfId="8737"/>
    <cellStyle name="Normal 16 2 4" xfId="8738"/>
    <cellStyle name="Normal 16 2 4 2" xfId="8739"/>
    <cellStyle name="Normal 16 2 4 3" xfId="8740"/>
    <cellStyle name="Normal 16 2 4 4" xfId="8741"/>
    <cellStyle name="Normal 16 2 4 5" xfId="8742"/>
    <cellStyle name="Normal 16 2 5" xfId="8743"/>
    <cellStyle name="Normal 16 2 5 2" xfId="8744"/>
    <cellStyle name="Normal 16 2 5 3" xfId="8745"/>
    <cellStyle name="Normal 16 2 5 4" xfId="8746"/>
    <cellStyle name="Normal 16 2 5 5" xfId="8747"/>
    <cellStyle name="Normal 16 2 6" xfId="8748"/>
    <cellStyle name="Normal 16 2 6 2" xfId="8749"/>
    <cellStyle name="Normal 16 2 6 3" xfId="8750"/>
    <cellStyle name="Normal 16 2 6 4" xfId="8751"/>
    <cellStyle name="Normal 16 2 6 5" xfId="8752"/>
    <cellStyle name="Normal 16 2 7" xfId="8753"/>
    <cellStyle name="Normal 16 2 8" xfId="8754"/>
    <cellStyle name="Normal 16 2 9" xfId="8755"/>
    <cellStyle name="Normal 16 3" xfId="8756"/>
    <cellStyle name="Normal 16 3 10" xfId="8757"/>
    <cellStyle name="Normal 16 3 11" xfId="8758"/>
    <cellStyle name="Normal 16 3 2" xfId="8759"/>
    <cellStyle name="Normal 16 3 2 2" xfId="8760"/>
    <cellStyle name="Normal 16 3 2 2 2" xfId="8761"/>
    <cellStyle name="Normal 16 3 2 2 3" xfId="8762"/>
    <cellStyle name="Normal 16 3 2 2 4" xfId="8763"/>
    <cellStyle name="Normal 16 3 2 3" xfId="8764"/>
    <cellStyle name="Normal 16 3 2 4" xfId="8765"/>
    <cellStyle name="Normal 16 3 2 5" xfId="8766"/>
    <cellStyle name="Normal 16 3 2 6" xfId="8767"/>
    <cellStyle name="Normal 16 3 2 7" xfId="8768"/>
    <cellStyle name="Normal 16 3 2 8" xfId="8769"/>
    <cellStyle name="Normal 16 3 2 9" xfId="8770"/>
    <cellStyle name="Normal 16 3 3" xfId="8771"/>
    <cellStyle name="Normal 16 3 3 2" xfId="8772"/>
    <cellStyle name="Normal 16 3 3 3" xfId="8773"/>
    <cellStyle name="Normal 16 3 3 4" xfId="8774"/>
    <cellStyle name="Normal 16 3 3 5" xfId="8775"/>
    <cellStyle name="Normal 16 3 3 6" xfId="8776"/>
    <cellStyle name="Normal 16 3 3 7" xfId="8777"/>
    <cellStyle name="Normal 16 3 3 8" xfId="8778"/>
    <cellStyle name="Normal 16 3 4" xfId="8779"/>
    <cellStyle name="Normal 16 3 4 2" xfId="8780"/>
    <cellStyle name="Normal 16 3 4 3" xfId="8781"/>
    <cellStyle name="Normal 16 3 4 4" xfId="8782"/>
    <cellStyle name="Normal 16 3 4 5" xfId="8783"/>
    <cellStyle name="Normal 16 3 5" xfId="8784"/>
    <cellStyle name="Normal 16 3 5 2" xfId="8785"/>
    <cellStyle name="Normal 16 3 5 3" xfId="8786"/>
    <cellStyle name="Normal 16 3 5 4" xfId="8787"/>
    <cellStyle name="Normal 16 3 5 5" xfId="8788"/>
    <cellStyle name="Normal 16 3 6" xfId="8789"/>
    <cellStyle name="Normal 16 3 6 2" xfId="8790"/>
    <cellStyle name="Normal 16 3 6 3" xfId="8791"/>
    <cellStyle name="Normal 16 3 6 4" xfId="8792"/>
    <cellStyle name="Normal 16 3 6 5" xfId="8793"/>
    <cellStyle name="Normal 16 3 7" xfId="8794"/>
    <cellStyle name="Normal 16 3 8" xfId="8795"/>
    <cellStyle name="Normal 16 3 9" xfId="8796"/>
    <cellStyle name="Normal 16 4" xfId="8797"/>
    <cellStyle name="Normal 16 4 10" xfId="8798"/>
    <cellStyle name="Normal 16 4 11" xfId="8799"/>
    <cellStyle name="Normal 16 4 2" xfId="8800"/>
    <cellStyle name="Normal 16 4 2 2" xfId="8801"/>
    <cellStyle name="Normal 16 4 2 3" xfId="8802"/>
    <cellStyle name="Normal 16 4 2 4" xfId="8803"/>
    <cellStyle name="Normal 16 4 2 5" xfId="8804"/>
    <cellStyle name="Normal 16 4 2 6" xfId="8805"/>
    <cellStyle name="Normal 16 4 2 7" xfId="8806"/>
    <cellStyle name="Normal 16 4 2 8" xfId="8807"/>
    <cellStyle name="Normal 16 4 3" xfId="8808"/>
    <cellStyle name="Normal 16 4 3 2" xfId="8809"/>
    <cellStyle name="Normal 16 4 3 3" xfId="8810"/>
    <cellStyle name="Normal 16 4 3 4" xfId="8811"/>
    <cellStyle name="Normal 16 4 3 5" xfId="8812"/>
    <cellStyle name="Normal 16 4 4" xfId="8813"/>
    <cellStyle name="Normal 16 4 4 2" xfId="8814"/>
    <cellStyle name="Normal 16 4 4 3" xfId="8815"/>
    <cellStyle name="Normal 16 4 4 4" xfId="8816"/>
    <cellStyle name="Normal 16 4 4 5" xfId="8817"/>
    <cellStyle name="Normal 16 4 5" xfId="8818"/>
    <cellStyle name="Normal 16 4 5 2" xfId="8819"/>
    <cellStyle name="Normal 16 4 5 3" xfId="8820"/>
    <cellStyle name="Normal 16 4 5 4" xfId="8821"/>
    <cellStyle name="Normal 16 4 5 5" xfId="8822"/>
    <cellStyle name="Normal 16 4 6" xfId="8823"/>
    <cellStyle name="Normal 16 4 7" xfId="8824"/>
    <cellStyle name="Normal 16 4 8" xfId="8825"/>
    <cellStyle name="Normal 16 4 9" xfId="8826"/>
    <cellStyle name="Normal 16 5" xfId="8827"/>
    <cellStyle name="Normal 16 5 2" xfId="8828"/>
    <cellStyle name="Normal 16 5 2 2" xfId="8829"/>
    <cellStyle name="Normal 16 5 2 3" xfId="8830"/>
    <cellStyle name="Normal 16 5 2 4" xfId="8831"/>
    <cellStyle name="Normal 16 5 3" xfId="8832"/>
    <cellStyle name="Normal 16 5 4" xfId="8833"/>
    <cellStyle name="Normal 16 5 5" xfId="8834"/>
    <cellStyle name="Normal 16 5 6" xfId="8835"/>
    <cellStyle name="Normal 16 5 7" xfId="8836"/>
    <cellStyle name="Normal 16 5 8" xfId="8837"/>
    <cellStyle name="Normal 16 5 9" xfId="8838"/>
    <cellStyle name="Normal 16 6" xfId="8839"/>
    <cellStyle name="Normal 16 6 2" xfId="8840"/>
    <cellStyle name="Normal 16 6 3" xfId="8841"/>
    <cellStyle name="Normal 16 6 4" xfId="8842"/>
    <cellStyle name="Normal 16 7" xfId="8843"/>
    <cellStyle name="Normal 16 7 2" xfId="8844"/>
    <cellStyle name="Normal 16 7 3" xfId="8845"/>
    <cellStyle name="Normal 16 7 4" xfId="8846"/>
    <cellStyle name="Normal 16 8" xfId="8847"/>
    <cellStyle name="Normal 16 8 2" xfId="8848"/>
    <cellStyle name="Normal 16 8 3" xfId="8849"/>
    <cellStyle name="Normal 16 8 4" xfId="8850"/>
    <cellStyle name="Normal 16 9" xfId="8851"/>
    <cellStyle name="Normal 160" xfId="8852"/>
    <cellStyle name="Normal 161" xfId="8853"/>
    <cellStyle name="Normal 162" xfId="8854"/>
    <cellStyle name="Normal 163" xfId="8855"/>
    <cellStyle name="Normal 164" xfId="8856"/>
    <cellStyle name="Normal 165" xfId="8857"/>
    <cellStyle name="Normal 166" xfId="8858"/>
    <cellStyle name="Normal 167" xfId="8859"/>
    <cellStyle name="Normal 168" xfId="8860"/>
    <cellStyle name="Normal 169" xfId="8861"/>
    <cellStyle name="Normal 17" xfId="8862"/>
    <cellStyle name="Normal 17 10" xfId="8863"/>
    <cellStyle name="Normal 17 10 2" xfId="8864"/>
    <cellStyle name="Normal 17 10 3" xfId="8865"/>
    <cellStyle name="Normal 17 10 4" xfId="8866"/>
    <cellStyle name="Normal 17 10 5" xfId="8867"/>
    <cellStyle name="Normal 17 11" xfId="8868"/>
    <cellStyle name="Normal 17 11 2" xfId="8869"/>
    <cellStyle name="Normal 17 11 3" xfId="8870"/>
    <cellStyle name="Normal 17 11 4" xfId="8871"/>
    <cellStyle name="Normal 17 11 5" xfId="8872"/>
    <cellStyle name="Normal 17 12" xfId="8873"/>
    <cellStyle name="Normal 17 12 2" xfId="8874"/>
    <cellStyle name="Normal 17 13" xfId="8875"/>
    <cellStyle name="Normal 17 13 2" xfId="8876"/>
    <cellStyle name="Normal 17 14" xfId="8877"/>
    <cellStyle name="Normal 17 15" xfId="8878"/>
    <cellStyle name="Normal 17 16" xfId="8879"/>
    <cellStyle name="Normal 17 2" xfId="8880"/>
    <cellStyle name="Normal 17 2 10" xfId="8881"/>
    <cellStyle name="Normal 17 2 11" xfId="8882"/>
    <cellStyle name="Normal 17 2 2" xfId="8883"/>
    <cellStyle name="Normal 17 2 2 2" xfId="8884"/>
    <cellStyle name="Normal 17 2 2 2 2" xfId="8885"/>
    <cellStyle name="Normal 17 2 2 2 3" xfId="8886"/>
    <cellStyle name="Normal 17 2 2 2 4" xfId="8887"/>
    <cellStyle name="Normal 17 2 2 3" xfId="8888"/>
    <cellStyle name="Normal 17 2 2 4" xfId="8889"/>
    <cellStyle name="Normal 17 2 2 5" xfId="8890"/>
    <cellStyle name="Normal 17 2 2 6" xfId="8891"/>
    <cellStyle name="Normal 17 2 2 7" xfId="8892"/>
    <cellStyle name="Normal 17 2 2 8" xfId="8893"/>
    <cellStyle name="Normal 17 2 2 9" xfId="8894"/>
    <cellStyle name="Normal 17 2 3" xfId="8895"/>
    <cellStyle name="Normal 17 2 3 2" xfId="8896"/>
    <cellStyle name="Normal 17 2 3 3" xfId="8897"/>
    <cellStyle name="Normal 17 2 3 4" xfId="8898"/>
    <cellStyle name="Normal 17 2 3 5" xfId="8899"/>
    <cellStyle name="Normal 17 2 3 6" xfId="8900"/>
    <cellStyle name="Normal 17 2 3 7" xfId="8901"/>
    <cellStyle name="Normal 17 2 3 8" xfId="8902"/>
    <cellStyle name="Normal 17 2 4" xfId="8903"/>
    <cellStyle name="Normal 17 2 4 2" xfId="8904"/>
    <cellStyle name="Normal 17 2 4 3" xfId="8905"/>
    <cellStyle name="Normal 17 2 4 4" xfId="8906"/>
    <cellStyle name="Normal 17 2 4 5" xfId="8907"/>
    <cellStyle name="Normal 17 2 5" xfId="8908"/>
    <cellStyle name="Normal 17 2 5 2" xfId="8909"/>
    <cellStyle name="Normal 17 2 5 3" xfId="8910"/>
    <cellStyle name="Normal 17 2 5 4" xfId="8911"/>
    <cellStyle name="Normal 17 2 5 5" xfId="8912"/>
    <cellStyle name="Normal 17 2 6" xfId="8913"/>
    <cellStyle name="Normal 17 2 6 2" xfId="8914"/>
    <cellStyle name="Normal 17 2 6 3" xfId="8915"/>
    <cellStyle name="Normal 17 2 6 4" xfId="8916"/>
    <cellStyle name="Normal 17 2 6 5" xfId="8917"/>
    <cellStyle name="Normal 17 2 7" xfId="8918"/>
    <cellStyle name="Normal 17 2 8" xfId="8919"/>
    <cellStyle name="Normal 17 2 9" xfId="8920"/>
    <cellStyle name="Normal 17 3" xfId="8921"/>
    <cellStyle name="Normal 17 3 10" xfId="8922"/>
    <cellStyle name="Normal 17 3 11" xfId="8923"/>
    <cellStyle name="Normal 17 3 2" xfId="8924"/>
    <cellStyle name="Normal 17 3 2 2" xfId="8925"/>
    <cellStyle name="Normal 17 3 2 2 2" xfId="8926"/>
    <cellStyle name="Normal 17 3 2 2 3" xfId="8927"/>
    <cellStyle name="Normal 17 3 2 2 4" xfId="8928"/>
    <cellStyle name="Normal 17 3 2 3" xfId="8929"/>
    <cellStyle name="Normal 17 3 2 4" xfId="8930"/>
    <cellStyle name="Normal 17 3 2 5" xfId="8931"/>
    <cellStyle name="Normal 17 3 2 6" xfId="8932"/>
    <cellStyle name="Normal 17 3 2 7" xfId="8933"/>
    <cellStyle name="Normal 17 3 2 8" xfId="8934"/>
    <cellStyle name="Normal 17 3 2 9" xfId="8935"/>
    <cellStyle name="Normal 17 3 3" xfId="8936"/>
    <cellStyle name="Normal 17 3 3 2" xfId="8937"/>
    <cellStyle name="Normal 17 3 3 3" xfId="8938"/>
    <cellStyle name="Normal 17 3 3 4" xfId="8939"/>
    <cellStyle name="Normal 17 3 3 5" xfId="8940"/>
    <cellStyle name="Normal 17 3 3 6" xfId="8941"/>
    <cellStyle name="Normal 17 3 3 7" xfId="8942"/>
    <cellStyle name="Normal 17 3 3 8" xfId="8943"/>
    <cellStyle name="Normal 17 3 4" xfId="8944"/>
    <cellStyle name="Normal 17 3 4 2" xfId="8945"/>
    <cellStyle name="Normal 17 3 4 3" xfId="8946"/>
    <cellStyle name="Normal 17 3 4 4" xfId="8947"/>
    <cellStyle name="Normal 17 3 4 5" xfId="8948"/>
    <cellStyle name="Normal 17 3 5" xfId="8949"/>
    <cellStyle name="Normal 17 3 5 2" xfId="8950"/>
    <cellStyle name="Normal 17 3 5 3" xfId="8951"/>
    <cellStyle name="Normal 17 3 5 4" xfId="8952"/>
    <cellStyle name="Normal 17 3 5 5" xfId="8953"/>
    <cellStyle name="Normal 17 3 6" xfId="8954"/>
    <cellStyle name="Normal 17 3 6 2" xfId="8955"/>
    <cellStyle name="Normal 17 3 6 3" xfId="8956"/>
    <cellStyle name="Normal 17 3 6 4" xfId="8957"/>
    <cellStyle name="Normal 17 3 6 5" xfId="8958"/>
    <cellStyle name="Normal 17 3 7" xfId="8959"/>
    <cellStyle name="Normal 17 3 8" xfId="8960"/>
    <cellStyle name="Normal 17 3 9" xfId="8961"/>
    <cellStyle name="Normal 17 4" xfId="8962"/>
    <cellStyle name="Normal 17 4 10" xfId="8963"/>
    <cellStyle name="Normal 17 4 11" xfId="8964"/>
    <cellStyle name="Normal 17 4 2" xfId="8965"/>
    <cellStyle name="Normal 17 4 2 2" xfId="8966"/>
    <cellStyle name="Normal 17 4 2 3" xfId="8967"/>
    <cellStyle name="Normal 17 4 2 4" xfId="8968"/>
    <cellStyle name="Normal 17 4 2 5" xfId="8969"/>
    <cellStyle name="Normal 17 4 2 6" xfId="8970"/>
    <cellStyle name="Normal 17 4 2 7" xfId="8971"/>
    <cellStyle name="Normal 17 4 2 8" xfId="8972"/>
    <cellStyle name="Normal 17 4 3" xfId="8973"/>
    <cellStyle name="Normal 17 4 3 2" xfId="8974"/>
    <cellStyle name="Normal 17 4 3 3" xfId="8975"/>
    <cellStyle name="Normal 17 4 3 4" xfId="8976"/>
    <cellStyle name="Normal 17 4 3 5" xfId="8977"/>
    <cellStyle name="Normal 17 4 4" xfId="8978"/>
    <cellStyle name="Normal 17 4 4 2" xfId="8979"/>
    <cellStyle name="Normal 17 4 4 3" xfId="8980"/>
    <cellStyle name="Normal 17 4 4 4" xfId="8981"/>
    <cellStyle name="Normal 17 4 4 5" xfId="8982"/>
    <cellStyle name="Normal 17 4 5" xfId="8983"/>
    <cellStyle name="Normal 17 4 5 2" xfId="8984"/>
    <cellStyle name="Normal 17 4 5 3" xfId="8985"/>
    <cellStyle name="Normal 17 4 5 4" xfId="8986"/>
    <cellStyle name="Normal 17 4 5 5" xfId="8987"/>
    <cellStyle name="Normal 17 4 6" xfId="8988"/>
    <cellStyle name="Normal 17 4 7" xfId="8989"/>
    <cellStyle name="Normal 17 4 8" xfId="8990"/>
    <cellStyle name="Normal 17 4 9" xfId="8991"/>
    <cellStyle name="Normal 17 5" xfId="8992"/>
    <cellStyle name="Normal 17 5 2" xfId="8993"/>
    <cellStyle name="Normal 17 5 2 2" xfId="8994"/>
    <cellStyle name="Normal 17 5 2 3" xfId="8995"/>
    <cellStyle name="Normal 17 5 2 4" xfId="8996"/>
    <cellStyle name="Normal 17 5 2 5" xfId="8997"/>
    <cellStyle name="Normal 17 5 2 6" xfId="8998"/>
    <cellStyle name="Normal 17 5 2 7" xfId="8999"/>
    <cellStyle name="Normal 17 5 2 8" xfId="9000"/>
    <cellStyle name="Normal 17 5 3" xfId="9001"/>
    <cellStyle name="Normal 17 5 3 2" xfId="9002"/>
    <cellStyle name="Normal 17 5 3 3" xfId="9003"/>
    <cellStyle name="Normal 17 5 3 4" xfId="9004"/>
    <cellStyle name="Normal 17 5 3 5" xfId="9005"/>
    <cellStyle name="Normal 17 5 4" xfId="9006"/>
    <cellStyle name="Normal 17 5 5" xfId="9007"/>
    <cellStyle name="Normal 17 5 6" xfId="9008"/>
    <cellStyle name="Normal 17 5 7" xfId="9009"/>
    <cellStyle name="Normal 17 5 8" xfId="9010"/>
    <cellStyle name="Normal 17 5 9" xfId="9011"/>
    <cellStyle name="Normal 17 6" xfId="9012"/>
    <cellStyle name="Normal 17 6 2" xfId="9013"/>
    <cellStyle name="Normal 17 6 2 2" xfId="9014"/>
    <cellStyle name="Normal 17 6 2 3" xfId="9015"/>
    <cellStyle name="Normal 17 6 2 4" xfId="9016"/>
    <cellStyle name="Normal 17 6 2 5" xfId="9017"/>
    <cellStyle name="Normal 17 6 3" xfId="9018"/>
    <cellStyle name="Normal 17 6 3 2" xfId="9019"/>
    <cellStyle name="Normal 17 6 3 3" xfId="9020"/>
    <cellStyle name="Normal 17 6 3 4" xfId="9021"/>
    <cellStyle name="Normal 17 6 3 5" xfId="9022"/>
    <cellStyle name="Normal 17 6 4" xfId="9023"/>
    <cellStyle name="Normal 17 6 5" xfId="9024"/>
    <cellStyle name="Normal 17 6 6" xfId="9025"/>
    <cellStyle name="Normal 17 6 7" xfId="9026"/>
    <cellStyle name="Normal 17 6 8" xfId="9027"/>
    <cellStyle name="Normal 17 7" xfId="9028"/>
    <cellStyle name="Normal 17 7 2" xfId="9029"/>
    <cellStyle name="Normal 17 7 2 2" xfId="9030"/>
    <cellStyle name="Normal 17 7 2 3" xfId="9031"/>
    <cellStyle name="Normal 17 7 2 4" xfId="9032"/>
    <cellStyle name="Normal 17 7 2 5" xfId="9033"/>
    <cellStyle name="Normal 17 7 3" xfId="9034"/>
    <cellStyle name="Normal 17 7 3 2" xfId="9035"/>
    <cellStyle name="Normal 17 7 3 3" xfId="9036"/>
    <cellStyle name="Normal 17 7 3 4" xfId="9037"/>
    <cellStyle name="Normal 17 7 3 5" xfId="9038"/>
    <cellStyle name="Normal 17 7 4" xfId="9039"/>
    <cellStyle name="Normal 17 7 5" xfId="9040"/>
    <cellStyle name="Normal 17 7 6" xfId="9041"/>
    <cellStyle name="Normal 17 7 7" xfId="9042"/>
    <cellStyle name="Normal 17 7 8" xfId="9043"/>
    <cellStyle name="Normal 17 8" xfId="9044"/>
    <cellStyle name="Normal 17 8 2" xfId="9045"/>
    <cellStyle name="Normal 17 8 3" xfId="9046"/>
    <cellStyle name="Normal 17 8 4" xfId="9047"/>
    <cellStyle name="Normal 17 8 5" xfId="9048"/>
    <cellStyle name="Normal 17 8 6" xfId="9049"/>
    <cellStyle name="Normal 17 8 7" xfId="9050"/>
    <cellStyle name="Normal 17 8 8" xfId="9051"/>
    <cellStyle name="Normal 17 9" xfId="9052"/>
    <cellStyle name="Normal 17 9 2" xfId="9053"/>
    <cellStyle name="Normal 17 9 3" xfId="9054"/>
    <cellStyle name="Normal 17 9 4" xfId="9055"/>
    <cellStyle name="Normal 17 9 5" xfId="9056"/>
    <cellStyle name="Normal 170" xfId="9057"/>
    <cellStyle name="Normal 171" xfId="9058"/>
    <cellStyle name="Normal 172" xfId="9059"/>
    <cellStyle name="Normal 173" xfId="9060"/>
    <cellStyle name="Normal 174" xfId="9061"/>
    <cellStyle name="Normal 175" xfId="9062"/>
    <cellStyle name="Normal 176" xfId="9063"/>
    <cellStyle name="Normal 177" xfId="9064"/>
    <cellStyle name="Normal 178" xfId="9065"/>
    <cellStyle name="Normal 179" xfId="9066"/>
    <cellStyle name="Normal 18" xfId="9067"/>
    <cellStyle name="Normal 18 10" xfId="9068"/>
    <cellStyle name="Normal 18 10 2" xfId="9069"/>
    <cellStyle name="Normal 18 10 3" xfId="9070"/>
    <cellStyle name="Normal 18 10 4" xfId="9071"/>
    <cellStyle name="Normal 18 10 5" xfId="9072"/>
    <cellStyle name="Normal 18 11" xfId="9073"/>
    <cellStyle name="Normal 18 11 2" xfId="9074"/>
    <cellStyle name="Normal 18 11 3" xfId="9075"/>
    <cellStyle name="Normal 18 11 4" xfId="9076"/>
    <cellStyle name="Normal 18 11 5" xfId="9077"/>
    <cellStyle name="Normal 18 12" xfId="9078"/>
    <cellStyle name="Normal 18 12 2" xfId="9079"/>
    <cellStyle name="Normal 18 13" xfId="9080"/>
    <cellStyle name="Normal 18 13 2" xfId="9081"/>
    <cellStyle name="Normal 18 14" xfId="9082"/>
    <cellStyle name="Normal 18 15" xfId="9083"/>
    <cellStyle name="Normal 18 16" xfId="9084"/>
    <cellStyle name="Normal 18 2" xfId="9085"/>
    <cellStyle name="Normal 18 2 10" xfId="9086"/>
    <cellStyle name="Normal 18 2 11" xfId="9087"/>
    <cellStyle name="Normal 18 2 2" xfId="9088"/>
    <cellStyle name="Normal 18 2 2 2" xfId="9089"/>
    <cellStyle name="Normal 18 2 2 2 2" xfId="9090"/>
    <cellStyle name="Normal 18 2 2 2 3" xfId="9091"/>
    <cellStyle name="Normal 18 2 2 2 4" xfId="9092"/>
    <cellStyle name="Normal 18 2 2 3" xfId="9093"/>
    <cellStyle name="Normal 18 2 2 4" xfId="9094"/>
    <cellStyle name="Normal 18 2 2 5" xfId="9095"/>
    <cellStyle name="Normal 18 2 2 6" xfId="9096"/>
    <cellStyle name="Normal 18 2 2 7" xfId="9097"/>
    <cellStyle name="Normal 18 2 2 8" xfId="9098"/>
    <cellStyle name="Normal 18 2 2 9" xfId="9099"/>
    <cellStyle name="Normal 18 2 3" xfId="9100"/>
    <cellStyle name="Normal 18 2 3 2" xfId="9101"/>
    <cellStyle name="Normal 18 2 3 3" xfId="9102"/>
    <cellStyle name="Normal 18 2 3 4" xfId="9103"/>
    <cellStyle name="Normal 18 2 3 5" xfId="9104"/>
    <cellStyle name="Normal 18 2 3 6" xfId="9105"/>
    <cellStyle name="Normal 18 2 3 7" xfId="9106"/>
    <cellStyle name="Normal 18 2 3 8" xfId="9107"/>
    <cellStyle name="Normal 18 2 4" xfId="9108"/>
    <cellStyle name="Normal 18 2 4 2" xfId="9109"/>
    <cellStyle name="Normal 18 2 4 3" xfId="9110"/>
    <cellStyle name="Normal 18 2 4 4" xfId="9111"/>
    <cellStyle name="Normal 18 2 4 5" xfId="9112"/>
    <cellStyle name="Normal 18 2 5" xfId="9113"/>
    <cellStyle name="Normal 18 2 5 2" xfId="9114"/>
    <cellStyle name="Normal 18 2 5 3" xfId="9115"/>
    <cellStyle name="Normal 18 2 5 4" xfId="9116"/>
    <cellStyle name="Normal 18 2 5 5" xfId="9117"/>
    <cellStyle name="Normal 18 2 6" xfId="9118"/>
    <cellStyle name="Normal 18 2 6 2" xfId="9119"/>
    <cellStyle name="Normal 18 2 6 3" xfId="9120"/>
    <cellStyle name="Normal 18 2 6 4" xfId="9121"/>
    <cellStyle name="Normal 18 2 6 5" xfId="9122"/>
    <cellStyle name="Normal 18 2 7" xfId="9123"/>
    <cellStyle name="Normal 18 2 8" xfId="9124"/>
    <cellStyle name="Normal 18 2 9" xfId="9125"/>
    <cellStyle name="Normal 18 3" xfId="9126"/>
    <cellStyle name="Normal 18 3 10" xfId="9127"/>
    <cellStyle name="Normal 18 3 11" xfId="9128"/>
    <cellStyle name="Normal 18 3 2" xfId="9129"/>
    <cellStyle name="Normal 18 3 2 2" xfId="9130"/>
    <cellStyle name="Normal 18 3 2 2 2" xfId="9131"/>
    <cellStyle name="Normal 18 3 2 2 3" xfId="9132"/>
    <cellStyle name="Normal 18 3 2 2 4" xfId="9133"/>
    <cellStyle name="Normal 18 3 2 3" xfId="9134"/>
    <cellStyle name="Normal 18 3 2 4" xfId="9135"/>
    <cellStyle name="Normal 18 3 2 5" xfId="9136"/>
    <cellStyle name="Normal 18 3 2 6" xfId="9137"/>
    <cellStyle name="Normal 18 3 2 7" xfId="9138"/>
    <cellStyle name="Normal 18 3 2 8" xfId="9139"/>
    <cellStyle name="Normal 18 3 2 9" xfId="9140"/>
    <cellStyle name="Normal 18 3 3" xfId="9141"/>
    <cellStyle name="Normal 18 3 3 2" xfId="9142"/>
    <cellStyle name="Normal 18 3 3 3" xfId="9143"/>
    <cellStyle name="Normal 18 3 3 4" xfId="9144"/>
    <cellStyle name="Normal 18 3 3 5" xfId="9145"/>
    <cellStyle name="Normal 18 3 3 6" xfId="9146"/>
    <cellStyle name="Normal 18 3 3 7" xfId="9147"/>
    <cellStyle name="Normal 18 3 3 8" xfId="9148"/>
    <cellStyle name="Normal 18 3 4" xfId="9149"/>
    <cellStyle name="Normal 18 3 4 2" xfId="9150"/>
    <cellStyle name="Normal 18 3 4 3" xfId="9151"/>
    <cellStyle name="Normal 18 3 4 4" xfId="9152"/>
    <cellStyle name="Normal 18 3 4 5" xfId="9153"/>
    <cellStyle name="Normal 18 3 5" xfId="9154"/>
    <cellStyle name="Normal 18 3 5 2" xfId="9155"/>
    <cellStyle name="Normal 18 3 5 3" xfId="9156"/>
    <cellStyle name="Normal 18 3 5 4" xfId="9157"/>
    <cellStyle name="Normal 18 3 5 5" xfId="9158"/>
    <cellStyle name="Normal 18 3 6" xfId="9159"/>
    <cellStyle name="Normal 18 3 6 2" xfId="9160"/>
    <cellStyle name="Normal 18 3 6 3" xfId="9161"/>
    <cellStyle name="Normal 18 3 6 4" xfId="9162"/>
    <cellStyle name="Normal 18 3 6 5" xfId="9163"/>
    <cellStyle name="Normal 18 3 7" xfId="9164"/>
    <cellStyle name="Normal 18 3 8" xfId="9165"/>
    <cellStyle name="Normal 18 3 9" xfId="9166"/>
    <cellStyle name="Normal 18 4" xfId="9167"/>
    <cellStyle name="Normal 18 4 10" xfId="9168"/>
    <cellStyle name="Normal 18 4 11" xfId="9169"/>
    <cellStyle name="Normal 18 4 2" xfId="9170"/>
    <cellStyle name="Normal 18 4 2 2" xfId="9171"/>
    <cellStyle name="Normal 18 4 2 3" xfId="9172"/>
    <cellStyle name="Normal 18 4 2 4" xfId="9173"/>
    <cellStyle name="Normal 18 4 2 5" xfId="9174"/>
    <cellStyle name="Normal 18 4 2 6" xfId="9175"/>
    <cellStyle name="Normal 18 4 2 7" xfId="9176"/>
    <cellStyle name="Normal 18 4 2 8" xfId="9177"/>
    <cellStyle name="Normal 18 4 3" xfId="9178"/>
    <cellStyle name="Normal 18 4 3 2" xfId="9179"/>
    <cellStyle name="Normal 18 4 3 3" xfId="9180"/>
    <cellStyle name="Normal 18 4 3 4" xfId="9181"/>
    <cellStyle name="Normal 18 4 3 5" xfId="9182"/>
    <cellStyle name="Normal 18 4 4" xfId="9183"/>
    <cellStyle name="Normal 18 4 4 2" xfId="9184"/>
    <cellStyle name="Normal 18 4 4 3" xfId="9185"/>
    <cellStyle name="Normal 18 4 4 4" xfId="9186"/>
    <cellStyle name="Normal 18 4 4 5" xfId="9187"/>
    <cellStyle name="Normal 18 4 5" xfId="9188"/>
    <cellStyle name="Normal 18 4 5 2" xfId="9189"/>
    <cellStyle name="Normal 18 4 5 3" xfId="9190"/>
    <cellStyle name="Normal 18 4 5 4" xfId="9191"/>
    <cellStyle name="Normal 18 4 5 5" xfId="9192"/>
    <cellStyle name="Normal 18 4 6" xfId="9193"/>
    <cellStyle name="Normal 18 4 7" xfId="9194"/>
    <cellStyle name="Normal 18 4 8" xfId="9195"/>
    <cellStyle name="Normal 18 4 9" xfId="9196"/>
    <cellStyle name="Normal 18 5" xfId="9197"/>
    <cellStyle name="Normal 18 5 2" xfId="9198"/>
    <cellStyle name="Normal 18 5 2 2" xfId="9199"/>
    <cellStyle name="Normal 18 5 2 3" xfId="9200"/>
    <cellStyle name="Normal 18 5 2 4" xfId="9201"/>
    <cellStyle name="Normal 18 5 2 5" xfId="9202"/>
    <cellStyle name="Normal 18 5 2 6" xfId="9203"/>
    <cellStyle name="Normal 18 5 2 7" xfId="9204"/>
    <cellStyle name="Normal 18 5 2 8" xfId="9205"/>
    <cellStyle name="Normal 18 5 3" xfId="9206"/>
    <cellStyle name="Normal 18 5 3 2" xfId="9207"/>
    <cellStyle name="Normal 18 5 3 3" xfId="9208"/>
    <cellStyle name="Normal 18 5 3 4" xfId="9209"/>
    <cellStyle name="Normal 18 5 3 5" xfId="9210"/>
    <cellStyle name="Normal 18 5 4" xfId="9211"/>
    <cellStyle name="Normal 18 5 5" xfId="9212"/>
    <cellStyle name="Normal 18 5 6" xfId="9213"/>
    <cellStyle name="Normal 18 5 7" xfId="9214"/>
    <cellStyle name="Normal 18 5 8" xfId="9215"/>
    <cellStyle name="Normal 18 5 9" xfId="9216"/>
    <cellStyle name="Normal 18 6" xfId="9217"/>
    <cellStyle name="Normal 18 6 2" xfId="9218"/>
    <cellStyle name="Normal 18 6 2 2" xfId="9219"/>
    <cellStyle name="Normal 18 6 2 3" xfId="9220"/>
    <cellStyle name="Normal 18 6 2 4" xfId="9221"/>
    <cellStyle name="Normal 18 6 2 5" xfId="9222"/>
    <cellStyle name="Normal 18 6 3" xfId="9223"/>
    <cellStyle name="Normal 18 6 3 2" xfId="9224"/>
    <cellStyle name="Normal 18 6 3 3" xfId="9225"/>
    <cellStyle name="Normal 18 6 3 4" xfId="9226"/>
    <cellStyle name="Normal 18 6 3 5" xfId="9227"/>
    <cellStyle name="Normal 18 6 4" xfId="9228"/>
    <cellStyle name="Normal 18 6 5" xfId="9229"/>
    <cellStyle name="Normal 18 6 6" xfId="9230"/>
    <cellStyle name="Normal 18 6 7" xfId="9231"/>
    <cellStyle name="Normal 18 6 8" xfId="9232"/>
    <cellStyle name="Normal 18 7" xfId="9233"/>
    <cellStyle name="Normal 18 7 2" xfId="9234"/>
    <cellStyle name="Normal 18 7 2 2" xfId="9235"/>
    <cellStyle name="Normal 18 7 2 3" xfId="9236"/>
    <cellStyle name="Normal 18 7 2 4" xfId="9237"/>
    <cellStyle name="Normal 18 7 2 5" xfId="9238"/>
    <cellStyle name="Normal 18 7 3" xfId="9239"/>
    <cellStyle name="Normal 18 7 3 2" xfId="9240"/>
    <cellStyle name="Normal 18 7 3 3" xfId="9241"/>
    <cellStyle name="Normal 18 7 3 4" xfId="9242"/>
    <cellStyle name="Normal 18 7 3 5" xfId="9243"/>
    <cellStyle name="Normal 18 7 4" xfId="9244"/>
    <cellStyle name="Normal 18 7 5" xfId="9245"/>
    <cellStyle name="Normal 18 7 6" xfId="9246"/>
    <cellStyle name="Normal 18 7 7" xfId="9247"/>
    <cellStyle name="Normal 18 7 8" xfId="9248"/>
    <cellStyle name="Normal 18 8" xfId="9249"/>
    <cellStyle name="Normal 18 8 2" xfId="9250"/>
    <cellStyle name="Normal 18 8 3" xfId="9251"/>
    <cellStyle name="Normal 18 8 4" xfId="9252"/>
    <cellStyle name="Normal 18 8 5" xfId="9253"/>
    <cellStyle name="Normal 18 8 6" xfId="9254"/>
    <cellStyle name="Normal 18 8 7" xfId="9255"/>
    <cellStyle name="Normal 18 8 8" xfId="9256"/>
    <cellStyle name="Normal 18 9" xfId="9257"/>
    <cellStyle name="Normal 18 9 2" xfId="9258"/>
    <cellStyle name="Normal 18 9 3" xfId="9259"/>
    <cellStyle name="Normal 18 9 4" xfId="9260"/>
    <cellStyle name="Normal 18 9 5" xfId="9261"/>
    <cellStyle name="Normal 180" xfId="9262"/>
    <cellStyle name="Normal 181" xfId="9263"/>
    <cellStyle name="Normal 182" xfId="9264"/>
    <cellStyle name="Normal 183" xfId="9265"/>
    <cellStyle name="Normal 183 2" xfId="9266"/>
    <cellStyle name="Normal 184" xfId="9267"/>
    <cellStyle name="Normal 185" xfId="9268"/>
    <cellStyle name="Normal 186" xfId="9269"/>
    <cellStyle name="Normal 187" xfId="9270"/>
    <cellStyle name="Normal 188" xfId="9271"/>
    <cellStyle name="Normal 189" xfId="9272"/>
    <cellStyle name="Normal 19" xfId="9273"/>
    <cellStyle name="Normal 19 10" xfId="9274"/>
    <cellStyle name="Normal 19 11" xfId="9275"/>
    <cellStyle name="Normal 19 12" xfId="9276"/>
    <cellStyle name="Normal 19 13" xfId="9277"/>
    <cellStyle name="Normal 19 14" xfId="9278"/>
    <cellStyle name="Normal 19 15" xfId="9279"/>
    <cellStyle name="Normal 19 2" xfId="9280"/>
    <cellStyle name="Normal 19 2 10" xfId="9281"/>
    <cellStyle name="Normal 19 2 2" xfId="9282"/>
    <cellStyle name="Normal 19 2 2 2" xfId="9283"/>
    <cellStyle name="Normal 19 2 2 2 2" xfId="9284"/>
    <cellStyle name="Normal 19 2 2 2 3" xfId="9285"/>
    <cellStyle name="Normal 19 2 2 2 4" xfId="9286"/>
    <cellStyle name="Normal 19 2 2 3" xfId="9287"/>
    <cellStyle name="Normal 19 2 2 4" xfId="9288"/>
    <cellStyle name="Normal 19 2 2 5" xfId="9289"/>
    <cellStyle name="Normal 19 2 3" xfId="9290"/>
    <cellStyle name="Normal 19 2 3 2" xfId="9291"/>
    <cellStyle name="Normal 19 2 3 3" xfId="9292"/>
    <cellStyle name="Normal 19 2 3 4" xfId="9293"/>
    <cellStyle name="Normal 19 2 4" xfId="9294"/>
    <cellStyle name="Normal 19 2 5" xfId="9295"/>
    <cellStyle name="Normal 19 2 6" xfId="9296"/>
    <cellStyle name="Normal 19 2 7" xfId="9297"/>
    <cellStyle name="Normal 19 2 8" xfId="9298"/>
    <cellStyle name="Normal 19 2 9" xfId="9299"/>
    <cellStyle name="Normal 19 3" xfId="9300"/>
    <cellStyle name="Normal 19 3 2" xfId="9301"/>
    <cellStyle name="Normal 19 3 2 2" xfId="9302"/>
    <cellStyle name="Normal 19 3 2 2 2" xfId="9303"/>
    <cellStyle name="Normal 19 3 2 2 3" xfId="9304"/>
    <cellStyle name="Normal 19 3 2 2 4" xfId="9305"/>
    <cellStyle name="Normal 19 3 2 3" xfId="9306"/>
    <cellStyle name="Normal 19 3 2 4" xfId="9307"/>
    <cellStyle name="Normal 19 3 2 5" xfId="9308"/>
    <cellStyle name="Normal 19 3 3" xfId="9309"/>
    <cellStyle name="Normal 19 3 3 2" xfId="9310"/>
    <cellStyle name="Normal 19 3 3 3" xfId="9311"/>
    <cellStyle name="Normal 19 3 3 4" xfId="9312"/>
    <cellStyle name="Normal 19 3 4" xfId="9313"/>
    <cellStyle name="Normal 19 3 5" xfId="9314"/>
    <cellStyle name="Normal 19 3 6" xfId="9315"/>
    <cellStyle name="Normal 19 4" xfId="9316"/>
    <cellStyle name="Normal 19 4 2" xfId="9317"/>
    <cellStyle name="Normal 19 4 2 2" xfId="9318"/>
    <cellStyle name="Normal 19 4 2 3" xfId="9319"/>
    <cellStyle name="Normal 19 4 2 4" xfId="9320"/>
    <cellStyle name="Normal 19 4 3" xfId="9321"/>
    <cellStyle name="Normal 19 4 4" xfId="9322"/>
    <cellStyle name="Normal 19 4 5" xfId="9323"/>
    <cellStyle name="Normal 19 5" xfId="9324"/>
    <cellStyle name="Normal 19 5 2" xfId="9325"/>
    <cellStyle name="Normal 19 5 2 2" xfId="9326"/>
    <cellStyle name="Normal 19 5 2 3" xfId="9327"/>
    <cellStyle name="Normal 19 5 2 4" xfId="9328"/>
    <cellStyle name="Normal 19 5 3" xfId="9329"/>
    <cellStyle name="Normal 19 5 4" xfId="9330"/>
    <cellStyle name="Normal 19 5 5" xfId="9331"/>
    <cellStyle name="Normal 19 6" xfId="9332"/>
    <cellStyle name="Normal 19 6 2" xfId="9333"/>
    <cellStyle name="Normal 19 6 3" xfId="9334"/>
    <cellStyle name="Normal 19 6 4" xfId="9335"/>
    <cellStyle name="Normal 19 7" xfId="9336"/>
    <cellStyle name="Normal 19 7 2" xfId="9337"/>
    <cellStyle name="Normal 19 7 3" xfId="9338"/>
    <cellStyle name="Normal 19 7 4" xfId="9339"/>
    <cellStyle name="Normal 19 8" xfId="9340"/>
    <cellStyle name="Normal 19 8 2" xfId="9341"/>
    <cellStyle name="Normal 19 8 3" xfId="9342"/>
    <cellStyle name="Normal 19 8 4" xfId="9343"/>
    <cellStyle name="Normal 19 9" xfId="9344"/>
    <cellStyle name="Normal 190" xfId="9345"/>
    <cellStyle name="Normal 191" xfId="9346"/>
    <cellStyle name="Normal 192" xfId="9347"/>
    <cellStyle name="Normal 192 2" xfId="9348"/>
    <cellStyle name="Normal 193" xfId="9349"/>
    <cellStyle name="Normal 194" xfId="9350"/>
    <cellStyle name="Normal 195" xfId="9351"/>
    <cellStyle name="Normal 196" xfId="9352"/>
    <cellStyle name="Normal 197" xfId="9353"/>
    <cellStyle name="Normal 198" xfId="9354"/>
    <cellStyle name="Normal 199" xfId="9355"/>
    <cellStyle name="Normal 2" xfId="9356"/>
    <cellStyle name="Normal 2 10" xfId="9357"/>
    <cellStyle name="Normal 2 10 10" xfId="9358"/>
    <cellStyle name="Normal 2 10 10 2" xfId="9359"/>
    <cellStyle name="Normal 2 10 10 3" xfId="9360"/>
    <cellStyle name="Normal 2 10 10 4" xfId="9361"/>
    <cellStyle name="Normal 2 10 10 5" xfId="9362"/>
    <cellStyle name="Normal 2 10 11" xfId="9363"/>
    <cellStyle name="Normal 2 10 12" xfId="9364"/>
    <cellStyle name="Normal 2 10 13" xfId="9365"/>
    <cellStyle name="Normal 2 10 14" xfId="9366"/>
    <cellStyle name="Normal 2 10 15" xfId="9367"/>
    <cellStyle name="Normal 2 10 16" xfId="9368"/>
    <cellStyle name="Normal 2 10 2" xfId="9369"/>
    <cellStyle name="Normal 2 10 2 10" xfId="9370"/>
    <cellStyle name="Normal 2 10 2 2" xfId="9371"/>
    <cellStyle name="Normal 2 10 2 2 2" xfId="9372"/>
    <cellStyle name="Normal 2 10 2 2 3" xfId="9373"/>
    <cellStyle name="Normal 2 10 2 2 4" xfId="9374"/>
    <cellStyle name="Normal 2 10 2 3" xfId="9375"/>
    <cellStyle name="Normal 2 10 2 4" xfId="9376"/>
    <cellStyle name="Normal 2 10 2 5" xfId="9377"/>
    <cellStyle name="Normal 2 10 2 6" xfId="9378"/>
    <cellStyle name="Normal 2 10 2 7" xfId="9379"/>
    <cellStyle name="Normal 2 10 2 8" xfId="9380"/>
    <cellStyle name="Normal 2 10 2 9" xfId="9381"/>
    <cellStyle name="Normal 2 10 3" xfId="9382"/>
    <cellStyle name="Normal 2 10 3 2" xfId="9383"/>
    <cellStyle name="Normal 2 10 3 3" xfId="9384"/>
    <cellStyle name="Normal 2 10 3 4" xfId="9385"/>
    <cellStyle name="Normal 2 10 3 5" xfId="9386"/>
    <cellStyle name="Normal 2 10 4" xfId="9387"/>
    <cellStyle name="Normal 2 10 4 10" xfId="9388"/>
    <cellStyle name="Normal 2 10 4 2" xfId="9389"/>
    <cellStyle name="Normal 2 10 4 2 2" xfId="9390"/>
    <cellStyle name="Normal 2 10 4 2 2 2" xfId="9391"/>
    <cellStyle name="Normal 2 10 4 2 2 3" xfId="9392"/>
    <cellStyle name="Normal 2 10 4 2 2 4" xfId="9393"/>
    <cellStyle name="Normal 2 10 4 2 3" xfId="9394"/>
    <cellStyle name="Normal 2 10 4 2 4" xfId="9395"/>
    <cellStyle name="Normal 2 10 4 2 5" xfId="9396"/>
    <cellStyle name="Normal 2 10 4 3" xfId="9397"/>
    <cellStyle name="Normal 2 10 4 3 2" xfId="9398"/>
    <cellStyle name="Normal 2 10 4 3 3" xfId="9399"/>
    <cellStyle name="Normal 2 10 4 3 4" xfId="9400"/>
    <cellStyle name="Normal 2 10 4 4" xfId="9401"/>
    <cellStyle name="Normal 2 10 4 5" xfId="9402"/>
    <cellStyle name="Normal 2 10 4 6" xfId="9403"/>
    <cellStyle name="Normal 2 10 4 7" xfId="9404"/>
    <cellStyle name="Normal 2 10 4 8" xfId="9405"/>
    <cellStyle name="Normal 2 10 4 9" xfId="9406"/>
    <cellStyle name="Normal 2 10 5" xfId="9407"/>
    <cellStyle name="Normal 2 10 5 10" xfId="9408"/>
    <cellStyle name="Normal 2 10 5 2" xfId="9409"/>
    <cellStyle name="Normal 2 10 5 2 2" xfId="9410"/>
    <cellStyle name="Normal 2 10 5 2 2 2" xfId="9411"/>
    <cellStyle name="Normal 2 10 5 2 2 3" xfId="9412"/>
    <cellStyle name="Normal 2 10 5 2 2 4" xfId="9413"/>
    <cellStyle name="Normal 2 10 5 2 3" xfId="9414"/>
    <cellStyle name="Normal 2 10 5 2 4" xfId="9415"/>
    <cellStyle name="Normal 2 10 5 2 5" xfId="9416"/>
    <cellStyle name="Normal 2 10 5 3" xfId="9417"/>
    <cellStyle name="Normal 2 10 5 3 2" xfId="9418"/>
    <cellStyle name="Normal 2 10 5 3 3" xfId="9419"/>
    <cellStyle name="Normal 2 10 5 3 4" xfId="9420"/>
    <cellStyle name="Normal 2 10 5 4" xfId="9421"/>
    <cellStyle name="Normal 2 10 5 5" xfId="9422"/>
    <cellStyle name="Normal 2 10 5 6" xfId="9423"/>
    <cellStyle name="Normal 2 10 5 7" xfId="9424"/>
    <cellStyle name="Normal 2 10 5 8" xfId="9425"/>
    <cellStyle name="Normal 2 10 5 9" xfId="9426"/>
    <cellStyle name="Normal 2 10 6" xfId="9427"/>
    <cellStyle name="Normal 2 10 6 2" xfId="9428"/>
    <cellStyle name="Normal 2 10 6 2 2" xfId="9429"/>
    <cellStyle name="Normal 2 10 6 2 3" xfId="9430"/>
    <cellStyle name="Normal 2 10 6 2 4" xfId="9431"/>
    <cellStyle name="Normal 2 10 6 3" xfId="9432"/>
    <cellStyle name="Normal 2 10 6 4" xfId="9433"/>
    <cellStyle name="Normal 2 10 6 5" xfId="9434"/>
    <cellStyle name="Normal 2 10 6 6" xfId="9435"/>
    <cellStyle name="Normal 2 10 6 7" xfId="9436"/>
    <cellStyle name="Normal 2 10 6 8" xfId="9437"/>
    <cellStyle name="Normal 2 10 6 9" xfId="9438"/>
    <cellStyle name="Normal 2 10 7" xfId="9439"/>
    <cellStyle name="Normal 2 10 7 2" xfId="9440"/>
    <cellStyle name="Normal 2 10 7 2 2" xfId="9441"/>
    <cellStyle name="Normal 2 10 7 2 3" xfId="9442"/>
    <cellStyle name="Normal 2 10 7 2 4" xfId="9443"/>
    <cellStyle name="Normal 2 10 7 3" xfId="9444"/>
    <cellStyle name="Normal 2 10 7 4" xfId="9445"/>
    <cellStyle name="Normal 2 10 7 5" xfId="9446"/>
    <cellStyle name="Normal 2 10 7 6" xfId="9447"/>
    <cellStyle name="Normal 2 10 7 7" xfId="9448"/>
    <cellStyle name="Normal 2 10 7 8" xfId="9449"/>
    <cellStyle name="Normal 2 10 7 9" xfId="9450"/>
    <cellStyle name="Normal 2 10 8" xfId="9451"/>
    <cellStyle name="Normal 2 10 8 2" xfId="9452"/>
    <cellStyle name="Normal 2 10 8 3" xfId="9453"/>
    <cellStyle name="Normal 2 10 8 4" xfId="9454"/>
    <cellStyle name="Normal 2 10 8 5" xfId="9455"/>
    <cellStyle name="Normal 2 10 8 6" xfId="9456"/>
    <cellStyle name="Normal 2 10 8 7" xfId="9457"/>
    <cellStyle name="Normal 2 10 8 8" xfId="9458"/>
    <cellStyle name="Normal 2 10 9" xfId="9459"/>
    <cellStyle name="Normal 2 10 9 2" xfId="9460"/>
    <cellStyle name="Normal 2 10 9 3" xfId="9461"/>
    <cellStyle name="Normal 2 10 9 4" xfId="9462"/>
    <cellStyle name="Normal 2 10 9 5" xfId="9463"/>
    <cellStyle name="Normal 2 10 9 6" xfId="9464"/>
    <cellStyle name="Normal 2 10 9 7" xfId="9465"/>
    <cellStyle name="Normal 2 10 9 8" xfId="9466"/>
    <cellStyle name="Normal 2 101" xfId="9467"/>
    <cellStyle name="Normal 2 11" xfId="9468"/>
    <cellStyle name="Normal 2 11 10" xfId="9469"/>
    <cellStyle name="Normal 2 11 11" xfId="9470"/>
    <cellStyle name="Normal 2 11 12" xfId="9471"/>
    <cellStyle name="Normal 2 11 13" xfId="9472"/>
    <cellStyle name="Normal 2 11 14" xfId="9473"/>
    <cellStyle name="Normal 2 11 15" xfId="9474"/>
    <cellStyle name="Normal 2 11 2" xfId="9475"/>
    <cellStyle name="Normal 2 11 2 2" xfId="9476"/>
    <cellStyle name="Normal 2 11 2 3" xfId="9477"/>
    <cellStyle name="Normal 2 11 2 4" xfId="9478"/>
    <cellStyle name="Normal 2 11 2 5" xfId="9479"/>
    <cellStyle name="Normal 2 11 3" xfId="9480"/>
    <cellStyle name="Normal 2 11 3 10" xfId="9481"/>
    <cellStyle name="Normal 2 11 3 2" xfId="9482"/>
    <cellStyle name="Normal 2 11 3 2 2" xfId="9483"/>
    <cellStyle name="Normal 2 11 3 2 2 2" xfId="9484"/>
    <cellStyle name="Normal 2 11 3 2 2 3" xfId="9485"/>
    <cellStyle name="Normal 2 11 3 2 2 4" xfId="9486"/>
    <cellStyle name="Normal 2 11 3 2 3" xfId="9487"/>
    <cellStyle name="Normal 2 11 3 2 4" xfId="9488"/>
    <cellStyle name="Normal 2 11 3 2 5" xfId="9489"/>
    <cellStyle name="Normal 2 11 3 3" xfId="9490"/>
    <cellStyle name="Normal 2 11 3 3 2" xfId="9491"/>
    <cellStyle name="Normal 2 11 3 3 3" xfId="9492"/>
    <cellStyle name="Normal 2 11 3 3 4" xfId="9493"/>
    <cellStyle name="Normal 2 11 3 4" xfId="9494"/>
    <cellStyle name="Normal 2 11 3 5" xfId="9495"/>
    <cellStyle name="Normal 2 11 3 6" xfId="9496"/>
    <cellStyle name="Normal 2 11 3 7" xfId="9497"/>
    <cellStyle name="Normal 2 11 3 8" xfId="9498"/>
    <cellStyle name="Normal 2 11 3 9" xfId="9499"/>
    <cellStyle name="Normal 2 11 4" xfId="9500"/>
    <cellStyle name="Normal 2 11 4 10" xfId="9501"/>
    <cellStyle name="Normal 2 11 4 2" xfId="9502"/>
    <cellStyle name="Normal 2 11 4 2 2" xfId="9503"/>
    <cellStyle name="Normal 2 11 4 2 2 2" xfId="9504"/>
    <cellStyle name="Normal 2 11 4 2 2 3" xfId="9505"/>
    <cellStyle name="Normal 2 11 4 2 2 4" xfId="9506"/>
    <cellStyle name="Normal 2 11 4 2 3" xfId="9507"/>
    <cellStyle name="Normal 2 11 4 2 4" xfId="9508"/>
    <cellStyle name="Normal 2 11 4 2 5" xfId="9509"/>
    <cellStyle name="Normal 2 11 4 3" xfId="9510"/>
    <cellStyle name="Normal 2 11 4 3 2" xfId="9511"/>
    <cellStyle name="Normal 2 11 4 3 3" xfId="9512"/>
    <cellStyle name="Normal 2 11 4 3 4" xfId="9513"/>
    <cellStyle name="Normal 2 11 4 4" xfId="9514"/>
    <cellStyle name="Normal 2 11 4 5" xfId="9515"/>
    <cellStyle name="Normal 2 11 4 6" xfId="9516"/>
    <cellStyle name="Normal 2 11 4 7" xfId="9517"/>
    <cellStyle name="Normal 2 11 4 8" xfId="9518"/>
    <cellStyle name="Normal 2 11 4 9" xfId="9519"/>
    <cellStyle name="Normal 2 11 5" xfId="9520"/>
    <cellStyle name="Normal 2 11 5 2" xfId="9521"/>
    <cellStyle name="Normal 2 11 5 2 2" xfId="9522"/>
    <cellStyle name="Normal 2 11 5 2 3" xfId="9523"/>
    <cellStyle name="Normal 2 11 5 2 4" xfId="9524"/>
    <cellStyle name="Normal 2 11 5 3" xfId="9525"/>
    <cellStyle name="Normal 2 11 5 4" xfId="9526"/>
    <cellStyle name="Normal 2 11 5 5" xfId="9527"/>
    <cellStyle name="Normal 2 11 5 6" xfId="9528"/>
    <cellStyle name="Normal 2 11 5 7" xfId="9529"/>
    <cellStyle name="Normal 2 11 5 8" xfId="9530"/>
    <cellStyle name="Normal 2 11 5 9" xfId="9531"/>
    <cellStyle name="Normal 2 11 6" xfId="9532"/>
    <cellStyle name="Normal 2 11 6 2" xfId="9533"/>
    <cellStyle name="Normal 2 11 6 2 2" xfId="9534"/>
    <cellStyle name="Normal 2 11 6 2 3" xfId="9535"/>
    <cellStyle name="Normal 2 11 6 2 4" xfId="9536"/>
    <cellStyle name="Normal 2 11 6 3" xfId="9537"/>
    <cellStyle name="Normal 2 11 6 4" xfId="9538"/>
    <cellStyle name="Normal 2 11 6 5" xfId="9539"/>
    <cellStyle name="Normal 2 11 6 6" xfId="9540"/>
    <cellStyle name="Normal 2 11 6 7" xfId="9541"/>
    <cellStyle name="Normal 2 11 6 8" xfId="9542"/>
    <cellStyle name="Normal 2 11 6 9" xfId="9543"/>
    <cellStyle name="Normal 2 11 7" xfId="9544"/>
    <cellStyle name="Normal 2 11 7 2" xfId="9545"/>
    <cellStyle name="Normal 2 11 7 3" xfId="9546"/>
    <cellStyle name="Normal 2 11 7 4" xfId="9547"/>
    <cellStyle name="Normal 2 11 7 5" xfId="9548"/>
    <cellStyle name="Normal 2 11 7 6" xfId="9549"/>
    <cellStyle name="Normal 2 11 7 7" xfId="9550"/>
    <cellStyle name="Normal 2 11 7 8" xfId="9551"/>
    <cellStyle name="Normal 2 11 8" xfId="9552"/>
    <cellStyle name="Normal 2 11 8 2" xfId="9553"/>
    <cellStyle name="Normal 2 11 8 3" xfId="9554"/>
    <cellStyle name="Normal 2 11 8 4" xfId="9555"/>
    <cellStyle name="Normal 2 11 8 5" xfId="9556"/>
    <cellStyle name="Normal 2 11 8 6" xfId="9557"/>
    <cellStyle name="Normal 2 11 8 7" xfId="9558"/>
    <cellStyle name="Normal 2 11 8 8" xfId="9559"/>
    <cellStyle name="Normal 2 11 9" xfId="9560"/>
    <cellStyle name="Normal 2 12" xfId="9561"/>
    <cellStyle name="Normal 2 12 10" xfId="9562"/>
    <cellStyle name="Normal 2 12 11" xfId="9563"/>
    <cellStyle name="Normal 2 12 12" xfId="9564"/>
    <cellStyle name="Normal 2 12 13" xfId="9565"/>
    <cellStyle name="Normal 2 12 14" xfId="9566"/>
    <cellStyle name="Normal 2 12 2" xfId="9567"/>
    <cellStyle name="Normal 2 12 2 10" xfId="9568"/>
    <cellStyle name="Normal 2 12 2 2" xfId="9569"/>
    <cellStyle name="Normal 2 12 2 2 2" xfId="9570"/>
    <cellStyle name="Normal 2 12 2 2 2 2" xfId="9571"/>
    <cellStyle name="Normal 2 12 2 2 2 3" xfId="9572"/>
    <cellStyle name="Normal 2 12 2 2 2 4" xfId="9573"/>
    <cellStyle name="Normal 2 12 2 2 3" xfId="9574"/>
    <cellStyle name="Normal 2 12 2 2 4" xfId="9575"/>
    <cellStyle name="Normal 2 12 2 2 5" xfId="9576"/>
    <cellStyle name="Normal 2 12 2 3" xfId="9577"/>
    <cellStyle name="Normal 2 12 2 3 2" xfId="9578"/>
    <cellStyle name="Normal 2 12 2 3 3" xfId="9579"/>
    <cellStyle name="Normal 2 12 2 3 4" xfId="9580"/>
    <cellStyle name="Normal 2 12 2 4" xfId="9581"/>
    <cellStyle name="Normal 2 12 2 5" xfId="9582"/>
    <cellStyle name="Normal 2 12 2 6" xfId="9583"/>
    <cellStyle name="Normal 2 12 2 7" xfId="9584"/>
    <cellStyle name="Normal 2 12 2 8" xfId="9585"/>
    <cellStyle name="Normal 2 12 2 9" xfId="9586"/>
    <cellStyle name="Normal 2 12 3" xfId="9587"/>
    <cellStyle name="Normal 2 12 3 10" xfId="9588"/>
    <cellStyle name="Normal 2 12 3 2" xfId="9589"/>
    <cellStyle name="Normal 2 12 3 2 2" xfId="9590"/>
    <cellStyle name="Normal 2 12 3 2 2 2" xfId="9591"/>
    <cellStyle name="Normal 2 12 3 2 2 3" xfId="9592"/>
    <cellStyle name="Normal 2 12 3 2 2 4" xfId="9593"/>
    <cellStyle name="Normal 2 12 3 2 3" xfId="9594"/>
    <cellStyle name="Normal 2 12 3 2 4" xfId="9595"/>
    <cellStyle name="Normal 2 12 3 2 5" xfId="9596"/>
    <cellStyle name="Normal 2 12 3 3" xfId="9597"/>
    <cellStyle name="Normal 2 12 3 3 2" xfId="9598"/>
    <cellStyle name="Normal 2 12 3 3 3" xfId="9599"/>
    <cellStyle name="Normal 2 12 3 3 4" xfId="9600"/>
    <cellStyle name="Normal 2 12 3 4" xfId="9601"/>
    <cellStyle name="Normal 2 12 3 5" xfId="9602"/>
    <cellStyle name="Normal 2 12 3 6" xfId="9603"/>
    <cellStyle name="Normal 2 12 3 7" xfId="9604"/>
    <cellStyle name="Normal 2 12 3 8" xfId="9605"/>
    <cellStyle name="Normal 2 12 3 9" xfId="9606"/>
    <cellStyle name="Normal 2 12 4" xfId="9607"/>
    <cellStyle name="Normal 2 12 4 2" xfId="9608"/>
    <cellStyle name="Normal 2 12 4 2 2" xfId="9609"/>
    <cellStyle name="Normal 2 12 4 2 3" xfId="9610"/>
    <cellStyle name="Normal 2 12 4 2 4" xfId="9611"/>
    <cellStyle name="Normal 2 12 4 3" xfId="9612"/>
    <cellStyle name="Normal 2 12 4 4" xfId="9613"/>
    <cellStyle name="Normal 2 12 4 5" xfId="9614"/>
    <cellStyle name="Normal 2 12 4 6" xfId="9615"/>
    <cellStyle name="Normal 2 12 4 7" xfId="9616"/>
    <cellStyle name="Normal 2 12 4 8" xfId="9617"/>
    <cellStyle name="Normal 2 12 4 9" xfId="9618"/>
    <cellStyle name="Normal 2 12 5" xfId="9619"/>
    <cellStyle name="Normal 2 12 5 2" xfId="9620"/>
    <cellStyle name="Normal 2 12 5 2 2" xfId="9621"/>
    <cellStyle name="Normal 2 12 5 2 3" xfId="9622"/>
    <cellStyle name="Normal 2 12 5 2 4" xfId="9623"/>
    <cellStyle name="Normal 2 12 5 3" xfId="9624"/>
    <cellStyle name="Normal 2 12 5 4" xfId="9625"/>
    <cellStyle name="Normal 2 12 5 5" xfId="9626"/>
    <cellStyle name="Normal 2 12 5 6" xfId="9627"/>
    <cellStyle name="Normal 2 12 5 7" xfId="9628"/>
    <cellStyle name="Normal 2 12 5 8" xfId="9629"/>
    <cellStyle name="Normal 2 12 5 9" xfId="9630"/>
    <cellStyle name="Normal 2 12 6" xfId="9631"/>
    <cellStyle name="Normal 2 12 6 2" xfId="9632"/>
    <cellStyle name="Normal 2 12 6 3" xfId="9633"/>
    <cellStyle name="Normal 2 12 6 4" xfId="9634"/>
    <cellStyle name="Normal 2 12 6 5" xfId="9635"/>
    <cellStyle name="Normal 2 12 6 6" xfId="9636"/>
    <cellStyle name="Normal 2 12 6 7" xfId="9637"/>
    <cellStyle name="Normal 2 12 6 8" xfId="9638"/>
    <cellStyle name="Normal 2 12 7" xfId="9639"/>
    <cellStyle name="Normal 2 12 7 2" xfId="9640"/>
    <cellStyle name="Normal 2 12 7 3" xfId="9641"/>
    <cellStyle name="Normal 2 12 7 4" xfId="9642"/>
    <cellStyle name="Normal 2 12 7 5" xfId="9643"/>
    <cellStyle name="Normal 2 12 7 6" xfId="9644"/>
    <cellStyle name="Normal 2 12 7 7" xfId="9645"/>
    <cellStyle name="Normal 2 12 7 8" xfId="9646"/>
    <cellStyle name="Normal 2 12 8" xfId="9647"/>
    <cellStyle name="Normal 2 12 8 2" xfId="9648"/>
    <cellStyle name="Normal 2 12 8 3" xfId="9649"/>
    <cellStyle name="Normal 2 12 8 4" xfId="9650"/>
    <cellStyle name="Normal 2 12 8 5" xfId="9651"/>
    <cellStyle name="Normal 2 12 9" xfId="9652"/>
    <cellStyle name="Normal 2 13" xfId="9653"/>
    <cellStyle name="Normal 2 13 10" xfId="9654"/>
    <cellStyle name="Normal 2 13 11" xfId="9655"/>
    <cellStyle name="Normal 2 13 12" xfId="9656"/>
    <cellStyle name="Normal 2 13 13" xfId="9657"/>
    <cellStyle name="Normal 2 13 14" xfId="9658"/>
    <cellStyle name="Normal 2 13 15" xfId="9659"/>
    <cellStyle name="Normal 2 13 16" xfId="9660"/>
    <cellStyle name="Normal 2 13 2" xfId="9661"/>
    <cellStyle name="Normal 2 13 2 10" xfId="9662"/>
    <cellStyle name="Normal 2 13 2 10 2" xfId="9663"/>
    <cellStyle name="Normal 2 13 2 11" xfId="9664"/>
    <cellStyle name="Normal 2 13 2 12" xfId="9665"/>
    <cellStyle name="Normal 2 13 2 13" xfId="9666"/>
    <cellStyle name="Normal 2 13 2 14" xfId="9667"/>
    <cellStyle name="Normal 2 13 2 2" xfId="9668"/>
    <cellStyle name="Normal 2 13 2 2 2" xfId="9669"/>
    <cellStyle name="Normal 2 13 2 2 2 2" xfId="9670"/>
    <cellStyle name="Normal 2 13 2 2 3" xfId="9671"/>
    <cellStyle name="Normal 2 13 2 2 3 2" xfId="9672"/>
    <cellStyle name="Normal 2 13 2 2 4" xfId="9673"/>
    <cellStyle name="Normal 2 13 2 2 5" xfId="9674"/>
    <cellStyle name="Normal 2 13 2 2 6" xfId="9675"/>
    <cellStyle name="Normal 2 13 2 3" xfId="9676"/>
    <cellStyle name="Normal 2 13 2 3 2" xfId="9677"/>
    <cellStyle name="Normal 2 13 2 3 2 2" xfId="9678"/>
    <cellStyle name="Normal 2 13 2 3 3" xfId="9679"/>
    <cellStyle name="Normal 2 13 2 3 3 2" xfId="9680"/>
    <cellStyle name="Normal 2 13 2 3 4" xfId="9681"/>
    <cellStyle name="Normal 2 13 2 3 5" xfId="9682"/>
    <cellStyle name="Normal 2 13 2 3 6" xfId="9683"/>
    <cellStyle name="Normal 2 13 2 4" xfId="9684"/>
    <cellStyle name="Normal 2 13 2 4 2" xfId="9685"/>
    <cellStyle name="Normal 2 13 2 4 2 2" xfId="9686"/>
    <cellStyle name="Normal 2 13 2 4 3" xfId="9687"/>
    <cellStyle name="Normal 2 13 2 4 3 2" xfId="9688"/>
    <cellStyle name="Normal 2 13 2 4 4" xfId="9689"/>
    <cellStyle name="Normal 2 13 2 5" xfId="9690"/>
    <cellStyle name="Normal 2 13 2 5 2" xfId="9691"/>
    <cellStyle name="Normal 2 13 2 6" xfId="9692"/>
    <cellStyle name="Normal 2 13 2 6 2" xfId="9693"/>
    <cellStyle name="Normal 2 13 2 7" xfId="9694"/>
    <cellStyle name="Normal 2 13 2 7 2" xfId="9695"/>
    <cellStyle name="Normal 2 13 2 8" xfId="9696"/>
    <cellStyle name="Normal 2 13 2 8 2" xfId="9697"/>
    <cellStyle name="Normal 2 13 2 9" xfId="9698"/>
    <cellStyle name="Normal 2 13 2 9 2" xfId="9699"/>
    <cellStyle name="Normal 2 13 3" xfId="9700"/>
    <cellStyle name="Normal 2 13 3 10" xfId="9701"/>
    <cellStyle name="Normal 2 13 3 2" xfId="9702"/>
    <cellStyle name="Normal 2 13 3 2 2" xfId="9703"/>
    <cellStyle name="Normal 2 13 3 2 2 2" xfId="9704"/>
    <cellStyle name="Normal 2 13 3 2 2 3" xfId="9705"/>
    <cellStyle name="Normal 2 13 3 2 2 4" xfId="9706"/>
    <cellStyle name="Normal 2 13 3 2 3" xfId="9707"/>
    <cellStyle name="Normal 2 13 3 2 4" xfId="9708"/>
    <cellStyle name="Normal 2 13 3 2 5" xfId="9709"/>
    <cellStyle name="Normal 2 13 3 3" xfId="9710"/>
    <cellStyle name="Normal 2 13 3 3 2" xfId="9711"/>
    <cellStyle name="Normal 2 13 3 3 3" xfId="9712"/>
    <cellStyle name="Normal 2 13 3 3 4" xfId="9713"/>
    <cellStyle name="Normal 2 13 3 4" xfId="9714"/>
    <cellStyle name="Normal 2 13 3 5" xfId="9715"/>
    <cellStyle name="Normal 2 13 3 6" xfId="9716"/>
    <cellStyle name="Normal 2 13 3 7" xfId="9717"/>
    <cellStyle name="Normal 2 13 3 8" xfId="9718"/>
    <cellStyle name="Normal 2 13 3 9" xfId="9719"/>
    <cellStyle name="Normal 2 13 4" xfId="9720"/>
    <cellStyle name="Normal 2 13 4 10" xfId="9721"/>
    <cellStyle name="Normal 2 13 4 2" xfId="9722"/>
    <cellStyle name="Normal 2 13 4 2 2" xfId="9723"/>
    <cellStyle name="Normal 2 13 4 2 2 2" xfId="9724"/>
    <cellStyle name="Normal 2 13 4 2 2 3" xfId="9725"/>
    <cellStyle name="Normal 2 13 4 2 2 4" xfId="9726"/>
    <cellStyle name="Normal 2 13 4 2 3" xfId="9727"/>
    <cellStyle name="Normal 2 13 4 2 4" xfId="9728"/>
    <cellStyle name="Normal 2 13 4 2 5" xfId="9729"/>
    <cellStyle name="Normal 2 13 4 3" xfId="9730"/>
    <cellStyle name="Normal 2 13 4 3 2" xfId="9731"/>
    <cellStyle name="Normal 2 13 4 3 3" xfId="9732"/>
    <cellStyle name="Normal 2 13 4 3 4" xfId="9733"/>
    <cellStyle name="Normal 2 13 4 4" xfId="9734"/>
    <cellStyle name="Normal 2 13 4 5" xfId="9735"/>
    <cellStyle name="Normal 2 13 4 6" xfId="9736"/>
    <cellStyle name="Normal 2 13 4 7" xfId="9737"/>
    <cellStyle name="Normal 2 13 4 8" xfId="9738"/>
    <cellStyle name="Normal 2 13 4 9" xfId="9739"/>
    <cellStyle name="Normal 2 13 5" xfId="9740"/>
    <cellStyle name="Normal 2 13 5 2" xfId="9741"/>
    <cellStyle name="Normal 2 13 5 2 2" xfId="9742"/>
    <cellStyle name="Normal 2 13 5 2 3" xfId="9743"/>
    <cellStyle name="Normal 2 13 5 2 4" xfId="9744"/>
    <cellStyle name="Normal 2 13 5 3" xfId="9745"/>
    <cellStyle name="Normal 2 13 5 4" xfId="9746"/>
    <cellStyle name="Normal 2 13 5 5" xfId="9747"/>
    <cellStyle name="Normal 2 13 5 6" xfId="9748"/>
    <cellStyle name="Normal 2 13 5 7" xfId="9749"/>
    <cellStyle name="Normal 2 13 5 8" xfId="9750"/>
    <cellStyle name="Normal 2 13 5 9" xfId="9751"/>
    <cellStyle name="Normal 2 13 6" xfId="9752"/>
    <cellStyle name="Normal 2 13 6 2" xfId="9753"/>
    <cellStyle name="Normal 2 13 6 2 2" xfId="9754"/>
    <cellStyle name="Normal 2 13 6 2 3" xfId="9755"/>
    <cellStyle name="Normal 2 13 6 2 4" xfId="9756"/>
    <cellStyle name="Normal 2 13 6 3" xfId="9757"/>
    <cellStyle name="Normal 2 13 6 4" xfId="9758"/>
    <cellStyle name="Normal 2 13 6 5" xfId="9759"/>
    <cellStyle name="Normal 2 13 6 6" xfId="9760"/>
    <cellStyle name="Normal 2 13 6 7" xfId="9761"/>
    <cellStyle name="Normal 2 13 6 8" xfId="9762"/>
    <cellStyle name="Normal 2 13 6 9" xfId="9763"/>
    <cellStyle name="Normal 2 13 7" xfId="9764"/>
    <cellStyle name="Normal 2 13 7 2" xfId="9765"/>
    <cellStyle name="Normal 2 13 7 3" xfId="9766"/>
    <cellStyle name="Normal 2 13 7 4" xfId="9767"/>
    <cellStyle name="Normal 2 13 7 5" xfId="9768"/>
    <cellStyle name="Normal 2 13 7 6" xfId="9769"/>
    <cellStyle name="Normal 2 13 7 7" xfId="9770"/>
    <cellStyle name="Normal 2 13 7 8" xfId="9771"/>
    <cellStyle name="Normal 2 13 8" xfId="9772"/>
    <cellStyle name="Normal 2 13 8 2" xfId="9773"/>
    <cellStyle name="Normal 2 13 8 3" xfId="9774"/>
    <cellStyle name="Normal 2 13 8 4" xfId="9775"/>
    <cellStyle name="Normal 2 13 8 5" xfId="9776"/>
    <cellStyle name="Normal 2 13 8 6" xfId="9777"/>
    <cellStyle name="Normal 2 13 8 7" xfId="9778"/>
    <cellStyle name="Normal 2 13 8 8" xfId="9779"/>
    <cellStyle name="Normal 2 13 9" xfId="9780"/>
    <cellStyle name="Normal 2 13 9 2" xfId="9781"/>
    <cellStyle name="Normal 2 13 9 3" xfId="9782"/>
    <cellStyle name="Normal 2 13 9 4" xfId="9783"/>
    <cellStyle name="Normal 2 13 9 5" xfId="9784"/>
    <cellStyle name="Normal 2 13 9 6" xfId="9785"/>
    <cellStyle name="Normal 2 13 9 7" xfId="9786"/>
    <cellStyle name="Normal 2 13 9 8" xfId="9787"/>
    <cellStyle name="Normal 2 14" xfId="9788"/>
    <cellStyle name="Normal 2 14 10" xfId="9789"/>
    <cellStyle name="Normal 2 14 11" xfId="9790"/>
    <cellStyle name="Normal 2 14 2" xfId="9791"/>
    <cellStyle name="Normal 2 14 3" xfId="9792"/>
    <cellStyle name="Normal 2 14 4" xfId="9793"/>
    <cellStyle name="Normal 2 14 5" xfId="9794"/>
    <cellStyle name="Normal 2 14 6" xfId="9795"/>
    <cellStyle name="Normal 2 14 7" xfId="9796"/>
    <cellStyle name="Normal 2 14 8" xfId="9797"/>
    <cellStyle name="Normal 2 14 9" xfId="9798"/>
    <cellStyle name="Normal 2 15" xfId="9799"/>
    <cellStyle name="Normal 2 15 10" xfId="9800"/>
    <cellStyle name="Normal 2 15 11" xfId="9801"/>
    <cellStyle name="Normal 2 15 2" xfId="9802"/>
    <cellStyle name="Normal 2 15 2 2" xfId="9803"/>
    <cellStyle name="Normal 2 15 2 2 2" xfId="9804"/>
    <cellStyle name="Normal 2 15 2 2 3" xfId="9805"/>
    <cellStyle name="Normal 2 15 2 2 4" xfId="9806"/>
    <cellStyle name="Normal 2 15 2 3" xfId="9807"/>
    <cellStyle name="Normal 2 15 2 4" xfId="9808"/>
    <cellStyle name="Normal 2 15 2 5" xfId="9809"/>
    <cellStyle name="Normal 2 15 2 6" xfId="9810"/>
    <cellStyle name="Normal 2 15 2 7" xfId="9811"/>
    <cellStyle name="Normal 2 15 2 8" xfId="9812"/>
    <cellStyle name="Normal 2 15 2 9" xfId="9813"/>
    <cellStyle name="Normal 2 15 3" xfId="9814"/>
    <cellStyle name="Normal 2 15 3 2" xfId="9815"/>
    <cellStyle name="Normal 2 15 3 3" xfId="9816"/>
    <cellStyle name="Normal 2 15 3 4" xfId="9817"/>
    <cellStyle name="Normal 2 15 3 5" xfId="9818"/>
    <cellStyle name="Normal 2 15 3 6" xfId="9819"/>
    <cellStyle name="Normal 2 15 3 7" xfId="9820"/>
    <cellStyle name="Normal 2 15 3 8" xfId="9821"/>
    <cellStyle name="Normal 2 15 4" xfId="9822"/>
    <cellStyle name="Normal 2 15 4 2" xfId="9823"/>
    <cellStyle name="Normal 2 15 4 3" xfId="9824"/>
    <cellStyle name="Normal 2 15 4 4" xfId="9825"/>
    <cellStyle name="Normal 2 15 4 5" xfId="9826"/>
    <cellStyle name="Normal 2 15 5" xfId="9827"/>
    <cellStyle name="Normal 2 15 5 2" xfId="9828"/>
    <cellStyle name="Normal 2 15 5 3" xfId="9829"/>
    <cellStyle name="Normal 2 15 5 4" xfId="9830"/>
    <cellStyle name="Normal 2 15 5 5" xfId="9831"/>
    <cellStyle name="Normal 2 15 6" xfId="9832"/>
    <cellStyle name="Normal 2 15 6 2" xfId="9833"/>
    <cellStyle name="Normal 2 15 6 3" xfId="9834"/>
    <cellStyle name="Normal 2 15 6 4" xfId="9835"/>
    <cellStyle name="Normal 2 15 6 5" xfId="9836"/>
    <cellStyle name="Normal 2 15 7" xfId="9837"/>
    <cellStyle name="Normal 2 15 8" xfId="9838"/>
    <cellStyle name="Normal 2 15 9" xfId="9839"/>
    <cellStyle name="Normal 2 16" xfId="9840"/>
    <cellStyle name="Normal 2 16 10" xfId="9841"/>
    <cellStyle name="Normal 2 16 11" xfId="9842"/>
    <cellStyle name="Normal 2 16 2" xfId="9843"/>
    <cellStyle name="Normal 2 16 2 2" xfId="9844"/>
    <cellStyle name="Normal 2 16 2 2 2" xfId="9845"/>
    <cellStyle name="Normal 2 16 2 2 3" xfId="9846"/>
    <cellStyle name="Normal 2 16 2 2 4" xfId="9847"/>
    <cellStyle name="Normal 2 16 2 3" xfId="9848"/>
    <cellStyle name="Normal 2 16 2 4" xfId="9849"/>
    <cellStyle name="Normal 2 16 2 5" xfId="9850"/>
    <cellStyle name="Normal 2 16 2 6" xfId="9851"/>
    <cellStyle name="Normal 2 16 2 7" xfId="9852"/>
    <cellStyle name="Normal 2 16 2 8" xfId="9853"/>
    <cellStyle name="Normal 2 16 2 9" xfId="9854"/>
    <cellStyle name="Normal 2 16 3" xfId="9855"/>
    <cellStyle name="Normal 2 16 3 2" xfId="9856"/>
    <cellStyle name="Normal 2 16 3 3" xfId="9857"/>
    <cellStyle name="Normal 2 16 3 4" xfId="9858"/>
    <cellStyle name="Normal 2 16 3 5" xfId="9859"/>
    <cellStyle name="Normal 2 16 3 6" xfId="9860"/>
    <cellStyle name="Normal 2 16 3 7" xfId="9861"/>
    <cellStyle name="Normal 2 16 3 8" xfId="9862"/>
    <cellStyle name="Normal 2 16 4" xfId="9863"/>
    <cellStyle name="Normal 2 16 4 2" xfId="9864"/>
    <cellStyle name="Normal 2 16 4 3" xfId="9865"/>
    <cellStyle name="Normal 2 16 4 4" xfId="9866"/>
    <cellStyle name="Normal 2 16 4 5" xfId="9867"/>
    <cellStyle name="Normal 2 16 5" xfId="9868"/>
    <cellStyle name="Normal 2 16 5 2" xfId="9869"/>
    <cellStyle name="Normal 2 16 5 3" xfId="9870"/>
    <cellStyle name="Normal 2 16 5 4" xfId="9871"/>
    <cellStyle name="Normal 2 16 5 5" xfId="9872"/>
    <cellStyle name="Normal 2 16 6" xfId="9873"/>
    <cellStyle name="Normal 2 16 6 2" xfId="9874"/>
    <cellStyle name="Normal 2 16 6 3" xfId="9875"/>
    <cellStyle name="Normal 2 16 6 4" xfId="9876"/>
    <cellStyle name="Normal 2 16 6 5" xfId="9877"/>
    <cellStyle name="Normal 2 16 7" xfId="9878"/>
    <cellStyle name="Normal 2 16 8" xfId="9879"/>
    <cellStyle name="Normal 2 16 9" xfId="9880"/>
    <cellStyle name="Normal 2 17" xfId="9881"/>
    <cellStyle name="Normal 2 17 10" xfId="9882"/>
    <cellStyle name="Normal 2 17 11" xfId="9883"/>
    <cellStyle name="Normal 2 17 2" xfId="9884"/>
    <cellStyle name="Normal 2 17 2 2" xfId="9885"/>
    <cellStyle name="Normal 2 17 2 2 2" xfId="9886"/>
    <cellStyle name="Normal 2 17 2 2 3" xfId="9887"/>
    <cellStyle name="Normal 2 17 2 2 4" xfId="9888"/>
    <cellStyle name="Normal 2 17 2 3" xfId="9889"/>
    <cellStyle name="Normal 2 17 2 4" xfId="9890"/>
    <cellStyle name="Normal 2 17 2 5" xfId="9891"/>
    <cellStyle name="Normal 2 17 2 6" xfId="9892"/>
    <cellStyle name="Normal 2 17 2 7" xfId="9893"/>
    <cellStyle name="Normal 2 17 2 8" xfId="9894"/>
    <cellStyle name="Normal 2 17 2 9" xfId="9895"/>
    <cellStyle name="Normal 2 17 3" xfId="9896"/>
    <cellStyle name="Normal 2 17 3 2" xfId="9897"/>
    <cellStyle name="Normal 2 17 3 3" xfId="9898"/>
    <cellStyle name="Normal 2 17 3 4" xfId="9899"/>
    <cellStyle name="Normal 2 17 3 5" xfId="9900"/>
    <cellStyle name="Normal 2 17 3 6" xfId="9901"/>
    <cellStyle name="Normal 2 17 3 7" xfId="9902"/>
    <cellStyle name="Normal 2 17 3 8" xfId="9903"/>
    <cellStyle name="Normal 2 17 4" xfId="9904"/>
    <cellStyle name="Normal 2 17 4 2" xfId="9905"/>
    <cellStyle name="Normal 2 17 4 3" xfId="9906"/>
    <cellStyle name="Normal 2 17 4 4" xfId="9907"/>
    <cellStyle name="Normal 2 17 4 5" xfId="9908"/>
    <cellStyle name="Normal 2 17 5" xfId="9909"/>
    <cellStyle name="Normal 2 17 5 2" xfId="9910"/>
    <cellStyle name="Normal 2 17 5 3" xfId="9911"/>
    <cellStyle name="Normal 2 17 5 4" xfId="9912"/>
    <cellStyle name="Normal 2 17 5 5" xfId="9913"/>
    <cellStyle name="Normal 2 17 6" xfId="9914"/>
    <cellStyle name="Normal 2 17 6 2" xfId="9915"/>
    <cellStyle name="Normal 2 17 6 3" xfId="9916"/>
    <cellStyle name="Normal 2 17 6 4" xfId="9917"/>
    <cellStyle name="Normal 2 17 6 5" xfId="9918"/>
    <cellStyle name="Normal 2 17 7" xfId="9919"/>
    <cellStyle name="Normal 2 17 8" xfId="9920"/>
    <cellStyle name="Normal 2 17 9" xfId="9921"/>
    <cellStyle name="Normal 2 18" xfId="9922"/>
    <cellStyle name="Normal 2 18 10" xfId="9923"/>
    <cellStyle name="Normal 2 18 11" xfId="9924"/>
    <cellStyle name="Normal 2 18 2" xfId="9925"/>
    <cellStyle name="Normal 2 18 2 2" xfId="9926"/>
    <cellStyle name="Normal 2 18 2 3" xfId="9927"/>
    <cellStyle name="Normal 2 18 2 4" xfId="9928"/>
    <cellStyle name="Normal 2 18 2 5" xfId="9929"/>
    <cellStyle name="Normal 2 18 2 6" xfId="9930"/>
    <cellStyle name="Normal 2 18 2 7" xfId="9931"/>
    <cellStyle name="Normal 2 18 2 8" xfId="9932"/>
    <cellStyle name="Normal 2 18 3" xfId="9933"/>
    <cellStyle name="Normal 2 18 3 2" xfId="9934"/>
    <cellStyle name="Normal 2 18 3 3" xfId="9935"/>
    <cellStyle name="Normal 2 18 3 4" xfId="9936"/>
    <cellStyle name="Normal 2 18 3 5" xfId="9937"/>
    <cellStyle name="Normal 2 18 4" xfId="9938"/>
    <cellStyle name="Normal 2 18 4 2" xfId="9939"/>
    <cellStyle name="Normal 2 18 4 3" xfId="9940"/>
    <cellStyle name="Normal 2 18 4 4" xfId="9941"/>
    <cellStyle name="Normal 2 18 4 5" xfId="9942"/>
    <cellStyle name="Normal 2 18 5" xfId="9943"/>
    <cellStyle name="Normal 2 18 5 2" xfId="9944"/>
    <cellStyle name="Normal 2 18 5 3" xfId="9945"/>
    <cellStyle name="Normal 2 18 5 4" xfId="9946"/>
    <cellStyle name="Normal 2 18 5 5" xfId="9947"/>
    <cellStyle name="Normal 2 18 6" xfId="9948"/>
    <cellStyle name="Normal 2 18 7" xfId="9949"/>
    <cellStyle name="Normal 2 18 8" xfId="9950"/>
    <cellStyle name="Normal 2 18 9" xfId="9951"/>
    <cellStyle name="Normal 2 19" xfId="9952"/>
    <cellStyle name="Normal 2 19 10" xfId="9953"/>
    <cellStyle name="Normal 2 19 11" xfId="9954"/>
    <cellStyle name="Normal 2 19 2" xfId="9955"/>
    <cellStyle name="Normal 2 19 2 2" xfId="9956"/>
    <cellStyle name="Normal 2 19 2 3" xfId="9957"/>
    <cellStyle name="Normal 2 19 2 4" xfId="9958"/>
    <cellStyle name="Normal 2 19 2 5" xfId="9959"/>
    <cellStyle name="Normal 2 19 2 6" xfId="9960"/>
    <cellStyle name="Normal 2 19 2 7" xfId="9961"/>
    <cellStyle name="Normal 2 19 2 8" xfId="9962"/>
    <cellStyle name="Normal 2 19 3" xfId="9963"/>
    <cellStyle name="Normal 2 19 3 2" xfId="9964"/>
    <cellStyle name="Normal 2 19 3 3" xfId="9965"/>
    <cellStyle name="Normal 2 19 3 4" xfId="9966"/>
    <cellStyle name="Normal 2 19 3 5" xfId="9967"/>
    <cellStyle name="Normal 2 19 4" xfId="9968"/>
    <cellStyle name="Normal 2 19 4 2" xfId="9969"/>
    <cellStyle name="Normal 2 19 4 3" xfId="9970"/>
    <cellStyle name="Normal 2 19 4 4" xfId="9971"/>
    <cellStyle name="Normal 2 19 4 5" xfId="9972"/>
    <cellStyle name="Normal 2 19 5" xfId="9973"/>
    <cellStyle name="Normal 2 19 5 2" xfId="9974"/>
    <cellStyle name="Normal 2 19 5 3" xfId="9975"/>
    <cellStyle name="Normal 2 19 5 4" xfId="9976"/>
    <cellStyle name="Normal 2 19 5 5" xfId="9977"/>
    <cellStyle name="Normal 2 19 6" xfId="9978"/>
    <cellStyle name="Normal 2 19 7" xfId="9979"/>
    <cellStyle name="Normal 2 19 8" xfId="9980"/>
    <cellStyle name="Normal 2 19 9" xfId="9981"/>
    <cellStyle name="Normal 2 2" xfId="9982"/>
    <cellStyle name="Normal 2 2 10" xfId="9983"/>
    <cellStyle name="Normal 2 2 11" xfId="9984"/>
    <cellStyle name="Normal 2 2 12" xfId="9985"/>
    <cellStyle name="Normal 2 2 13" xfId="9986"/>
    <cellStyle name="Normal 2 2 14" xfId="9987"/>
    <cellStyle name="Normal 2 2 15" xfId="9988"/>
    <cellStyle name="Normal 2 2 16" xfId="9989"/>
    <cellStyle name="Normal 2 2 17" xfId="9990"/>
    <cellStyle name="Normal 2 2 18" xfId="9991"/>
    <cellStyle name="Normal 2 2 19" xfId="9992"/>
    <cellStyle name="Normal 2 2 2" xfId="9993"/>
    <cellStyle name="Normal 2 2 2 10" xfId="9994"/>
    <cellStyle name="Normal 2 2 2 11" xfId="9995"/>
    <cellStyle name="Normal 2 2 2 12" xfId="9996"/>
    <cellStyle name="Normal 2 2 2 13" xfId="9997"/>
    <cellStyle name="Normal 2 2 2 14" xfId="9998"/>
    <cellStyle name="Normal 2 2 2 15" xfId="9999"/>
    <cellStyle name="Normal 2 2 2 2" xfId="10000"/>
    <cellStyle name="Normal 2 2 2 2 2" xfId="10001"/>
    <cellStyle name="Normal 2 2 2 2 3" xfId="10002"/>
    <cellStyle name="Normal 2 2 2 2 4" xfId="10003"/>
    <cellStyle name="Normal 2 2 2 2 5" xfId="10004"/>
    <cellStyle name="Normal 2 2 2 2 6" xfId="10005"/>
    <cellStyle name="Normal 2 2 2 2 7" xfId="10006"/>
    <cellStyle name="Normal 2 2 2 2 8" xfId="10007"/>
    <cellStyle name="Normal 2 2 2 3" xfId="10008"/>
    <cellStyle name="Normal 2 2 2 3 2" xfId="10009"/>
    <cellStyle name="Normal 2 2 2 3 3" xfId="10010"/>
    <cellStyle name="Normal 2 2 2 3 4" xfId="10011"/>
    <cellStyle name="Normal 2 2 2 3 5" xfId="10012"/>
    <cellStyle name="Normal 2 2 2 4" xfId="10013"/>
    <cellStyle name="Normal 2 2 2 4 2" xfId="10014"/>
    <cellStyle name="Normal 2 2 2 4 3" xfId="10015"/>
    <cellStyle name="Normal 2 2 2 4 4" xfId="10016"/>
    <cellStyle name="Normal 2 2 2 4 5" xfId="10017"/>
    <cellStyle name="Normal 2 2 2 5" xfId="10018"/>
    <cellStyle name="Normal 2 2 2 5 2" xfId="10019"/>
    <cellStyle name="Normal 2 2 2 5 3" xfId="10020"/>
    <cellStyle name="Normal 2 2 2 5 4" xfId="10021"/>
    <cellStyle name="Normal 2 2 2 5 5" xfId="10022"/>
    <cellStyle name="Normal 2 2 2 6" xfId="10023"/>
    <cellStyle name="Normal 2 2 2 6 2" xfId="10024"/>
    <cellStyle name="Normal 2 2 2 6 3" xfId="10025"/>
    <cellStyle name="Normal 2 2 2 6 4" xfId="10026"/>
    <cellStyle name="Normal 2 2 2 6 5" xfId="10027"/>
    <cellStyle name="Normal 2 2 2 7" xfId="10028"/>
    <cellStyle name="Normal 2 2 2 7 2" xfId="10029"/>
    <cellStyle name="Normal 2 2 2 7 3" xfId="10030"/>
    <cellStyle name="Normal 2 2 2 7 4" xfId="10031"/>
    <cellStyle name="Normal 2 2 2 7 5" xfId="10032"/>
    <cellStyle name="Normal 2 2 2 8" xfId="10033"/>
    <cellStyle name="Normal 2 2 2 9" xfId="10034"/>
    <cellStyle name="Normal 2 2 2_PL Oktober" xfId="10035"/>
    <cellStyle name="Normal 2 2 20" xfId="10036"/>
    <cellStyle name="Normal 2 2 21" xfId="10037"/>
    <cellStyle name="Normal 2 2 22" xfId="10038"/>
    <cellStyle name="Normal 2 2 23" xfId="10039"/>
    <cellStyle name="Normal 2 2 24" xfId="10040"/>
    <cellStyle name="Normal 2 2 25" xfId="10041"/>
    <cellStyle name="Normal 2 2 26" xfId="10042"/>
    <cellStyle name="Normal 2 2 27" xfId="10043"/>
    <cellStyle name="Normal 2 2 28" xfId="10044"/>
    <cellStyle name="Normal 2 2 29" xfId="10045"/>
    <cellStyle name="Normal 2 2 3" xfId="10046"/>
    <cellStyle name="Normal 2 2 3 2" xfId="10047"/>
    <cellStyle name="Normal 2 2 3 3" xfId="10048"/>
    <cellStyle name="Normal 2 2 3 4" xfId="10049"/>
    <cellStyle name="Normal 2 2 3 5" xfId="10050"/>
    <cellStyle name="Normal 2 2 3 6" xfId="10051"/>
    <cellStyle name="Normal 2 2 3 7" xfId="10052"/>
    <cellStyle name="Normal 2 2 3 8" xfId="10053"/>
    <cellStyle name="Normal 2 2 30" xfId="10054"/>
    <cellStyle name="Normal 2 2 31" xfId="10055"/>
    <cellStyle name="Normal 2 2 32" xfId="10056"/>
    <cellStyle name="Normal 2 2 33" xfId="10057"/>
    <cellStyle name="Normal 2 2 34" xfId="10058"/>
    <cellStyle name="Normal 2 2 35" xfId="10059"/>
    <cellStyle name="Normal 2 2 36" xfId="10060"/>
    <cellStyle name="Normal 2 2 37" xfId="10061"/>
    <cellStyle name="Normal 2 2 38" xfId="10062"/>
    <cellStyle name="Normal 2 2 39" xfId="10063"/>
    <cellStyle name="Normal 2 2 4" xfId="10064"/>
    <cellStyle name="Normal 2 2 4 2" xfId="10065"/>
    <cellStyle name="Normal 2 2 4 3" xfId="10066"/>
    <cellStyle name="Normal 2 2 4 4" xfId="10067"/>
    <cellStyle name="Normal 2 2 4 5" xfId="10068"/>
    <cellStyle name="Normal 2 2 40" xfId="10069"/>
    <cellStyle name="Normal 2 2 41" xfId="10070"/>
    <cellStyle name="Normal 2 2 42" xfId="10071"/>
    <cellStyle name="Normal 2 2 43" xfId="10072"/>
    <cellStyle name="Normal 2 2 44" xfId="10073"/>
    <cellStyle name="Normal 2 2 45" xfId="10074"/>
    <cellStyle name="Normal 2 2 46" xfId="10075"/>
    <cellStyle name="Normal 2 2 5" xfId="10076"/>
    <cellStyle name="Normal 2 2 5 2" xfId="10077"/>
    <cellStyle name="Normal 2 2 5 3" xfId="10078"/>
    <cellStyle name="Normal 2 2 5 4" xfId="10079"/>
    <cellStyle name="Normal 2 2 5 5" xfId="10080"/>
    <cellStyle name="Normal 2 2 6" xfId="10081"/>
    <cellStyle name="Normal 2 2 6 2" xfId="10082"/>
    <cellStyle name="Normal 2 2 6 3" xfId="10083"/>
    <cellStyle name="Normal 2 2 6 4" xfId="10084"/>
    <cellStyle name="Normal 2 2 6 5" xfId="10085"/>
    <cellStyle name="Normal 2 2 7" xfId="10086"/>
    <cellStyle name="Normal 2 2 7 2" xfId="10087"/>
    <cellStyle name="Normal 2 2 7 3" xfId="10088"/>
    <cellStyle name="Normal 2 2 7 4" xfId="10089"/>
    <cellStyle name="Normal 2 2 7 5" xfId="10090"/>
    <cellStyle name="Normal 2 2 8" xfId="10091"/>
    <cellStyle name="Normal 2 2 9" xfId="10092"/>
    <cellStyle name="Normal 2 2_9_Compare DtBASE_Sept'10 Nasional" xfId="10093"/>
    <cellStyle name="Normal 2 20" xfId="10094"/>
    <cellStyle name="Normal 2 20 10" xfId="10095"/>
    <cellStyle name="Normal 2 20 11" xfId="10096"/>
    <cellStyle name="Normal 2 20 2" xfId="10097"/>
    <cellStyle name="Normal 2 20 2 2" xfId="10098"/>
    <cellStyle name="Normal 2 20 2 3" xfId="10099"/>
    <cellStyle name="Normal 2 20 2 4" xfId="10100"/>
    <cellStyle name="Normal 2 20 2 5" xfId="10101"/>
    <cellStyle name="Normal 2 20 2 6" xfId="10102"/>
    <cellStyle name="Normal 2 20 2 7" xfId="10103"/>
    <cellStyle name="Normal 2 20 2 8" xfId="10104"/>
    <cellStyle name="Normal 2 20 3" xfId="10105"/>
    <cellStyle name="Normal 2 20 3 2" xfId="10106"/>
    <cellStyle name="Normal 2 20 3 3" xfId="10107"/>
    <cellStyle name="Normal 2 20 3 4" xfId="10108"/>
    <cellStyle name="Normal 2 20 3 5" xfId="10109"/>
    <cellStyle name="Normal 2 20 4" xfId="10110"/>
    <cellStyle name="Normal 2 20 4 2" xfId="10111"/>
    <cellStyle name="Normal 2 20 4 3" xfId="10112"/>
    <cellStyle name="Normal 2 20 4 4" xfId="10113"/>
    <cellStyle name="Normal 2 20 4 5" xfId="10114"/>
    <cellStyle name="Normal 2 20 5" xfId="10115"/>
    <cellStyle name="Normal 2 20 5 2" xfId="10116"/>
    <cellStyle name="Normal 2 20 5 3" xfId="10117"/>
    <cellStyle name="Normal 2 20 5 4" xfId="10118"/>
    <cellStyle name="Normal 2 20 5 5" xfId="10119"/>
    <cellStyle name="Normal 2 20 6" xfId="10120"/>
    <cellStyle name="Normal 2 20 7" xfId="10121"/>
    <cellStyle name="Normal 2 20 8" xfId="10122"/>
    <cellStyle name="Normal 2 20 9" xfId="10123"/>
    <cellStyle name="Normal 2 21" xfId="10124"/>
    <cellStyle name="Normal 2 21 10" xfId="10125"/>
    <cellStyle name="Normal 2 21 11" xfId="10126"/>
    <cellStyle name="Normal 2 21 2" xfId="10127"/>
    <cellStyle name="Normal 2 21 2 2" xfId="10128"/>
    <cellStyle name="Normal 2 21 2 3" xfId="10129"/>
    <cellStyle name="Normal 2 21 2 4" xfId="10130"/>
    <cellStyle name="Normal 2 21 2 5" xfId="10131"/>
    <cellStyle name="Normal 2 21 2 6" xfId="10132"/>
    <cellStyle name="Normal 2 21 2 7" xfId="10133"/>
    <cellStyle name="Normal 2 21 2 8" xfId="10134"/>
    <cellStyle name="Normal 2 21 3" xfId="10135"/>
    <cellStyle name="Normal 2 21 3 2" xfId="10136"/>
    <cellStyle name="Normal 2 21 3 3" xfId="10137"/>
    <cellStyle name="Normal 2 21 3 4" xfId="10138"/>
    <cellStyle name="Normal 2 21 3 5" xfId="10139"/>
    <cellStyle name="Normal 2 21 4" xfId="10140"/>
    <cellStyle name="Normal 2 21 4 2" xfId="10141"/>
    <cellStyle name="Normal 2 21 4 3" xfId="10142"/>
    <cellStyle name="Normal 2 21 4 4" xfId="10143"/>
    <cellStyle name="Normal 2 21 4 5" xfId="10144"/>
    <cellStyle name="Normal 2 21 5" xfId="10145"/>
    <cellStyle name="Normal 2 21 5 2" xfId="10146"/>
    <cellStyle name="Normal 2 21 5 3" xfId="10147"/>
    <cellStyle name="Normal 2 21 5 4" xfId="10148"/>
    <cellStyle name="Normal 2 21 5 5" xfId="10149"/>
    <cellStyle name="Normal 2 21 6" xfId="10150"/>
    <cellStyle name="Normal 2 21 7" xfId="10151"/>
    <cellStyle name="Normal 2 21 8" xfId="10152"/>
    <cellStyle name="Normal 2 21 9" xfId="10153"/>
    <cellStyle name="Normal 2 22" xfId="10154"/>
    <cellStyle name="Normal 2 22 10" xfId="10155"/>
    <cellStyle name="Normal 2 22 11" xfId="10156"/>
    <cellStyle name="Normal 2 22 2" xfId="10157"/>
    <cellStyle name="Normal 2 22 2 2" xfId="10158"/>
    <cellStyle name="Normal 2 22 2 3" xfId="10159"/>
    <cellStyle name="Normal 2 22 2 4" xfId="10160"/>
    <cellStyle name="Normal 2 22 2 5" xfId="10161"/>
    <cellStyle name="Normal 2 22 3" xfId="10162"/>
    <cellStyle name="Normal 2 22 3 2" xfId="10163"/>
    <cellStyle name="Normal 2 22 3 3" xfId="10164"/>
    <cellStyle name="Normal 2 22 3 4" xfId="10165"/>
    <cellStyle name="Normal 2 22 3 5" xfId="10166"/>
    <cellStyle name="Normal 2 22 4" xfId="10167"/>
    <cellStyle name="Normal 2 22 4 2" xfId="10168"/>
    <cellStyle name="Normal 2 22 4 3" xfId="10169"/>
    <cellStyle name="Normal 2 22 4 4" xfId="10170"/>
    <cellStyle name="Normal 2 22 4 5" xfId="10171"/>
    <cellStyle name="Normal 2 22 5" xfId="10172"/>
    <cellStyle name="Normal 2 22 6" xfId="10173"/>
    <cellStyle name="Normal 2 22 7" xfId="10174"/>
    <cellStyle name="Normal 2 22 8" xfId="10175"/>
    <cellStyle name="Normal 2 22 9" xfId="10176"/>
    <cellStyle name="Normal 2 23" xfId="10177"/>
    <cellStyle name="Normal 2 23 10" xfId="10178"/>
    <cellStyle name="Normal 2 23 11" xfId="10179"/>
    <cellStyle name="Normal 2 23 2" xfId="10180"/>
    <cellStyle name="Normal 2 23 2 2" xfId="10181"/>
    <cellStyle name="Normal 2 23 2 3" xfId="10182"/>
    <cellStyle name="Normal 2 23 2 4" xfId="10183"/>
    <cellStyle name="Normal 2 23 2 5" xfId="10184"/>
    <cellStyle name="Normal 2 23 3" xfId="10185"/>
    <cellStyle name="Normal 2 23 3 2" xfId="10186"/>
    <cellStyle name="Normal 2 23 3 3" xfId="10187"/>
    <cellStyle name="Normal 2 23 3 4" xfId="10188"/>
    <cellStyle name="Normal 2 23 3 5" xfId="10189"/>
    <cellStyle name="Normal 2 23 4" xfId="10190"/>
    <cellStyle name="Normal 2 23 4 2" xfId="10191"/>
    <cellStyle name="Normal 2 23 4 3" xfId="10192"/>
    <cellStyle name="Normal 2 23 4 4" xfId="10193"/>
    <cellStyle name="Normal 2 23 4 5" xfId="10194"/>
    <cellStyle name="Normal 2 23 5" xfId="10195"/>
    <cellStyle name="Normal 2 23 6" xfId="10196"/>
    <cellStyle name="Normal 2 23 7" xfId="10197"/>
    <cellStyle name="Normal 2 23 8" xfId="10198"/>
    <cellStyle name="Normal 2 23 9" xfId="10199"/>
    <cellStyle name="Normal 2 24" xfId="10200"/>
    <cellStyle name="Normal 2 24 10" xfId="10201"/>
    <cellStyle name="Normal 2 24 11" xfId="10202"/>
    <cellStyle name="Normal 2 24 2" xfId="10203"/>
    <cellStyle name="Normal 2 24 2 2" xfId="10204"/>
    <cellStyle name="Normal 2 24 2 3" xfId="10205"/>
    <cellStyle name="Normal 2 24 2 4" xfId="10206"/>
    <cellStyle name="Normal 2 24 2 5" xfId="10207"/>
    <cellStyle name="Normal 2 24 3" xfId="10208"/>
    <cellStyle name="Normal 2 24 3 2" xfId="10209"/>
    <cellStyle name="Normal 2 24 3 3" xfId="10210"/>
    <cellStyle name="Normal 2 24 3 4" xfId="10211"/>
    <cellStyle name="Normal 2 24 3 5" xfId="10212"/>
    <cellStyle name="Normal 2 24 4" xfId="10213"/>
    <cellStyle name="Normal 2 24 4 2" xfId="10214"/>
    <cellStyle name="Normal 2 24 4 3" xfId="10215"/>
    <cellStyle name="Normal 2 24 4 4" xfId="10216"/>
    <cellStyle name="Normal 2 24 4 5" xfId="10217"/>
    <cellStyle name="Normal 2 24 5" xfId="10218"/>
    <cellStyle name="Normal 2 24 6" xfId="10219"/>
    <cellStyle name="Normal 2 24 7" xfId="10220"/>
    <cellStyle name="Normal 2 24 8" xfId="10221"/>
    <cellStyle name="Normal 2 24 9" xfId="10222"/>
    <cellStyle name="Normal 2 25" xfId="10223"/>
    <cellStyle name="Normal 2 25 10" xfId="10224"/>
    <cellStyle name="Normal 2 25 11" xfId="10225"/>
    <cellStyle name="Normal 2 25 2" xfId="10226"/>
    <cellStyle name="Normal 2 25 2 2" xfId="10227"/>
    <cellStyle name="Normal 2 25 2 3" xfId="10228"/>
    <cellStyle name="Normal 2 25 2 4" xfId="10229"/>
    <cellStyle name="Normal 2 25 2 5" xfId="10230"/>
    <cellStyle name="Normal 2 25 3" xfId="10231"/>
    <cellStyle name="Normal 2 25 3 2" xfId="10232"/>
    <cellStyle name="Normal 2 25 3 3" xfId="10233"/>
    <cellStyle name="Normal 2 25 3 4" xfId="10234"/>
    <cellStyle name="Normal 2 25 3 5" xfId="10235"/>
    <cellStyle name="Normal 2 25 4" xfId="10236"/>
    <cellStyle name="Normal 2 25 4 2" xfId="10237"/>
    <cellStyle name="Normal 2 25 4 3" xfId="10238"/>
    <cellStyle name="Normal 2 25 4 4" xfId="10239"/>
    <cellStyle name="Normal 2 25 4 5" xfId="10240"/>
    <cellStyle name="Normal 2 25 5" xfId="10241"/>
    <cellStyle name="Normal 2 25 6" xfId="10242"/>
    <cellStyle name="Normal 2 25 7" xfId="10243"/>
    <cellStyle name="Normal 2 25 8" xfId="10244"/>
    <cellStyle name="Normal 2 25 9" xfId="10245"/>
    <cellStyle name="Normal 2 26" xfId="10246"/>
    <cellStyle name="Normal 2 26 10" xfId="10247"/>
    <cellStyle name="Normal 2 26 11" xfId="10248"/>
    <cellStyle name="Normal 2 26 2" xfId="10249"/>
    <cellStyle name="Normal 2 26 2 2" xfId="10250"/>
    <cellStyle name="Normal 2 26 2 3" xfId="10251"/>
    <cellStyle name="Normal 2 26 2 4" xfId="10252"/>
    <cellStyle name="Normal 2 26 2 5" xfId="10253"/>
    <cellStyle name="Normal 2 26 3" xfId="10254"/>
    <cellStyle name="Normal 2 26 3 2" xfId="10255"/>
    <cellStyle name="Normal 2 26 3 3" xfId="10256"/>
    <cellStyle name="Normal 2 26 3 4" xfId="10257"/>
    <cellStyle name="Normal 2 26 3 5" xfId="10258"/>
    <cellStyle name="Normal 2 26 4" xfId="10259"/>
    <cellStyle name="Normal 2 26 4 2" xfId="10260"/>
    <cellStyle name="Normal 2 26 4 3" xfId="10261"/>
    <cellStyle name="Normal 2 26 4 4" xfId="10262"/>
    <cellStyle name="Normal 2 26 4 5" xfId="10263"/>
    <cellStyle name="Normal 2 26 5" xfId="10264"/>
    <cellStyle name="Normal 2 26 6" xfId="10265"/>
    <cellStyle name="Normal 2 26 7" xfId="10266"/>
    <cellStyle name="Normal 2 26 8" xfId="10267"/>
    <cellStyle name="Normal 2 26 9" xfId="10268"/>
    <cellStyle name="Normal 2 27" xfId="10269"/>
    <cellStyle name="Normal 2 27 10" xfId="10270"/>
    <cellStyle name="Normal 2 27 11" xfId="10271"/>
    <cellStyle name="Normal 2 27 2" xfId="10272"/>
    <cellStyle name="Normal 2 27 3" xfId="10273"/>
    <cellStyle name="Normal 2 27 4" xfId="10274"/>
    <cellStyle name="Normal 2 27 5" xfId="10275"/>
    <cellStyle name="Normal 2 27 6" xfId="10276"/>
    <cellStyle name="Normal 2 27 7" xfId="10277"/>
    <cellStyle name="Normal 2 27 8" xfId="10278"/>
    <cellStyle name="Normal 2 27 9" xfId="10279"/>
    <cellStyle name="Normal 2 28" xfId="10280"/>
    <cellStyle name="Normal 2 28 10" xfId="10281"/>
    <cellStyle name="Normal 2 28 11" xfId="10282"/>
    <cellStyle name="Normal 2 28 2" xfId="10283"/>
    <cellStyle name="Normal 2 28 3" xfId="10284"/>
    <cellStyle name="Normal 2 28 4" xfId="10285"/>
    <cellStyle name="Normal 2 28 5" xfId="10286"/>
    <cellStyle name="Normal 2 28 6" xfId="10287"/>
    <cellStyle name="Normal 2 28 7" xfId="10288"/>
    <cellStyle name="Normal 2 28 8" xfId="10289"/>
    <cellStyle name="Normal 2 28 9" xfId="10290"/>
    <cellStyle name="Normal 2 29" xfId="10291"/>
    <cellStyle name="Normal 2 29 10" xfId="10292"/>
    <cellStyle name="Normal 2 29 11" xfId="10293"/>
    <cellStyle name="Normal 2 29 2" xfId="10294"/>
    <cellStyle name="Normal 2 29 3" xfId="10295"/>
    <cellStyle name="Normal 2 29 4" xfId="10296"/>
    <cellStyle name="Normal 2 29 5" xfId="10297"/>
    <cellStyle name="Normal 2 29 6" xfId="10298"/>
    <cellStyle name="Normal 2 29 7" xfId="10299"/>
    <cellStyle name="Normal 2 29 8" xfId="10300"/>
    <cellStyle name="Normal 2 29 9" xfId="10301"/>
    <cellStyle name="Normal 2 3" xfId="10302"/>
    <cellStyle name="Normal 2 3 10" xfId="10303"/>
    <cellStyle name="Normal 2 3 11" xfId="10304"/>
    <cellStyle name="Normal 2 3 2" xfId="10305"/>
    <cellStyle name="Normal 2 3 2 2" xfId="10306"/>
    <cellStyle name="Normal 2 3 2 2 2" xfId="10307"/>
    <cellStyle name="Normal 2 3 2 2 3" xfId="10308"/>
    <cellStyle name="Normal 2 3 2 2 4" xfId="10309"/>
    <cellStyle name="Normal 2 3 2 3" xfId="10310"/>
    <cellStyle name="Normal 2 3 2 4" xfId="10311"/>
    <cellStyle name="Normal 2 3 2 5" xfId="10312"/>
    <cellStyle name="Normal 2 3 2 6" xfId="10313"/>
    <cellStyle name="Normal 2 3 3" xfId="10314"/>
    <cellStyle name="Normal 2 3 3 2" xfId="10315"/>
    <cellStyle name="Normal 2 3 3 3" xfId="10316"/>
    <cellStyle name="Normal 2 3 3 4" xfId="10317"/>
    <cellStyle name="Normal 2 3 4" xfId="10318"/>
    <cellStyle name="Normal 2 3 4 2" xfId="10319"/>
    <cellStyle name="Normal 2 3 4 3" xfId="10320"/>
    <cellStyle name="Normal 2 3 4 4" xfId="10321"/>
    <cellStyle name="Normal 2 3 4 5" xfId="10322"/>
    <cellStyle name="Normal 2 3 4 6" xfId="10323"/>
    <cellStyle name="Normal 2 3 4 7" xfId="10324"/>
    <cellStyle name="Normal 2 3 4 8" xfId="10325"/>
    <cellStyle name="Normal 2 3 5" xfId="10326"/>
    <cellStyle name="Normal 2 3 6" xfId="10327"/>
    <cellStyle name="Normal 2 3 6 2" xfId="10328"/>
    <cellStyle name="Normal 2 3 6 3" xfId="10329"/>
    <cellStyle name="Normal 2 3 6 4" xfId="10330"/>
    <cellStyle name="Normal 2 3 6 5" xfId="10331"/>
    <cellStyle name="Normal 2 3 7" xfId="10332"/>
    <cellStyle name="Normal 2 3 7 2" xfId="10333"/>
    <cellStyle name="Normal 2 3 7 3" xfId="10334"/>
    <cellStyle name="Normal 2 3 7 4" xfId="10335"/>
    <cellStyle name="Normal 2 3 7 5" xfId="10336"/>
    <cellStyle name="Normal 2 3 8" xfId="10337"/>
    <cellStyle name="Normal 2 3 9" xfId="10338"/>
    <cellStyle name="Normal 2 30" xfId="10339"/>
    <cellStyle name="Normal 2 30 10" xfId="10340"/>
    <cellStyle name="Normal 2 30 11" xfId="10341"/>
    <cellStyle name="Normal 2 30 2" xfId="10342"/>
    <cellStyle name="Normal 2 30 3" xfId="10343"/>
    <cellStyle name="Normal 2 30 4" xfId="10344"/>
    <cellStyle name="Normal 2 30 5" xfId="10345"/>
    <cellStyle name="Normal 2 30 6" xfId="10346"/>
    <cellStyle name="Normal 2 30 7" xfId="10347"/>
    <cellStyle name="Normal 2 30 8" xfId="10348"/>
    <cellStyle name="Normal 2 30 9" xfId="10349"/>
    <cellStyle name="Normal 2 31" xfId="10350"/>
    <cellStyle name="Normal 2 31 10" xfId="10351"/>
    <cellStyle name="Normal 2 31 11" xfId="10352"/>
    <cellStyle name="Normal 2 31 2" xfId="10353"/>
    <cellStyle name="Normal 2 31 3" xfId="10354"/>
    <cellStyle name="Normal 2 31 4" xfId="10355"/>
    <cellStyle name="Normal 2 31 5" xfId="10356"/>
    <cellStyle name="Normal 2 31 6" xfId="10357"/>
    <cellStyle name="Normal 2 31 7" xfId="10358"/>
    <cellStyle name="Normal 2 31 8" xfId="10359"/>
    <cellStyle name="Normal 2 31 9" xfId="10360"/>
    <cellStyle name="Normal 2 32" xfId="10361"/>
    <cellStyle name="Normal 2 32 10" xfId="10362"/>
    <cellStyle name="Normal 2 32 11" xfId="10363"/>
    <cellStyle name="Normal 2 32 2" xfId="10364"/>
    <cellStyle name="Normal 2 32 3" xfId="10365"/>
    <cellStyle name="Normal 2 32 4" xfId="10366"/>
    <cellStyle name="Normal 2 32 5" xfId="10367"/>
    <cellStyle name="Normal 2 32 6" xfId="10368"/>
    <cellStyle name="Normal 2 32 7" xfId="10369"/>
    <cellStyle name="Normal 2 32 8" xfId="10370"/>
    <cellStyle name="Normal 2 32 9" xfId="10371"/>
    <cellStyle name="Normal 2 33" xfId="10372"/>
    <cellStyle name="Normal 2 33 10" xfId="10373"/>
    <cellStyle name="Normal 2 33 11" xfId="10374"/>
    <cellStyle name="Normal 2 33 2" xfId="10375"/>
    <cellStyle name="Normal 2 33 3" xfId="10376"/>
    <cellStyle name="Normal 2 33 4" xfId="10377"/>
    <cellStyle name="Normal 2 33 5" xfId="10378"/>
    <cellStyle name="Normal 2 33 6" xfId="10379"/>
    <cellStyle name="Normal 2 33 7" xfId="10380"/>
    <cellStyle name="Normal 2 33 8" xfId="10381"/>
    <cellStyle name="Normal 2 33 9" xfId="10382"/>
    <cellStyle name="Normal 2 34" xfId="10383"/>
    <cellStyle name="Normal 2 34 2" xfId="10384"/>
    <cellStyle name="Normal 2 34 3" xfId="10385"/>
    <cellStyle name="Normal 2 34 4" xfId="10386"/>
    <cellStyle name="Normal 2 34 5" xfId="10387"/>
    <cellStyle name="Normal 2 34 6" xfId="10388"/>
    <cellStyle name="Normal 2 35" xfId="10389"/>
    <cellStyle name="Normal 2 35 10" xfId="10390"/>
    <cellStyle name="Normal 2 35 10 2" xfId="10391"/>
    <cellStyle name="Normal 2 35 11" xfId="10392"/>
    <cellStyle name="Normal 2 35 2" xfId="10393"/>
    <cellStyle name="Normal 2 35 2 2" xfId="10394"/>
    <cellStyle name="Normal 2 35 2 2 2" xfId="10395"/>
    <cellStyle name="Normal 2 35 2 3" xfId="10396"/>
    <cellStyle name="Normal 2 35 2 3 2" xfId="10397"/>
    <cellStyle name="Normal 2 35 2 4" xfId="10398"/>
    <cellStyle name="Normal 2 35 3" xfId="10399"/>
    <cellStyle name="Normal 2 35 3 2" xfId="10400"/>
    <cellStyle name="Normal 2 35 3 2 2" xfId="10401"/>
    <cellStyle name="Normal 2 35 3 3" xfId="10402"/>
    <cellStyle name="Normal 2 35 3 3 2" xfId="10403"/>
    <cellStyle name="Normal 2 35 3 4" xfId="10404"/>
    <cellStyle name="Normal 2 35 4" xfId="10405"/>
    <cellStyle name="Normal 2 35 4 2" xfId="10406"/>
    <cellStyle name="Normal 2 35 4 2 2" xfId="10407"/>
    <cellStyle name="Normal 2 35 4 3" xfId="10408"/>
    <cellStyle name="Normal 2 35 4 3 2" xfId="10409"/>
    <cellStyle name="Normal 2 35 4 4" xfId="10410"/>
    <cellStyle name="Normal 2 35 5" xfId="10411"/>
    <cellStyle name="Normal 2 35 5 2" xfId="10412"/>
    <cellStyle name="Normal 2 35 6" xfId="10413"/>
    <cellStyle name="Normal 2 35 6 2" xfId="10414"/>
    <cellStyle name="Normal 2 35 7" xfId="10415"/>
    <cellStyle name="Normal 2 35 7 2" xfId="10416"/>
    <cellStyle name="Normal 2 35 8" xfId="10417"/>
    <cellStyle name="Normal 2 35 8 2" xfId="10418"/>
    <cellStyle name="Normal 2 35 9" xfId="10419"/>
    <cellStyle name="Normal 2 35 9 2" xfId="10420"/>
    <cellStyle name="Normal 2 36" xfId="10421"/>
    <cellStyle name="Normal 2 37" xfId="10422"/>
    <cellStyle name="Normal 2 38" xfId="10423"/>
    <cellStyle name="Normal 2 39" xfId="10424"/>
    <cellStyle name="Normal 2 4" xfId="10425"/>
    <cellStyle name="Normal 2 4 10" xfId="10426"/>
    <cellStyle name="Normal 2 4 11" xfId="10427"/>
    <cellStyle name="Normal 2 4 2" xfId="10428"/>
    <cellStyle name="Normal 2 4 2 2" xfId="10429"/>
    <cellStyle name="Normal 2 4 2 3" xfId="10430"/>
    <cellStyle name="Normal 2 4 2 4" xfId="10431"/>
    <cellStyle name="Normal 2 4 2 5" xfId="10432"/>
    <cellStyle name="Normal 2 4 2 6" xfId="10433"/>
    <cellStyle name="Normal 2 4 3" xfId="10434"/>
    <cellStyle name="Normal 2 4 3 2" xfId="10435"/>
    <cellStyle name="Normal 2 4 3 2 2" xfId="10436"/>
    <cellStyle name="Normal 2 4 3 3" xfId="10437"/>
    <cellStyle name="Normal 2 4 3 4" xfId="10438"/>
    <cellStyle name="Normal 2 4 4" xfId="10439"/>
    <cellStyle name="Normal 2 4 5" xfId="10440"/>
    <cellStyle name="Normal 2 4 5 2" xfId="10441"/>
    <cellStyle name="Normal 2 4 5 3" xfId="10442"/>
    <cellStyle name="Normal 2 4 5 4" xfId="10443"/>
    <cellStyle name="Normal 2 4 5 5" xfId="10444"/>
    <cellStyle name="Normal 2 4 6" xfId="10445"/>
    <cellStyle name="Normal 2 4 6 2" xfId="10446"/>
    <cellStyle name="Normal 2 4 6 3" xfId="10447"/>
    <cellStyle name="Normal 2 4 6 4" xfId="10448"/>
    <cellStyle name="Normal 2 4 6 5" xfId="10449"/>
    <cellStyle name="Normal 2 4 7" xfId="10450"/>
    <cellStyle name="Normal 2 4 8" xfId="10451"/>
    <cellStyle name="Normal 2 4 9" xfId="10452"/>
    <cellStyle name="Normal 2 40" xfId="10453"/>
    <cellStyle name="Normal 2 41" xfId="10454"/>
    <cellStyle name="Normal 2 42" xfId="10455"/>
    <cellStyle name="Normal 2 43" xfId="10456"/>
    <cellStyle name="Normal 2 44" xfId="10457"/>
    <cellStyle name="Normal 2 45" xfId="10458"/>
    <cellStyle name="Normal 2 46" xfId="10459"/>
    <cellStyle name="Normal 2 47" xfId="10460"/>
    <cellStyle name="Normal 2 48" xfId="10461"/>
    <cellStyle name="Normal 2 49" xfId="10462"/>
    <cellStyle name="Normal 2 49 3" xfId="10463"/>
    <cellStyle name="Normal 2 5" xfId="10464"/>
    <cellStyle name="Normal 2 5 10" xfId="10465"/>
    <cellStyle name="Normal 2 5 11" xfId="10466"/>
    <cellStyle name="Normal 2 5 2" xfId="10467"/>
    <cellStyle name="Normal 2 5 2 2" xfId="10468"/>
    <cellStyle name="Normal 2 5 2 3" xfId="10469"/>
    <cellStyle name="Normal 2 5 2 4" xfId="10470"/>
    <cellStyle name="Normal 2 5 3" xfId="10471"/>
    <cellStyle name="Normal 2 5 4" xfId="10472"/>
    <cellStyle name="Normal 2 5 5" xfId="10473"/>
    <cellStyle name="Normal 2 5 5 2" xfId="10474"/>
    <cellStyle name="Normal 2 5 5 3" xfId="10475"/>
    <cellStyle name="Normal 2 5 5 4" xfId="10476"/>
    <cellStyle name="Normal 2 5 5 5" xfId="10477"/>
    <cellStyle name="Normal 2 5 6" xfId="10478"/>
    <cellStyle name="Normal 2 5 6 2" xfId="10479"/>
    <cellStyle name="Normal 2 5 6 3" xfId="10480"/>
    <cellStyle name="Normal 2 5 6 4" xfId="10481"/>
    <cellStyle name="Normal 2 5 6 5" xfId="10482"/>
    <cellStyle name="Normal 2 5 7" xfId="10483"/>
    <cellStyle name="Normal 2 5 8" xfId="10484"/>
    <cellStyle name="Normal 2 5 9" xfId="10485"/>
    <cellStyle name="Normal 2 50" xfId="10486"/>
    <cellStyle name="Normal 2 51" xfId="10487"/>
    <cellStyle name="Normal 2 52" xfId="10488"/>
    <cellStyle name="Normal 2 53" xfId="10489"/>
    <cellStyle name="Normal 2 54" xfId="10490"/>
    <cellStyle name="Normal 2 6" xfId="10491"/>
    <cellStyle name="Normal 2 6 2" xfId="10492"/>
    <cellStyle name="Normal 2 6 2 2" xfId="10493"/>
    <cellStyle name="Normal 2 6 2 3" xfId="10494"/>
    <cellStyle name="Normal 2 6 2 4" xfId="10495"/>
    <cellStyle name="Normal 2 6 2 5" xfId="10496"/>
    <cellStyle name="Normal 2 6 3" xfId="10497"/>
    <cellStyle name="Normal 2 6 3 2" xfId="10498"/>
    <cellStyle name="Normal 2 6 3 3" xfId="10499"/>
    <cellStyle name="Normal 2 6 3 4" xfId="10500"/>
    <cellStyle name="Normal 2 6 3 5" xfId="10501"/>
    <cellStyle name="Normal 2 6 4" xfId="10502"/>
    <cellStyle name="Normal 2 6 4 2" xfId="10503"/>
    <cellStyle name="Normal 2 6 4 3" xfId="10504"/>
    <cellStyle name="Normal 2 6 4 4" xfId="10505"/>
    <cellStyle name="Normal 2 6 4 5" xfId="10506"/>
    <cellStyle name="Normal 2 6 5" xfId="10507"/>
    <cellStyle name="Normal 2 6 6" xfId="10508"/>
    <cellStyle name="Normal 2 6 7" xfId="10509"/>
    <cellStyle name="Normal 2 6 8" xfId="10510"/>
    <cellStyle name="Normal 2 65" xfId="10511"/>
    <cellStyle name="Normal 2 66" xfId="10512"/>
    <cellStyle name="Normal 2 67" xfId="10513"/>
    <cellStyle name="Normal 2 68" xfId="10514"/>
    <cellStyle name="Normal 2 7" xfId="10515"/>
    <cellStyle name="Normal 2 7 10" xfId="10516"/>
    <cellStyle name="Normal 2 7 10 2" xfId="10517"/>
    <cellStyle name="Normal 2 7 10 2 2" xfId="10518"/>
    <cellStyle name="Normal 2 7 10 2 3" xfId="10519"/>
    <cellStyle name="Normal 2 7 10 2 4" xfId="10520"/>
    <cellStyle name="Normal 2 7 10 3" xfId="10521"/>
    <cellStyle name="Normal 2 7 10 4" xfId="10522"/>
    <cellStyle name="Normal 2 7 10 5" xfId="10523"/>
    <cellStyle name="Normal 2 7 10 6" xfId="10524"/>
    <cellStyle name="Normal 2 7 10 7" xfId="10525"/>
    <cellStyle name="Normal 2 7 10 8" xfId="10526"/>
    <cellStyle name="Normal 2 7 10 9" xfId="10527"/>
    <cellStyle name="Normal 2 7 11" xfId="10528"/>
    <cellStyle name="Normal 2 7 11 2" xfId="10529"/>
    <cellStyle name="Normal 2 7 11 3" xfId="10530"/>
    <cellStyle name="Normal 2 7 11 4" xfId="10531"/>
    <cellStyle name="Normal 2 7 12" xfId="10532"/>
    <cellStyle name="Normal 2 7 12 2" xfId="10533"/>
    <cellStyle name="Normal 2 7 12 3" xfId="10534"/>
    <cellStyle name="Normal 2 7 13" xfId="10535"/>
    <cellStyle name="Normal 2 7 13 2" xfId="10536"/>
    <cellStyle name="Normal 2 7 13 3" xfId="10537"/>
    <cellStyle name="Normal 2 7 13 4" xfId="10538"/>
    <cellStyle name="Normal 2 7 14" xfId="10539"/>
    <cellStyle name="Normal 2 7 15" xfId="10540"/>
    <cellStyle name="Normal 2 7 16" xfId="10541"/>
    <cellStyle name="Normal 2 7 17" xfId="10542"/>
    <cellStyle name="Normal 2 7 2" xfId="10543"/>
    <cellStyle name="Normal 2 7 2 10" xfId="10544"/>
    <cellStyle name="Normal 2 7 2 11" xfId="10545"/>
    <cellStyle name="Normal 2 7 2 12" xfId="10546"/>
    <cellStyle name="Normal 2 7 2 13" xfId="10547"/>
    <cellStyle name="Normal 2 7 2 2" xfId="10548"/>
    <cellStyle name="Normal 2 7 2 2 2" xfId="10549"/>
    <cellStyle name="Normal 2 7 2 2 3" xfId="10550"/>
    <cellStyle name="Normal 2 7 2 2 4" xfId="10551"/>
    <cellStyle name="Normal 2 7 2 2 5" xfId="10552"/>
    <cellStyle name="Normal 2 7 2 2 6" xfId="10553"/>
    <cellStyle name="Normal 2 7 2 2 7" xfId="10554"/>
    <cellStyle name="Normal 2 7 2 2 8" xfId="10555"/>
    <cellStyle name="Normal 2 7 2 3" xfId="10556"/>
    <cellStyle name="Normal 2 7 2 3 2" xfId="10557"/>
    <cellStyle name="Normal 2 7 2 3 3" xfId="10558"/>
    <cellStyle name="Normal 2 7 2 3 4" xfId="10559"/>
    <cellStyle name="Normal 2 7 2 3 5" xfId="10560"/>
    <cellStyle name="Normal 2 7 2 4" xfId="10561"/>
    <cellStyle name="Normal 2 7 2 4 10" xfId="10562"/>
    <cellStyle name="Normal 2 7 2 4 2" xfId="10563"/>
    <cellStyle name="Normal 2 7 2 4 2 2" xfId="10564"/>
    <cellStyle name="Normal 2 7 2 4 2 2 2" xfId="10565"/>
    <cellStyle name="Normal 2 7 2 4 2 2 3" xfId="10566"/>
    <cellStyle name="Normal 2 7 2 4 2 2 4" xfId="10567"/>
    <cellStyle name="Normal 2 7 2 4 2 3" xfId="10568"/>
    <cellStyle name="Normal 2 7 2 4 2 4" xfId="10569"/>
    <cellStyle name="Normal 2 7 2 4 2 5" xfId="10570"/>
    <cellStyle name="Normal 2 7 2 4 2 6" xfId="10571"/>
    <cellStyle name="Normal 2 7 2 4 2 7" xfId="10572"/>
    <cellStyle name="Normal 2 7 2 4 2 8" xfId="10573"/>
    <cellStyle name="Normal 2 7 2 4 2 9" xfId="10574"/>
    <cellStyle name="Normal 2 7 2 4 3" xfId="10575"/>
    <cellStyle name="Normal 2 7 2 4 3 2" xfId="10576"/>
    <cellStyle name="Normal 2 7 2 4 3 3" xfId="10577"/>
    <cellStyle name="Normal 2 7 2 4 3 4" xfId="10578"/>
    <cellStyle name="Normal 2 7 2 4 4" xfId="10579"/>
    <cellStyle name="Normal 2 7 2 4 5" xfId="10580"/>
    <cellStyle name="Normal 2 7 2 4 6" xfId="10581"/>
    <cellStyle name="Normal 2 7 2 4 7" xfId="10582"/>
    <cellStyle name="Normal 2 7 2 4 8" xfId="10583"/>
    <cellStyle name="Normal 2 7 2 4 9" xfId="10584"/>
    <cellStyle name="Normal 2 7 2 5" xfId="10585"/>
    <cellStyle name="Normal 2 7 2 5 2" xfId="10586"/>
    <cellStyle name="Normal 2 7 2 5 2 2" xfId="10587"/>
    <cellStyle name="Normal 2 7 2 5 2 2 2" xfId="10588"/>
    <cellStyle name="Normal 2 7 2 5 2 2 3" xfId="10589"/>
    <cellStyle name="Normal 2 7 2 5 2 2 4" xfId="10590"/>
    <cellStyle name="Normal 2 7 2 5 2 3" xfId="10591"/>
    <cellStyle name="Normal 2 7 2 5 2 4" xfId="10592"/>
    <cellStyle name="Normal 2 7 2 5 2 5" xfId="10593"/>
    <cellStyle name="Normal 2 7 2 5 3" xfId="10594"/>
    <cellStyle name="Normal 2 7 2 5 3 2" xfId="10595"/>
    <cellStyle name="Normal 2 7 2 5 3 3" xfId="10596"/>
    <cellStyle name="Normal 2 7 2 5 3 4" xfId="10597"/>
    <cellStyle name="Normal 2 7 2 5 4" xfId="10598"/>
    <cellStyle name="Normal 2 7 2 5 5" xfId="10599"/>
    <cellStyle name="Normal 2 7 2 5 6" xfId="10600"/>
    <cellStyle name="Normal 2 7 2 6" xfId="10601"/>
    <cellStyle name="Normal 2 7 2 6 2" xfId="10602"/>
    <cellStyle name="Normal 2 7 2 6 2 2" xfId="10603"/>
    <cellStyle name="Normal 2 7 2 6 2 3" xfId="10604"/>
    <cellStyle name="Normal 2 7 2 6 2 4" xfId="10605"/>
    <cellStyle name="Normal 2 7 2 6 3" xfId="10606"/>
    <cellStyle name="Normal 2 7 2 6 4" xfId="10607"/>
    <cellStyle name="Normal 2 7 2 6 5" xfId="10608"/>
    <cellStyle name="Normal 2 7 2 7" xfId="10609"/>
    <cellStyle name="Normal 2 7 2 7 2" xfId="10610"/>
    <cellStyle name="Normal 2 7 2 7 2 2" xfId="10611"/>
    <cellStyle name="Normal 2 7 2 7 2 3" xfId="10612"/>
    <cellStyle name="Normal 2 7 2 7 2 4" xfId="10613"/>
    <cellStyle name="Normal 2 7 2 7 3" xfId="10614"/>
    <cellStyle name="Normal 2 7 2 7 4" xfId="10615"/>
    <cellStyle name="Normal 2 7 2 7 5" xfId="10616"/>
    <cellStyle name="Normal 2 7 2 8" xfId="10617"/>
    <cellStyle name="Normal 2 7 2 8 2" xfId="10618"/>
    <cellStyle name="Normal 2 7 2 8 3" xfId="10619"/>
    <cellStyle name="Normal 2 7 2 8 4" xfId="10620"/>
    <cellStyle name="Normal 2 7 2 9" xfId="10621"/>
    <cellStyle name="Normal 2 7 2 9 2" xfId="10622"/>
    <cellStyle name="Normal 2 7 2 9 3" xfId="10623"/>
    <cellStyle name="Normal 2 7 2 9 4" xfId="10624"/>
    <cellStyle name="Normal 2 7 3" xfId="10625"/>
    <cellStyle name="Normal 2 7 3 10" xfId="10626"/>
    <cellStyle name="Normal 2 7 3 10 2" xfId="10627"/>
    <cellStyle name="Normal 2 7 3 10 3" xfId="10628"/>
    <cellStyle name="Normal 2 7 3 10 4" xfId="10629"/>
    <cellStyle name="Normal 2 7 3 10 5" xfId="10630"/>
    <cellStyle name="Normal 2 7 3 10 6" xfId="10631"/>
    <cellStyle name="Normal 2 7 3 10 7" xfId="10632"/>
    <cellStyle name="Normal 2 7 3 10 8" xfId="10633"/>
    <cellStyle name="Normal 2 7 3 11" xfId="10634"/>
    <cellStyle name="Normal 2 7 3 12" xfId="10635"/>
    <cellStyle name="Normal 2 7 3 13" xfId="10636"/>
    <cellStyle name="Normal 2 7 3 14" xfId="10637"/>
    <cellStyle name="Normal 2 7 3 15" xfId="10638"/>
    <cellStyle name="Normal 2 7 3 16" xfId="10639"/>
    <cellStyle name="Normal 2 7 3 17" xfId="10640"/>
    <cellStyle name="Normal 2 7 3 18" xfId="10641"/>
    <cellStyle name="Normal 2 7 3 2" xfId="10642"/>
    <cellStyle name="Normal 2 7 3 2 10" xfId="10643"/>
    <cellStyle name="Normal 2 7 3 2 11" xfId="10644"/>
    <cellStyle name="Normal 2 7 3 2 12" xfId="10645"/>
    <cellStyle name="Normal 2 7 3 2 13" xfId="10646"/>
    <cellStyle name="Normal 2 7 3 2 14" xfId="10647"/>
    <cellStyle name="Normal 2 7 3 2 2" xfId="10648"/>
    <cellStyle name="Normal 2 7 3 2 2 10" xfId="10649"/>
    <cellStyle name="Normal 2 7 3 2 2 2" xfId="10650"/>
    <cellStyle name="Normal 2 7 3 2 2 2 2" xfId="10651"/>
    <cellStyle name="Normal 2 7 3 2 2 2 2 2" xfId="10652"/>
    <cellStyle name="Normal 2 7 3 2 2 2 2 3" xfId="10653"/>
    <cellStyle name="Normal 2 7 3 2 2 2 2 4" xfId="10654"/>
    <cellStyle name="Normal 2 7 3 2 2 2 3" xfId="10655"/>
    <cellStyle name="Normal 2 7 3 2 2 2 4" xfId="10656"/>
    <cellStyle name="Normal 2 7 3 2 2 2 5" xfId="10657"/>
    <cellStyle name="Normal 2 7 3 2 2 3" xfId="10658"/>
    <cellStyle name="Normal 2 7 3 2 2 3 2" xfId="10659"/>
    <cellStyle name="Normal 2 7 3 2 2 3 3" xfId="10660"/>
    <cellStyle name="Normal 2 7 3 2 2 3 4" xfId="10661"/>
    <cellStyle name="Normal 2 7 3 2 2 4" xfId="10662"/>
    <cellStyle name="Normal 2 7 3 2 2 5" xfId="10663"/>
    <cellStyle name="Normal 2 7 3 2 2 6" xfId="10664"/>
    <cellStyle name="Normal 2 7 3 2 2 7" xfId="10665"/>
    <cellStyle name="Normal 2 7 3 2 2 8" xfId="10666"/>
    <cellStyle name="Normal 2 7 3 2 2 9" xfId="10667"/>
    <cellStyle name="Normal 2 7 3 2 3" xfId="10668"/>
    <cellStyle name="Normal 2 7 3 2 3 10" xfId="10669"/>
    <cellStyle name="Normal 2 7 3 2 3 2" xfId="10670"/>
    <cellStyle name="Normal 2 7 3 2 3 2 2" xfId="10671"/>
    <cellStyle name="Normal 2 7 3 2 3 2 2 2" xfId="10672"/>
    <cellStyle name="Normal 2 7 3 2 3 2 2 3" xfId="10673"/>
    <cellStyle name="Normal 2 7 3 2 3 2 2 4" xfId="10674"/>
    <cellStyle name="Normal 2 7 3 2 3 2 3" xfId="10675"/>
    <cellStyle name="Normal 2 7 3 2 3 2 4" xfId="10676"/>
    <cellStyle name="Normal 2 7 3 2 3 2 5" xfId="10677"/>
    <cellStyle name="Normal 2 7 3 2 3 3" xfId="10678"/>
    <cellStyle name="Normal 2 7 3 2 3 3 2" xfId="10679"/>
    <cellStyle name="Normal 2 7 3 2 3 3 3" xfId="10680"/>
    <cellStyle name="Normal 2 7 3 2 3 3 4" xfId="10681"/>
    <cellStyle name="Normal 2 7 3 2 3 4" xfId="10682"/>
    <cellStyle name="Normal 2 7 3 2 3 5" xfId="10683"/>
    <cellStyle name="Normal 2 7 3 2 3 6" xfId="10684"/>
    <cellStyle name="Normal 2 7 3 2 3 7" xfId="10685"/>
    <cellStyle name="Normal 2 7 3 2 3 8" xfId="10686"/>
    <cellStyle name="Normal 2 7 3 2 3 9" xfId="10687"/>
    <cellStyle name="Normal 2 7 3 2 4" xfId="10688"/>
    <cellStyle name="Normal 2 7 3 2 4 2" xfId="10689"/>
    <cellStyle name="Normal 2 7 3 2 4 2 2" xfId="10690"/>
    <cellStyle name="Normal 2 7 3 2 4 2 3" xfId="10691"/>
    <cellStyle name="Normal 2 7 3 2 4 2 4" xfId="10692"/>
    <cellStyle name="Normal 2 7 3 2 4 3" xfId="10693"/>
    <cellStyle name="Normal 2 7 3 2 4 4" xfId="10694"/>
    <cellStyle name="Normal 2 7 3 2 4 5" xfId="10695"/>
    <cellStyle name="Normal 2 7 3 2 5" xfId="10696"/>
    <cellStyle name="Normal 2 7 3 2 5 2" xfId="10697"/>
    <cellStyle name="Normal 2 7 3 2 5 2 2" xfId="10698"/>
    <cellStyle name="Normal 2 7 3 2 5 2 3" xfId="10699"/>
    <cellStyle name="Normal 2 7 3 2 5 2 4" xfId="10700"/>
    <cellStyle name="Normal 2 7 3 2 5 3" xfId="10701"/>
    <cellStyle name="Normal 2 7 3 2 5 4" xfId="10702"/>
    <cellStyle name="Normal 2 7 3 2 5 5" xfId="10703"/>
    <cellStyle name="Normal 2 7 3 2 6" xfId="10704"/>
    <cellStyle name="Normal 2 7 3 2 6 2" xfId="10705"/>
    <cellStyle name="Normal 2 7 3 2 6 3" xfId="10706"/>
    <cellStyle name="Normal 2 7 3 2 6 4" xfId="10707"/>
    <cellStyle name="Normal 2 7 3 2 7" xfId="10708"/>
    <cellStyle name="Normal 2 7 3 2 7 2" xfId="10709"/>
    <cellStyle name="Normal 2 7 3 2 7 3" xfId="10710"/>
    <cellStyle name="Normal 2 7 3 2 7 4" xfId="10711"/>
    <cellStyle name="Normal 2 7 3 2 8" xfId="10712"/>
    <cellStyle name="Normal 2 7 3 2 9" xfId="10713"/>
    <cellStyle name="Normal 2 7 3 3" xfId="10714"/>
    <cellStyle name="Normal 2 7 3 3 2" xfId="10715"/>
    <cellStyle name="Normal 2 7 3 3 2 2" xfId="10716"/>
    <cellStyle name="Normal 2 7 3 3 3" xfId="10717"/>
    <cellStyle name="Normal 2 7 3 3 3 2" xfId="10718"/>
    <cellStyle name="Normal 2 7 3 3 4" xfId="10719"/>
    <cellStyle name="Normal 2 7 3 3 5" xfId="10720"/>
    <cellStyle name="Normal 2 7 3 3 6" xfId="10721"/>
    <cellStyle name="Normal 2 7 3 4" xfId="10722"/>
    <cellStyle name="Normal 2 7 3 4 10" xfId="10723"/>
    <cellStyle name="Normal 2 7 3 4 2" xfId="10724"/>
    <cellStyle name="Normal 2 7 3 4 2 2" xfId="10725"/>
    <cellStyle name="Normal 2 7 3 4 2 2 2" xfId="10726"/>
    <cellStyle name="Normal 2 7 3 4 2 2 3" xfId="10727"/>
    <cellStyle name="Normal 2 7 3 4 2 2 4" xfId="10728"/>
    <cellStyle name="Normal 2 7 3 4 2 3" xfId="10729"/>
    <cellStyle name="Normal 2 7 3 4 2 4" xfId="10730"/>
    <cellStyle name="Normal 2 7 3 4 2 5" xfId="10731"/>
    <cellStyle name="Normal 2 7 3 4 2 6" xfId="10732"/>
    <cellStyle name="Normal 2 7 3 4 2 7" xfId="10733"/>
    <cellStyle name="Normal 2 7 3 4 2 8" xfId="10734"/>
    <cellStyle name="Normal 2 7 3 4 2 9" xfId="10735"/>
    <cellStyle name="Normal 2 7 3 4 3" xfId="10736"/>
    <cellStyle name="Normal 2 7 3 4 3 2" xfId="10737"/>
    <cellStyle name="Normal 2 7 3 4 3 3" xfId="10738"/>
    <cellStyle name="Normal 2 7 3 4 3 4" xfId="10739"/>
    <cellStyle name="Normal 2 7 3 4 3 5" xfId="10740"/>
    <cellStyle name="Normal 2 7 3 4 3 6" xfId="10741"/>
    <cellStyle name="Normal 2 7 3 4 3 7" xfId="10742"/>
    <cellStyle name="Normal 2 7 3 4 3 8" xfId="10743"/>
    <cellStyle name="Normal 2 7 3 4 4" xfId="10744"/>
    <cellStyle name="Normal 2 7 3 4 5" xfId="10745"/>
    <cellStyle name="Normal 2 7 3 4 6" xfId="10746"/>
    <cellStyle name="Normal 2 7 3 4 7" xfId="10747"/>
    <cellStyle name="Normal 2 7 3 4 8" xfId="10748"/>
    <cellStyle name="Normal 2 7 3 4 9" xfId="10749"/>
    <cellStyle name="Normal 2 7 3 5" xfId="10750"/>
    <cellStyle name="Normal 2 7 3 5 10" xfId="10751"/>
    <cellStyle name="Normal 2 7 3 5 2" xfId="10752"/>
    <cellStyle name="Normal 2 7 3 5 2 2" xfId="10753"/>
    <cellStyle name="Normal 2 7 3 5 2 2 2" xfId="10754"/>
    <cellStyle name="Normal 2 7 3 5 2 2 3" xfId="10755"/>
    <cellStyle name="Normal 2 7 3 5 2 2 4" xfId="10756"/>
    <cellStyle name="Normal 2 7 3 5 2 3" xfId="10757"/>
    <cellStyle name="Normal 2 7 3 5 2 4" xfId="10758"/>
    <cellStyle name="Normal 2 7 3 5 2 5" xfId="10759"/>
    <cellStyle name="Normal 2 7 3 5 3" xfId="10760"/>
    <cellStyle name="Normal 2 7 3 5 3 2" xfId="10761"/>
    <cellStyle name="Normal 2 7 3 5 3 3" xfId="10762"/>
    <cellStyle name="Normal 2 7 3 5 3 4" xfId="10763"/>
    <cellStyle name="Normal 2 7 3 5 4" xfId="10764"/>
    <cellStyle name="Normal 2 7 3 5 5" xfId="10765"/>
    <cellStyle name="Normal 2 7 3 5 6" xfId="10766"/>
    <cellStyle name="Normal 2 7 3 5 7" xfId="10767"/>
    <cellStyle name="Normal 2 7 3 5 8" xfId="10768"/>
    <cellStyle name="Normal 2 7 3 5 9" xfId="10769"/>
    <cellStyle name="Normal 2 7 3 6" xfId="10770"/>
    <cellStyle name="Normal 2 7 3 6 2" xfId="10771"/>
    <cellStyle name="Normal 2 7 3 6 2 2" xfId="10772"/>
    <cellStyle name="Normal 2 7 3 6 2 3" xfId="10773"/>
    <cellStyle name="Normal 2 7 3 6 2 4" xfId="10774"/>
    <cellStyle name="Normal 2 7 3 6 3" xfId="10775"/>
    <cellStyle name="Normal 2 7 3 6 4" xfId="10776"/>
    <cellStyle name="Normal 2 7 3 6 5" xfId="10777"/>
    <cellStyle name="Normal 2 7 3 6 6" xfId="10778"/>
    <cellStyle name="Normal 2 7 3 6 7" xfId="10779"/>
    <cellStyle name="Normal 2 7 3 6 8" xfId="10780"/>
    <cellStyle name="Normal 2 7 3 6 9" xfId="10781"/>
    <cellStyle name="Normal 2 7 3 7" xfId="10782"/>
    <cellStyle name="Normal 2 7 3 7 2" xfId="10783"/>
    <cellStyle name="Normal 2 7 3 7 2 2" xfId="10784"/>
    <cellStyle name="Normal 2 7 3 7 2 3" xfId="10785"/>
    <cellStyle name="Normal 2 7 3 7 2 4" xfId="10786"/>
    <cellStyle name="Normal 2 7 3 7 3" xfId="10787"/>
    <cellStyle name="Normal 2 7 3 7 4" xfId="10788"/>
    <cellStyle name="Normal 2 7 3 7 5" xfId="10789"/>
    <cellStyle name="Normal 2 7 3 7 6" xfId="10790"/>
    <cellStyle name="Normal 2 7 3 7 7" xfId="10791"/>
    <cellStyle name="Normal 2 7 3 7 8" xfId="10792"/>
    <cellStyle name="Normal 2 7 3 7 9" xfId="10793"/>
    <cellStyle name="Normal 2 7 3 8" xfId="10794"/>
    <cellStyle name="Normal 2 7 3 8 2" xfId="10795"/>
    <cellStyle name="Normal 2 7 3 8 3" xfId="10796"/>
    <cellStyle name="Normal 2 7 3 8 4" xfId="10797"/>
    <cellStyle name="Normal 2 7 3 8 5" xfId="10798"/>
    <cellStyle name="Normal 2 7 3 8 6" xfId="10799"/>
    <cellStyle name="Normal 2 7 3 8 7" xfId="10800"/>
    <cellStyle name="Normal 2 7 3 8 8" xfId="10801"/>
    <cellStyle name="Normal 2 7 3 9" xfId="10802"/>
    <cellStyle name="Normal 2 7 3 9 2" xfId="10803"/>
    <cellStyle name="Normal 2 7 3 9 3" xfId="10804"/>
    <cellStyle name="Normal 2 7 3 9 4" xfId="10805"/>
    <cellStyle name="Normal 2 7 3 9 5" xfId="10806"/>
    <cellStyle name="Normal 2 7 3 9 6" xfId="10807"/>
    <cellStyle name="Normal 2 7 3 9 7" xfId="10808"/>
    <cellStyle name="Normal 2 7 3 9 8" xfId="10809"/>
    <cellStyle name="Normal 2 7 4" xfId="10810"/>
    <cellStyle name="Normal 2 7 4 10" xfId="10811"/>
    <cellStyle name="Normal 2 7 4 11" xfId="10812"/>
    <cellStyle name="Normal 2 7 4 12" xfId="10813"/>
    <cellStyle name="Normal 2 7 4 13" xfId="10814"/>
    <cellStyle name="Normal 2 7 4 14" xfId="10815"/>
    <cellStyle name="Normal 2 7 4 2" xfId="10816"/>
    <cellStyle name="Normal 2 7 4 2 2" xfId="10817"/>
    <cellStyle name="Normal 2 7 4 2 2 2" xfId="10818"/>
    <cellStyle name="Normal 2 7 4 2 2 2 2" xfId="10819"/>
    <cellStyle name="Normal 2 7 4 2 2 2 3" xfId="10820"/>
    <cellStyle name="Normal 2 7 4 2 2 2 4" xfId="10821"/>
    <cellStyle name="Normal 2 7 4 2 2 3" xfId="10822"/>
    <cellStyle name="Normal 2 7 4 2 2 4" xfId="10823"/>
    <cellStyle name="Normal 2 7 4 2 2 5" xfId="10824"/>
    <cellStyle name="Normal 2 7 4 2 3" xfId="10825"/>
    <cellStyle name="Normal 2 7 4 2 3 2" xfId="10826"/>
    <cellStyle name="Normal 2 7 4 2 3 3" xfId="10827"/>
    <cellStyle name="Normal 2 7 4 2 3 4" xfId="10828"/>
    <cellStyle name="Normal 2 7 4 2 4" xfId="10829"/>
    <cellStyle name="Normal 2 7 4 2 5" xfId="10830"/>
    <cellStyle name="Normal 2 7 4 2 6" xfId="10831"/>
    <cellStyle name="Normal 2 7 4 3" xfId="10832"/>
    <cellStyle name="Normal 2 7 4 3 2" xfId="10833"/>
    <cellStyle name="Normal 2 7 4 3 2 2" xfId="10834"/>
    <cellStyle name="Normal 2 7 4 3 2 2 2" xfId="10835"/>
    <cellStyle name="Normal 2 7 4 3 2 2 3" xfId="10836"/>
    <cellStyle name="Normal 2 7 4 3 2 2 4" xfId="10837"/>
    <cellStyle name="Normal 2 7 4 3 2 3" xfId="10838"/>
    <cellStyle name="Normal 2 7 4 3 2 4" xfId="10839"/>
    <cellStyle name="Normal 2 7 4 3 2 5" xfId="10840"/>
    <cellStyle name="Normal 2 7 4 3 3" xfId="10841"/>
    <cellStyle name="Normal 2 7 4 3 3 2" xfId="10842"/>
    <cellStyle name="Normal 2 7 4 3 3 3" xfId="10843"/>
    <cellStyle name="Normal 2 7 4 3 3 4" xfId="10844"/>
    <cellStyle name="Normal 2 7 4 3 4" xfId="10845"/>
    <cellStyle name="Normal 2 7 4 3 5" xfId="10846"/>
    <cellStyle name="Normal 2 7 4 3 6" xfId="10847"/>
    <cellStyle name="Normal 2 7 4 4" xfId="10848"/>
    <cellStyle name="Normal 2 7 4 4 2" xfId="10849"/>
    <cellStyle name="Normal 2 7 4 4 2 2" xfId="10850"/>
    <cellStyle name="Normal 2 7 4 4 2 3" xfId="10851"/>
    <cellStyle name="Normal 2 7 4 4 2 4" xfId="10852"/>
    <cellStyle name="Normal 2 7 4 4 3" xfId="10853"/>
    <cellStyle name="Normal 2 7 4 4 4" xfId="10854"/>
    <cellStyle name="Normal 2 7 4 4 5" xfId="10855"/>
    <cellStyle name="Normal 2 7 4 5" xfId="10856"/>
    <cellStyle name="Normal 2 7 4 5 2" xfId="10857"/>
    <cellStyle name="Normal 2 7 4 5 2 2" xfId="10858"/>
    <cellStyle name="Normal 2 7 4 5 2 3" xfId="10859"/>
    <cellStyle name="Normal 2 7 4 5 2 4" xfId="10860"/>
    <cellStyle name="Normal 2 7 4 5 3" xfId="10861"/>
    <cellStyle name="Normal 2 7 4 5 4" xfId="10862"/>
    <cellStyle name="Normal 2 7 4 5 5" xfId="10863"/>
    <cellStyle name="Normal 2 7 4 6" xfId="10864"/>
    <cellStyle name="Normal 2 7 4 6 2" xfId="10865"/>
    <cellStyle name="Normal 2 7 4 6 3" xfId="10866"/>
    <cellStyle name="Normal 2 7 4 6 4" xfId="10867"/>
    <cellStyle name="Normal 2 7 4 7" xfId="10868"/>
    <cellStyle name="Normal 2 7 4 7 2" xfId="10869"/>
    <cellStyle name="Normal 2 7 4 7 3" xfId="10870"/>
    <cellStyle name="Normal 2 7 4 7 4" xfId="10871"/>
    <cellStyle name="Normal 2 7 4 8" xfId="10872"/>
    <cellStyle name="Normal 2 7 4 9" xfId="10873"/>
    <cellStyle name="Normal 2 7 5" xfId="10874"/>
    <cellStyle name="Normal 2 7 5 10" xfId="10875"/>
    <cellStyle name="Normal 2 7 5 11" xfId="10876"/>
    <cellStyle name="Normal 2 7 5 12" xfId="10877"/>
    <cellStyle name="Normal 2 7 5 13" xfId="10878"/>
    <cellStyle name="Normal 2 7 5 14" xfId="10879"/>
    <cellStyle name="Normal 2 7 5 2" xfId="10880"/>
    <cellStyle name="Normal 2 7 5 2 2" xfId="10881"/>
    <cellStyle name="Normal 2 7 5 2 2 2" xfId="10882"/>
    <cellStyle name="Normal 2 7 5 2 2 2 2" xfId="10883"/>
    <cellStyle name="Normal 2 7 5 2 2 2 3" xfId="10884"/>
    <cellStyle name="Normal 2 7 5 2 2 2 4" xfId="10885"/>
    <cellStyle name="Normal 2 7 5 2 2 3" xfId="10886"/>
    <cellStyle name="Normal 2 7 5 2 2 4" xfId="10887"/>
    <cellStyle name="Normal 2 7 5 2 2 5" xfId="10888"/>
    <cellStyle name="Normal 2 7 5 2 3" xfId="10889"/>
    <cellStyle name="Normal 2 7 5 2 3 2" xfId="10890"/>
    <cellStyle name="Normal 2 7 5 2 3 3" xfId="10891"/>
    <cellStyle name="Normal 2 7 5 2 3 4" xfId="10892"/>
    <cellStyle name="Normal 2 7 5 2 4" xfId="10893"/>
    <cellStyle name="Normal 2 7 5 2 5" xfId="10894"/>
    <cellStyle name="Normal 2 7 5 2 6" xfId="10895"/>
    <cellStyle name="Normal 2 7 5 3" xfId="10896"/>
    <cellStyle name="Normal 2 7 5 3 2" xfId="10897"/>
    <cellStyle name="Normal 2 7 5 3 2 2" xfId="10898"/>
    <cellStyle name="Normal 2 7 5 3 2 2 2" xfId="10899"/>
    <cellStyle name="Normal 2 7 5 3 2 2 3" xfId="10900"/>
    <cellStyle name="Normal 2 7 5 3 2 2 4" xfId="10901"/>
    <cellStyle name="Normal 2 7 5 3 2 3" xfId="10902"/>
    <cellStyle name="Normal 2 7 5 3 2 4" xfId="10903"/>
    <cellStyle name="Normal 2 7 5 3 2 5" xfId="10904"/>
    <cellStyle name="Normal 2 7 5 3 3" xfId="10905"/>
    <cellStyle name="Normal 2 7 5 3 3 2" xfId="10906"/>
    <cellStyle name="Normal 2 7 5 3 3 3" xfId="10907"/>
    <cellStyle name="Normal 2 7 5 3 3 4" xfId="10908"/>
    <cellStyle name="Normal 2 7 5 3 4" xfId="10909"/>
    <cellStyle name="Normal 2 7 5 3 5" xfId="10910"/>
    <cellStyle name="Normal 2 7 5 3 6" xfId="10911"/>
    <cellStyle name="Normal 2 7 5 4" xfId="10912"/>
    <cellStyle name="Normal 2 7 5 4 2" xfId="10913"/>
    <cellStyle name="Normal 2 7 5 4 2 2" xfId="10914"/>
    <cellStyle name="Normal 2 7 5 4 2 3" xfId="10915"/>
    <cellStyle name="Normal 2 7 5 4 2 4" xfId="10916"/>
    <cellStyle name="Normal 2 7 5 4 3" xfId="10917"/>
    <cellStyle name="Normal 2 7 5 4 4" xfId="10918"/>
    <cellStyle name="Normal 2 7 5 4 5" xfId="10919"/>
    <cellStyle name="Normal 2 7 5 5" xfId="10920"/>
    <cellStyle name="Normal 2 7 5 5 2" xfId="10921"/>
    <cellStyle name="Normal 2 7 5 5 2 2" xfId="10922"/>
    <cellStyle name="Normal 2 7 5 5 2 3" xfId="10923"/>
    <cellStyle name="Normal 2 7 5 5 2 4" xfId="10924"/>
    <cellStyle name="Normal 2 7 5 5 3" xfId="10925"/>
    <cellStyle name="Normal 2 7 5 5 4" xfId="10926"/>
    <cellStyle name="Normal 2 7 5 5 5" xfId="10927"/>
    <cellStyle name="Normal 2 7 5 6" xfId="10928"/>
    <cellStyle name="Normal 2 7 5 6 2" xfId="10929"/>
    <cellStyle name="Normal 2 7 5 6 3" xfId="10930"/>
    <cellStyle name="Normal 2 7 5 6 4" xfId="10931"/>
    <cellStyle name="Normal 2 7 5 7" xfId="10932"/>
    <cellStyle name="Normal 2 7 5 7 2" xfId="10933"/>
    <cellStyle name="Normal 2 7 5 7 3" xfId="10934"/>
    <cellStyle name="Normal 2 7 5 7 4" xfId="10935"/>
    <cellStyle name="Normal 2 7 5 8" xfId="10936"/>
    <cellStyle name="Normal 2 7 5 9" xfId="10937"/>
    <cellStyle name="Normal 2 7 6" xfId="10938"/>
    <cellStyle name="Normal 2 7 6 2" xfId="10939"/>
    <cellStyle name="Normal 2 7 6 3" xfId="10940"/>
    <cellStyle name="Normal 2 7 6 4" xfId="10941"/>
    <cellStyle name="Normal 2 7 6 5" xfId="10942"/>
    <cellStyle name="Normal 2 7 7" xfId="10943"/>
    <cellStyle name="Normal 2 7 7 10" xfId="10944"/>
    <cellStyle name="Normal 2 7 7 2" xfId="10945"/>
    <cellStyle name="Normal 2 7 7 2 2" xfId="10946"/>
    <cellStyle name="Normal 2 7 7 2 2 2" xfId="10947"/>
    <cellStyle name="Normal 2 7 7 2 2 3" xfId="10948"/>
    <cellStyle name="Normal 2 7 7 2 2 4" xfId="10949"/>
    <cellStyle name="Normal 2 7 7 2 3" xfId="10950"/>
    <cellStyle name="Normal 2 7 7 2 4" xfId="10951"/>
    <cellStyle name="Normal 2 7 7 2 5" xfId="10952"/>
    <cellStyle name="Normal 2 7 7 3" xfId="10953"/>
    <cellStyle name="Normal 2 7 7 3 2" xfId="10954"/>
    <cellStyle name="Normal 2 7 7 3 3" xfId="10955"/>
    <cellStyle name="Normal 2 7 7 3 4" xfId="10956"/>
    <cellStyle name="Normal 2 7 7 4" xfId="10957"/>
    <cellStyle name="Normal 2 7 7 5" xfId="10958"/>
    <cellStyle name="Normal 2 7 7 6" xfId="10959"/>
    <cellStyle name="Normal 2 7 7 7" xfId="10960"/>
    <cellStyle name="Normal 2 7 7 8" xfId="10961"/>
    <cellStyle name="Normal 2 7 7 9" xfId="10962"/>
    <cellStyle name="Normal 2 7 8" xfId="10963"/>
    <cellStyle name="Normal 2 7 8 10" xfId="10964"/>
    <cellStyle name="Normal 2 7 8 2" xfId="10965"/>
    <cellStyle name="Normal 2 7 8 2 2" xfId="10966"/>
    <cellStyle name="Normal 2 7 8 2 2 2" xfId="10967"/>
    <cellStyle name="Normal 2 7 8 2 2 3" xfId="10968"/>
    <cellStyle name="Normal 2 7 8 2 2 4" xfId="10969"/>
    <cellStyle name="Normal 2 7 8 2 3" xfId="10970"/>
    <cellStyle name="Normal 2 7 8 2 4" xfId="10971"/>
    <cellStyle name="Normal 2 7 8 2 5" xfId="10972"/>
    <cellStyle name="Normal 2 7 8 3" xfId="10973"/>
    <cellStyle name="Normal 2 7 8 3 2" xfId="10974"/>
    <cellStyle name="Normal 2 7 8 3 3" xfId="10975"/>
    <cellStyle name="Normal 2 7 8 3 4" xfId="10976"/>
    <cellStyle name="Normal 2 7 8 4" xfId="10977"/>
    <cellStyle name="Normal 2 7 8 5" xfId="10978"/>
    <cellStyle name="Normal 2 7 8 6" xfId="10979"/>
    <cellStyle name="Normal 2 7 8 7" xfId="10980"/>
    <cellStyle name="Normal 2 7 8 8" xfId="10981"/>
    <cellStyle name="Normal 2 7 8 9" xfId="10982"/>
    <cellStyle name="Normal 2 7 9" xfId="10983"/>
    <cellStyle name="Normal 2 7 9 2" xfId="10984"/>
    <cellStyle name="Normal 2 7 9 2 2" xfId="10985"/>
    <cellStyle name="Normal 2 7 9 2 3" xfId="10986"/>
    <cellStyle name="Normal 2 7 9 2 4" xfId="10987"/>
    <cellStyle name="Normal 2 7 9 3" xfId="10988"/>
    <cellStyle name="Normal 2 7 9 4" xfId="10989"/>
    <cellStyle name="Normal 2 7 9 5" xfId="10990"/>
    <cellStyle name="Normal 2 7 9 6" xfId="10991"/>
    <cellStyle name="Normal 2 7 9 7" xfId="10992"/>
    <cellStyle name="Normal 2 7 9 8" xfId="10993"/>
    <cellStyle name="Normal 2 7 9 9" xfId="10994"/>
    <cellStyle name="Normal 2 8" xfId="10995"/>
    <cellStyle name="Normal 2 8 10" xfId="10996"/>
    <cellStyle name="Normal 2 8 10 2" xfId="10997"/>
    <cellStyle name="Normal 2 8 10 2 2" xfId="10998"/>
    <cellStyle name="Normal 2 8 10 2 3" xfId="10999"/>
    <cellStyle name="Normal 2 8 10 2 4" xfId="11000"/>
    <cellStyle name="Normal 2 8 10 3" xfId="11001"/>
    <cellStyle name="Normal 2 8 10 4" xfId="11002"/>
    <cellStyle name="Normal 2 8 10 5" xfId="11003"/>
    <cellStyle name="Normal 2 8 11" xfId="11004"/>
    <cellStyle name="Normal 2 8 11 2" xfId="11005"/>
    <cellStyle name="Normal 2 8 11 3" xfId="11006"/>
    <cellStyle name="Normal 2 8 11 4" xfId="11007"/>
    <cellStyle name="Normal 2 8 12" xfId="11008"/>
    <cellStyle name="Normal 2 8 12 2" xfId="11009"/>
    <cellStyle name="Normal 2 8 12 3" xfId="11010"/>
    <cellStyle name="Normal 2 8 12 4" xfId="11011"/>
    <cellStyle name="Normal 2 8 13" xfId="11012"/>
    <cellStyle name="Normal 2 8 14" xfId="11013"/>
    <cellStyle name="Normal 2 8 15" xfId="11014"/>
    <cellStyle name="Normal 2 8 16" xfId="11015"/>
    <cellStyle name="Normal 2 8 17" xfId="11016"/>
    <cellStyle name="Normal 2 8 18" xfId="11017"/>
    <cellStyle name="Normal 2 8 19" xfId="11018"/>
    <cellStyle name="Normal 2 8 2" xfId="11019"/>
    <cellStyle name="Normal 2 8 2 10" xfId="11020"/>
    <cellStyle name="Normal 2 8 2 11" xfId="11021"/>
    <cellStyle name="Normal 2 8 2 12" xfId="11022"/>
    <cellStyle name="Normal 2 8 2 13" xfId="11023"/>
    <cellStyle name="Normal 2 8 2 14" xfId="11024"/>
    <cellStyle name="Normal 2 8 2 15" xfId="11025"/>
    <cellStyle name="Normal 2 8 2 2" xfId="11026"/>
    <cellStyle name="Normal 2 8 2 3" xfId="11027"/>
    <cellStyle name="Normal 2 8 2 3 2" xfId="11028"/>
    <cellStyle name="Normal 2 8 2 3 2 2" xfId="11029"/>
    <cellStyle name="Normal 2 8 2 3 2 2 2" xfId="11030"/>
    <cellStyle name="Normal 2 8 2 3 2 2 3" xfId="11031"/>
    <cellStyle name="Normal 2 8 2 3 2 2 4" xfId="11032"/>
    <cellStyle name="Normal 2 8 2 3 2 3" xfId="11033"/>
    <cellStyle name="Normal 2 8 2 3 2 4" xfId="11034"/>
    <cellStyle name="Normal 2 8 2 3 2 5" xfId="11035"/>
    <cellStyle name="Normal 2 8 2 3 3" xfId="11036"/>
    <cellStyle name="Normal 2 8 2 3 3 2" xfId="11037"/>
    <cellStyle name="Normal 2 8 2 3 3 3" xfId="11038"/>
    <cellStyle name="Normal 2 8 2 3 3 4" xfId="11039"/>
    <cellStyle name="Normal 2 8 2 3 4" xfId="11040"/>
    <cellStyle name="Normal 2 8 2 3 5" xfId="11041"/>
    <cellStyle name="Normal 2 8 2 3 6" xfId="11042"/>
    <cellStyle name="Normal 2 8 2 4" xfId="11043"/>
    <cellStyle name="Normal 2 8 2 4 2" xfId="11044"/>
    <cellStyle name="Normal 2 8 2 4 2 2" xfId="11045"/>
    <cellStyle name="Normal 2 8 2 4 2 2 2" xfId="11046"/>
    <cellStyle name="Normal 2 8 2 4 2 2 3" xfId="11047"/>
    <cellStyle name="Normal 2 8 2 4 2 2 4" xfId="11048"/>
    <cellStyle name="Normal 2 8 2 4 2 3" xfId="11049"/>
    <cellStyle name="Normal 2 8 2 4 2 4" xfId="11050"/>
    <cellStyle name="Normal 2 8 2 4 2 5" xfId="11051"/>
    <cellStyle name="Normal 2 8 2 4 3" xfId="11052"/>
    <cellStyle name="Normal 2 8 2 4 3 2" xfId="11053"/>
    <cellStyle name="Normal 2 8 2 4 3 3" xfId="11054"/>
    <cellStyle name="Normal 2 8 2 4 3 4" xfId="11055"/>
    <cellStyle name="Normal 2 8 2 4 4" xfId="11056"/>
    <cellStyle name="Normal 2 8 2 4 5" xfId="11057"/>
    <cellStyle name="Normal 2 8 2 4 6" xfId="11058"/>
    <cellStyle name="Normal 2 8 2 5" xfId="11059"/>
    <cellStyle name="Normal 2 8 2 5 2" xfId="11060"/>
    <cellStyle name="Normal 2 8 2 5 2 2" xfId="11061"/>
    <cellStyle name="Normal 2 8 2 5 2 3" xfId="11062"/>
    <cellStyle name="Normal 2 8 2 5 2 4" xfId="11063"/>
    <cellStyle name="Normal 2 8 2 5 3" xfId="11064"/>
    <cellStyle name="Normal 2 8 2 5 4" xfId="11065"/>
    <cellStyle name="Normal 2 8 2 5 5" xfId="11066"/>
    <cellStyle name="Normal 2 8 2 6" xfId="11067"/>
    <cellStyle name="Normal 2 8 2 6 2" xfId="11068"/>
    <cellStyle name="Normal 2 8 2 6 2 2" xfId="11069"/>
    <cellStyle name="Normal 2 8 2 6 2 3" xfId="11070"/>
    <cellStyle name="Normal 2 8 2 6 2 4" xfId="11071"/>
    <cellStyle name="Normal 2 8 2 6 3" xfId="11072"/>
    <cellStyle name="Normal 2 8 2 6 4" xfId="11073"/>
    <cellStyle name="Normal 2 8 2 6 5" xfId="11074"/>
    <cellStyle name="Normal 2 8 2 7" xfId="11075"/>
    <cellStyle name="Normal 2 8 2 7 2" xfId="11076"/>
    <cellStyle name="Normal 2 8 2 7 3" xfId="11077"/>
    <cellStyle name="Normal 2 8 2 7 4" xfId="11078"/>
    <cellStyle name="Normal 2 8 2 8" xfId="11079"/>
    <cellStyle name="Normal 2 8 2 8 2" xfId="11080"/>
    <cellStyle name="Normal 2 8 2 8 3" xfId="11081"/>
    <cellStyle name="Normal 2 8 2 8 4" xfId="11082"/>
    <cellStyle name="Normal 2 8 2 9" xfId="11083"/>
    <cellStyle name="Normal 2 8 3" xfId="11084"/>
    <cellStyle name="Normal 2 8 3 10" xfId="11085"/>
    <cellStyle name="Normal 2 8 3 11" xfId="11086"/>
    <cellStyle name="Normal 2 8 3 12" xfId="11087"/>
    <cellStyle name="Normal 2 8 3 13" xfId="11088"/>
    <cellStyle name="Normal 2 8 3 14" xfId="11089"/>
    <cellStyle name="Normal 2 8 3 15" xfId="11090"/>
    <cellStyle name="Normal 2 8 3 2" xfId="11091"/>
    <cellStyle name="Normal 2 8 3 3" xfId="11092"/>
    <cellStyle name="Normal 2 8 3 3 2" xfId="11093"/>
    <cellStyle name="Normal 2 8 3 3 2 2" xfId="11094"/>
    <cellStyle name="Normal 2 8 3 3 2 2 2" xfId="11095"/>
    <cellStyle name="Normal 2 8 3 3 2 2 3" xfId="11096"/>
    <cellStyle name="Normal 2 8 3 3 2 2 4" xfId="11097"/>
    <cellStyle name="Normal 2 8 3 3 2 3" xfId="11098"/>
    <cellStyle name="Normal 2 8 3 3 2 4" xfId="11099"/>
    <cellStyle name="Normal 2 8 3 3 2 5" xfId="11100"/>
    <cellStyle name="Normal 2 8 3 3 3" xfId="11101"/>
    <cellStyle name="Normal 2 8 3 3 3 2" xfId="11102"/>
    <cellStyle name="Normal 2 8 3 3 3 3" xfId="11103"/>
    <cellStyle name="Normal 2 8 3 3 3 4" xfId="11104"/>
    <cellStyle name="Normal 2 8 3 3 4" xfId="11105"/>
    <cellStyle name="Normal 2 8 3 3 5" xfId="11106"/>
    <cellStyle name="Normal 2 8 3 3 6" xfId="11107"/>
    <cellStyle name="Normal 2 8 3 4" xfId="11108"/>
    <cellStyle name="Normal 2 8 3 4 2" xfId="11109"/>
    <cellStyle name="Normal 2 8 3 4 2 2" xfId="11110"/>
    <cellStyle name="Normal 2 8 3 4 2 2 2" xfId="11111"/>
    <cellStyle name="Normal 2 8 3 4 2 2 3" xfId="11112"/>
    <cellStyle name="Normal 2 8 3 4 2 2 4" xfId="11113"/>
    <cellStyle name="Normal 2 8 3 4 2 3" xfId="11114"/>
    <cellStyle name="Normal 2 8 3 4 2 4" xfId="11115"/>
    <cellStyle name="Normal 2 8 3 4 2 5" xfId="11116"/>
    <cellStyle name="Normal 2 8 3 4 3" xfId="11117"/>
    <cellStyle name="Normal 2 8 3 4 3 2" xfId="11118"/>
    <cellStyle name="Normal 2 8 3 4 3 3" xfId="11119"/>
    <cellStyle name="Normal 2 8 3 4 3 4" xfId="11120"/>
    <cellStyle name="Normal 2 8 3 4 4" xfId="11121"/>
    <cellStyle name="Normal 2 8 3 4 5" xfId="11122"/>
    <cellStyle name="Normal 2 8 3 4 6" xfId="11123"/>
    <cellStyle name="Normal 2 8 3 5" xfId="11124"/>
    <cellStyle name="Normal 2 8 3 5 2" xfId="11125"/>
    <cellStyle name="Normal 2 8 3 5 2 2" xfId="11126"/>
    <cellStyle name="Normal 2 8 3 5 2 3" xfId="11127"/>
    <cellStyle name="Normal 2 8 3 5 2 4" xfId="11128"/>
    <cellStyle name="Normal 2 8 3 5 3" xfId="11129"/>
    <cellStyle name="Normal 2 8 3 5 4" xfId="11130"/>
    <cellStyle name="Normal 2 8 3 5 5" xfId="11131"/>
    <cellStyle name="Normal 2 8 3 6" xfId="11132"/>
    <cellStyle name="Normal 2 8 3 6 2" xfId="11133"/>
    <cellStyle name="Normal 2 8 3 6 2 2" xfId="11134"/>
    <cellStyle name="Normal 2 8 3 6 2 3" xfId="11135"/>
    <cellStyle name="Normal 2 8 3 6 2 4" xfId="11136"/>
    <cellStyle name="Normal 2 8 3 6 3" xfId="11137"/>
    <cellStyle name="Normal 2 8 3 6 4" xfId="11138"/>
    <cellStyle name="Normal 2 8 3 6 5" xfId="11139"/>
    <cellStyle name="Normal 2 8 3 7" xfId="11140"/>
    <cellStyle name="Normal 2 8 3 7 2" xfId="11141"/>
    <cellStyle name="Normal 2 8 3 7 3" xfId="11142"/>
    <cellStyle name="Normal 2 8 3 7 4" xfId="11143"/>
    <cellStyle name="Normal 2 8 3 8" xfId="11144"/>
    <cellStyle name="Normal 2 8 3 8 2" xfId="11145"/>
    <cellStyle name="Normal 2 8 3 8 3" xfId="11146"/>
    <cellStyle name="Normal 2 8 3 8 4" xfId="11147"/>
    <cellStyle name="Normal 2 8 3 9" xfId="11148"/>
    <cellStyle name="Normal 2 8 4" xfId="11149"/>
    <cellStyle name="Normal 2 8 4 10" xfId="11150"/>
    <cellStyle name="Normal 2 8 4 11" xfId="11151"/>
    <cellStyle name="Normal 2 8 4 12" xfId="11152"/>
    <cellStyle name="Normal 2 8 4 13" xfId="11153"/>
    <cellStyle name="Normal 2 8 4 14" xfId="11154"/>
    <cellStyle name="Normal 2 8 4 2" xfId="11155"/>
    <cellStyle name="Normal 2 8 4 2 2" xfId="11156"/>
    <cellStyle name="Normal 2 8 4 2 2 2" xfId="11157"/>
    <cellStyle name="Normal 2 8 4 2 2 2 2" xfId="11158"/>
    <cellStyle name="Normal 2 8 4 2 2 2 3" xfId="11159"/>
    <cellStyle name="Normal 2 8 4 2 2 2 4" xfId="11160"/>
    <cellStyle name="Normal 2 8 4 2 2 3" xfId="11161"/>
    <cellStyle name="Normal 2 8 4 2 2 4" xfId="11162"/>
    <cellStyle name="Normal 2 8 4 2 2 5" xfId="11163"/>
    <cellStyle name="Normal 2 8 4 2 3" xfId="11164"/>
    <cellStyle name="Normal 2 8 4 2 3 2" xfId="11165"/>
    <cellStyle name="Normal 2 8 4 2 3 3" xfId="11166"/>
    <cellStyle name="Normal 2 8 4 2 3 4" xfId="11167"/>
    <cellStyle name="Normal 2 8 4 2 4" xfId="11168"/>
    <cellStyle name="Normal 2 8 4 2 5" xfId="11169"/>
    <cellStyle name="Normal 2 8 4 2 6" xfId="11170"/>
    <cellStyle name="Normal 2 8 4 3" xfId="11171"/>
    <cellStyle name="Normal 2 8 4 3 2" xfId="11172"/>
    <cellStyle name="Normal 2 8 4 3 2 2" xfId="11173"/>
    <cellStyle name="Normal 2 8 4 3 2 2 2" xfId="11174"/>
    <cellStyle name="Normal 2 8 4 3 2 2 3" xfId="11175"/>
    <cellStyle name="Normal 2 8 4 3 2 2 4" xfId="11176"/>
    <cellStyle name="Normal 2 8 4 3 2 3" xfId="11177"/>
    <cellStyle name="Normal 2 8 4 3 2 4" xfId="11178"/>
    <cellStyle name="Normal 2 8 4 3 2 5" xfId="11179"/>
    <cellStyle name="Normal 2 8 4 3 3" xfId="11180"/>
    <cellStyle name="Normal 2 8 4 3 3 2" xfId="11181"/>
    <cellStyle name="Normal 2 8 4 3 3 3" xfId="11182"/>
    <cellStyle name="Normal 2 8 4 3 3 4" xfId="11183"/>
    <cellStyle name="Normal 2 8 4 3 4" xfId="11184"/>
    <cellStyle name="Normal 2 8 4 3 5" xfId="11185"/>
    <cellStyle name="Normal 2 8 4 3 6" xfId="11186"/>
    <cellStyle name="Normal 2 8 4 4" xfId="11187"/>
    <cellStyle name="Normal 2 8 4 4 2" xfId="11188"/>
    <cellStyle name="Normal 2 8 4 4 2 2" xfId="11189"/>
    <cellStyle name="Normal 2 8 4 4 2 3" xfId="11190"/>
    <cellStyle name="Normal 2 8 4 4 2 4" xfId="11191"/>
    <cellStyle name="Normal 2 8 4 4 3" xfId="11192"/>
    <cellStyle name="Normal 2 8 4 4 4" xfId="11193"/>
    <cellStyle name="Normal 2 8 4 4 5" xfId="11194"/>
    <cellStyle name="Normal 2 8 4 5" xfId="11195"/>
    <cellStyle name="Normal 2 8 4 5 2" xfId="11196"/>
    <cellStyle name="Normal 2 8 4 5 2 2" xfId="11197"/>
    <cellStyle name="Normal 2 8 4 5 2 3" xfId="11198"/>
    <cellStyle name="Normal 2 8 4 5 2 4" xfId="11199"/>
    <cellStyle name="Normal 2 8 4 5 3" xfId="11200"/>
    <cellStyle name="Normal 2 8 4 5 4" xfId="11201"/>
    <cellStyle name="Normal 2 8 4 5 5" xfId="11202"/>
    <cellStyle name="Normal 2 8 4 6" xfId="11203"/>
    <cellStyle name="Normal 2 8 4 6 2" xfId="11204"/>
    <cellStyle name="Normal 2 8 4 6 3" xfId="11205"/>
    <cellStyle name="Normal 2 8 4 6 4" xfId="11206"/>
    <cellStyle name="Normal 2 8 4 7" xfId="11207"/>
    <cellStyle name="Normal 2 8 4 7 2" xfId="11208"/>
    <cellStyle name="Normal 2 8 4 7 3" xfId="11209"/>
    <cellStyle name="Normal 2 8 4 7 4" xfId="11210"/>
    <cellStyle name="Normal 2 8 4 8" xfId="11211"/>
    <cellStyle name="Normal 2 8 4 9" xfId="11212"/>
    <cellStyle name="Normal 2 8 5" xfId="11213"/>
    <cellStyle name="Normal 2 8 5 10" xfId="11214"/>
    <cellStyle name="Normal 2 8 5 11" xfId="11215"/>
    <cellStyle name="Normal 2 8 5 12" xfId="11216"/>
    <cellStyle name="Normal 2 8 5 13" xfId="11217"/>
    <cellStyle name="Normal 2 8 5 14" xfId="11218"/>
    <cellStyle name="Normal 2 8 5 2" xfId="11219"/>
    <cellStyle name="Normal 2 8 5 2 2" xfId="11220"/>
    <cellStyle name="Normal 2 8 5 2 2 2" xfId="11221"/>
    <cellStyle name="Normal 2 8 5 2 2 2 2" xfId="11222"/>
    <cellStyle name="Normal 2 8 5 2 2 2 3" xfId="11223"/>
    <cellStyle name="Normal 2 8 5 2 2 2 4" xfId="11224"/>
    <cellStyle name="Normal 2 8 5 2 2 3" xfId="11225"/>
    <cellStyle name="Normal 2 8 5 2 2 4" xfId="11226"/>
    <cellStyle name="Normal 2 8 5 2 2 5" xfId="11227"/>
    <cellStyle name="Normal 2 8 5 2 3" xfId="11228"/>
    <cellStyle name="Normal 2 8 5 2 3 2" xfId="11229"/>
    <cellStyle name="Normal 2 8 5 2 3 3" xfId="11230"/>
    <cellStyle name="Normal 2 8 5 2 3 4" xfId="11231"/>
    <cellStyle name="Normal 2 8 5 2 4" xfId="11232"/>
    <cellStyle name="Normal 2 8 5 2 5" xfId="11233"/>
    <cellStyle name="Normal 2 8 5 2 6" xfId="11234"/>
    <cellStyle name="Normal 2 8 5 3" xfId="11235"/>
    <cellStyle name="Normal 2 8 5 3 2" xfId="11236"/>
    <cellStyle name="Normal 2 8 5 3 2 2" xfId="11237"/>
    <cellStyle name="Normal 2 8 5 3 2 2 2" xfId="11238"/>
    <cellStyle name="Normal 2 8 5 3 2 2 3" xfId="11239"/>
    <cellStyle name="Normal 2 8 5 3 2 2 4" xfId="11240"/>
    <cellStyle name="Normal 2 8 5 3 2 3" xfId="11241"/>
    <cellStyle name="Normal 2 8 5 3 2 4" xfId="11242"/>
    <cellStyle name="Normal 2 8 5 3 2 5" xfId="11243"/>
    <cellStyle name="Normal 2 8 5 3 3" xfId="11244"/>
    <cellStyle name="Normal 2 8 5 3 3 2" xfId="11245"/>
    <cellStyle name="Normal 2 8 5 3 3 3" xfId="11246"/>
    <cellStyle name="Normal 2 8 5 3 3 4" xfId="11247"/>
    <cellStyle name="Normal 2 8 5 3 4" xfId="11248"/>
    <cellStyle name="Normal 2 8 5 3 5" xfId="11249"/>
    <cellStyle name="Normal 2 8 5 3 6" xfId="11250"/>
    <cellStyle name="Normal 2 8 5 4" xfId="11251"/>
    <cellStyle name="Normal 2 8 5 4 2" xfId="11252"/>
    <cellStyle name="Normal 2 8 5 4 2 2" xfId="11253"/>
    <cellStyle name="Normal 2 8 5 4 2 3" xfId="11254"/>
    <cellStyle name="Normal 2 8 5 4 2 4" xfId="11255"/>
    <cellStyle name="Normal 2 8 5 4 3" xfId="11256"/>
    <cellStyle name="Normal 2 8 5 4 4" xfId="11257"/>
    <cellStyle name="Normal 2 8 5 4 5" xfId="11258"/>
    <cellStyle name="Normal 2 8 5 5" xfId="11259"/>
    <cellStyle name="Normal 2 8 5 5 2" xfId="11260"/>
    <cellStyle name="Normal 2 8 5 5 2 2" xfId="11261"/>
    <cellStyle name="Normal 2 8 5 5 2 3" xfId="11262"/>
    <cellStyle name="Normal 2 8 5 5 2 4" xfId="11263"/>
    <cellStyle name="Normal 2 8 5 5 3" xfId="11264"/>
    <cellStyle name="Normal 2 8 5 5 4" xfId="11265"/>
    <cellStyle name="Normal 2 8 5 5 5" xfId="11266"/>
    <cellStyle name="Normal 2 8 5 6" xfId="11267"/>
    <cellStyle name="Normal 2 8 5 6 2" xfId="11268"/>
    <cellStyle name="Normal 2 8 5 6 3" xfId="11269"/>
    <cellStyle name="Normal 2 8 5 6 4" xfId="11270"/>
    <cellStyle name="Normal 2 8 5 7" xfId="11271"/>
    <cellStyle name="Normal 2 8 5 7 2" xfId="11272"/>
    <cellStyle name="Normal 2 8 5 7 3" xfId="11273"/>
    <cellStyle name="Normal 2 8 5 7 4" xfId="11274"/>
    <cellStyle name="Normal 2 8 5 8" xfId="11275"/>
    <cellStyle name="Normal 2 8 5 9" xfId="11276"/>
    <cellStyle name="Normal 2 8 6" xfId="11277"/>
    <cellStyle name="Normal 2 8 6 2" xfId="11278"/>
    <cellStyle name="Normal 2 8 6 3" xfId="11279"/>
    <cellStyle name="Normal 2 8 6 4" xfId="11280"/>
    <cellStyle name="Normal 2 8 6 5" xfId="11281"/>
    <cellStyle name="Normal 2 8 7" xfId="11282"/>
    <cellStyle name="Normal 2 8 7 10" xfId="11283"/>
    <cellStyle name="Normal 2 8 7 2" xfId="11284"/>
    <cellStyle name="Normal 2 8 7 2 2" xfId="11285"/>
    <cellStyle name="Normal 2 8 7 2 2 2" xfId="11286"/>
    <cellStyle name="Normal 2 8 7 2 2 3" xfId="11287"/>
    <cellStyle name="Normal 2 8 7 2 2 4" xfId="11288"/>
    <cellStyle name="Normal 2 8 7 2 3" xfId="11289"/>
    <cellStyle name="Normal 2 8 7 2 4" xfId="11290"/>
    <cellStyle name="Normal 2 8 7 2 5" xfId="11291"/>
    <cellStyle name="Normal 2 8 7 3" xfId="11292"/>
    <cellStyle name="Normal 2 8 7 3 2" xfId="11293"/>
    <cellStyle name="Normal 2 8 7 3 3" xfId="11294"/>
    <cellStyle name="Normal 2 8 7 3 4" xfId="11295"/>
    <cellStyle name="Normal 2 8 7 4" xfId="11296"/>
    <cellStyle name="Normal 2 8 7 5" xfId="11297"/>
    <cellStyle name="Normal 2 8 7 6" xfId="11298"/>
    <cellStyle name="Normal 2 8 7 7" xfId="11299"/>
    <cellStyle name="Normal 2 8 7 8" xfId="11300"/>
    <cellStyle name="Normal 2 8 7 9" xfId="11301"/>
    <cellStyle name="Normal 2 8 8" xfId="11302"/>
    <cellStyle name="Normal 2 8 8 10" xfId="11303"/>
    <cellStyle name="Normal 2 8 8 2" xfId="11304"/>
    <cellStyle name="Normal 2 8 8 2 2" xfId="11305"/>
    <cellStyle name="Normal 2 8 8 2 2 2" xfId="11306"/>
    <cellStyle name="Normal 2 8 8 2 2 3" xfId="11307"/>
    <cellStyle name="Normal 2 8 8 2 2 4" xfId="11308"/>
    <cellStyle name="Normal 2 8 8 2 3" xfId="11309"/>
    <cellStyle name="Normal 2 8 8 2 4" xfId="11310"/>
    <cellStyle name="Normal 2 8 8 2 5" xfId="11311"/>
    <cellStyle name="Normal 2 8 8 3" xfId="11312"/>
    <cellStyle name="Normal 2 8 8 3 2" xfId="11313"/>
    <cellStyle name="Normal 2 8 8 3 3" xfId="11314"/>
    <cellStyle name="Normal 2 8 8 3 4" xfId="11315"/>
    <cellStyle name="Normal 2 8 8 4" xfId="11316"/>
    <cellStyle name="Normal 2 8 8 5" xfId="11317"/>
    <cellStyle name="Normal 2 8 8 6" xfId="11318"/>
    <cellStyle name="Normal 2 8 8 7" xfId="11319"/>
    <cellStyle name="Normal 2 8 8 8" xfId="11320"/>
    <cellStyle name="Normal 2 8 8 9" xfId="11321"/>
    <cellStyle name="Normal 2 8 9" xfId="11322"/>
    <cellStyle name="Normal 2 8 9 2" xfId="11323"/>
    <cellStyle name="Normal 2 8 9 2 2" xfId="11324"/>
    <cellStyle name="Normal 2 8 9 2 3" xfId="11325"/>
    <cellStyle name="Normal 2 8 9 2 4" xfId="11326"/>
    <cellStyle name="Normal 2 8 9 3" xfId="11327"/>
    <cellStyle name="Normal 2 8 9 4" xfId="11328"/>
    <cellStyle name="Normal 2 8 9 5" xfId="11329"/>
    <cellStyle name="Normal 2 9" xfId="11330"/>
    <cellStyle name="Normal 2 9 10" xfId="11331"/>
    <cellStyle name="Normal 2 9 10 2" xfId="11332"/>
    <cellStyle name="Normal 2 9 10 2 2" xfId="11333"/>
    <cellStyle name="Normal 2 9 10 2 3" xfId="11334"/>
    <cellStyle name="Normal 2 9 10 2 4" xfId="11335"/>
    <cellStyle name="Normal 2 9 10 3" xfId="11336"/>
    <cellStyle name="Normal 2 9 10 4" xfId="11337"/>
    <cellStyle name="Normal 2 9 10 5" xfId="11338"/>
    <cellStyle name="Normal 2 9 11" xfId="11339"/>
    <cellStyle name="Normal 2 9 11 2" xfId="11340"/>
    <cellStyle name="Normal 2 9 11 2 2" xfId="11341"/>
    <cellStyle name="Normal 2 9 11 2 3" xfId="11342"/>
    <cellStyle name="Normal 2 9 11 2 4" xfId="11343"/>
    <cellStyle name="Normal 2 9 11 3" xfId="11344"/>
    <cellStyle name="Normal 2 9 11 4" xfId="11345"/>
    <cellStyle name="Normal 2 9 11 5" xfId="11346"/>
    <cellStyle name="Normal 2 9 12" xfId="11347"/>
    <cellStyle name="Normal 2 9 12 2" xfId="11348"/>
    <cellStyle name="Normal 2 9 12 3" xfId="11349"/>
    <cellStyle name="Normal 2 9 12 4" xfId="11350"/>
    <cellStyle name="Normal 2 9 13" xfId="11351"/>
    <cellStyle name="Normal 2 9 13 2" xfId="11352"/>
    <cellStyle name="Normal 2 9 13 3" xfId="11353"/>
    <cellStyle name="Normal 2 9 13 4" xfId="11354"/>
    <cellStyle name="Normal 2 9 14" xfId="11355"/>
    <cellStyle name="Normal 2 9 15" xfId="11356"/>
    <cellStyle name="Normal 2 9 16" xfId="11357"/>
    <cellStyle name="Normal 2 9 17" xfId="11358"/>
    <cellStyle name="Normal 2 9 18" xfId="11359"/>
    <cellStyle name="Normal 2 9 19" xfId="11360"/>
    <cellStyle name="Normal 2 9 2" xfId="11361"/>
    <cellStyle name="Normal 2 9 2 10" xfId="11362"/>
    <cellStyle name="Normal 2 9 2 11" xfId="11363"/>
    <cellStyle name="Normal 2 9 2 12" xfId="11364"/>
    <cellStyle name="Normal 2 9 2 13" xfId="11365"/>
    <cellStyle name="Normal 2 9 2 14" xfId="11366"/>
    <cellStyle name="Normal 2 9 2 15" xfId="11367"/>
    <cellStyle name="Normal 2 9 2 2" xfId="11368"/>
    <cellStyle name="Normal 2 9 2 3" xfId="11369"/>
    <cellStyle name="Normal 2 9 2 3 2" xfId="11370"/>
    <cellStyle name="Normal 2 9 2 3 2 2" xfId="11371"/>
    <cellStyle name="Normal 2 9 2 3 2 2 2" xfId="11372"/>
    <cellStyle name="Normal 2 9 2 3 2 2 3" xfId="11373"/>
    <cellStyle name="Normal 2 9 2 3 2 2 4" xfId="11374"/>
    <cellStyle name="Normal 2 9 2 3 2 3" xfId="11375"/>
    <cellStyle name="Normal 2 9 2 3 2 4" xfId="11376"/>
    <cellStyle name="Normal 2 9 2 3 2 5" xfId="11377"/>
    <cellStyle name="Normal 2 9 2 3 3" xfId="11378"/>
    <cellStyle name="Normal 2 9 2 3 3 2" xfId="11379"/>
    <cellStyle name="Normal 2 9 2 3 3 3" xfId="11380"/>
    <cellStyle name="Normal 2 9 2 3 3 4" xfId="11381"/>
    <cellStyle name="Normal 2 9 2 3 4" xfId="11382"/>
    <cellStyle name="Normal 2 9 2 3 5" xfId="11383"/>
    <cellStyle name="Normal 2 9 2 3 6" xfId="11384"/>
    <cellStyle name="Normal 2 9 2 4" xfId="11385"/>
    <cellStyle name="Normal 2 9 2 4 2" xfId="11386"/>
    <cellStyle name="Normal 2 9 2 4 2 2" xfId="11387"/>
    <cellStyle name="Normal 2 9 2 4 2 2 2" xfId="11388"/>
    <cellStyle name="Normal 2 9 2 4 2 2 3" xfId="11389"/>
    <cellStyle name="Normal 2 9 2 4 2 2 4" xfId="11390"/>
    <cellStyle name="Normal 2 9 2 4 2 3" xfId="11391"/>
    <cellStyle name="Normal 2 9 2 4 2 4" xfId="11392"/>
    <cellStyle name="Normal 2 9 2 4 2 5" xfId="11393"/>
    <cellStyle name="Normal 2 9 2 4 3" xfId="11394"/>
    <cellStyle name="Normal 2 9 2 4 3 2" xfId="11395"/>
    <cellStyle name="Normal 2 9 2 4 3 3" xfId="11396"/>
    <cellStyle name="Normal 2 9 2 4 3 4" xfId="11397"/>
    <cellStyle name="Normal 2 9 2 4 4" xfId="11398"/>
    <cellStyle name="Normal 2 9 2 4 5" xfId="11399"/>
    <cellStyle name="Normal 2 9 2 4 6" xfId="11400"/>
    <cellStyle name="Normal 2 9 2 5" xfId="11401"/>
    <cellStyle name="Normal 2 9 2 5 2" xfId="11402"/>
    <cellStyle name="Normal 2 9 2 5 2 2" xfId="11403"/>
    <cellStyle name="Normal 2 9 2 5 2 3" xfId="11404"/>
    <cellStyle name="Normal 2 9 2 5 2 4" xfId="11405"/>
    <cellStyle name="Normal 2 9 2 5 3" xfId="11406"/>
    <cellStyle name="Normal 2 9 2 5 4" xfId="11407"/>
    <cellStyle name="Normal 2 9 2 5 5" xfId="11408"/>
    <cellStyle name="Normal 2 9 2 6" xfId="11409"/>
    <cellStyle name="Normal 2 9 2 6 2" xfId="11410"/>
    <cellStyle name="Normal 2 9 2 6 2 2" xfId="11411"/>
    <cellStyle name="Normal 2 9 2 6 2 3" xfId="11412"/>
    <cellStyle name="Normal 2 9 2 6 2 4" xfId="11413"/>
    <cellStyle name="Normal 2 9 2 6 3" xfId="11414"/>
    <cellStyle name="Normal 2 9 2 6 4" xfId="11415"/>
    <cellStyle name="Normal 2 9 2 6 5" xfId="11416"/>
    <cellStyle name="Normal 2 9 2 7" xfId="11417"/>
    <cellStyle name="Normal 2 9 2 7 2" xfId="11418"/>
    <cellStyle name="Normal 2 9 2 7 3" xfId="11419"/>
    <cellStyle name="Normal 2 9 2 7 4" xfId="11420"/>
    <cellStyle name="Normal 2 9 2 8" xfId="11421"/>
    <cellStyle name="Normal 2 9 2 8 2" xfId="11422"/>
    <cellStyle name="Normal 2 9 2 8 3" xfId="11423"/>
    <cellStyle name="Normal 2 9 2 8 4" xfId="11424"/>
    <cellStyle name="Normal 2 9 2 9" xfId="11425"/>
    <cellStyle name="Normal 2 9 20" xfId="11426"/>
    <cellStyle name="Normal 2 9 3" xfId="11427"/>
    <cellStyle name="Normal 2 9 3 10" xfId="11428"/>
    <cellStyle name="Normal 2 9 3 11" xfId="11429"/>
    <cellStyle name="Normal 2 9 3 12" xfId="11430"/>
    <cellStyle name="Normal 2 9 3 13" xfId="11431"/>
    <cellStyle name="Normal 2 9 3 14" xfId="11432"/>
    <cellStyle name="Normal 2 9 3 15" xfId="11433"/>
    <cellStyle name="Normal 2 9 3 2" xfId="11434"/>
    <cellStyle name="Normal 2 9 3 3" xfId="11435"/>
    <cellStyle name="Normal 2 9 3 3 2" xfId="11436"/>
    <cellStyle name="Normal 2 9 3 3 2 2" xfId="11437"/>
    <cellStyle name="Normal 2 9 3 3 2 2 2" xfId="11438"/>
    <cellStyle name="Normal 2 9 3 3 2 2 3" xfId="11439"/>
    <cellStyle name="Normal 2 9 3 3 2 2 4" xfId="11440"/>
    <cellStyle name="Normal 2 9 3 3 2 3" xfId="11441"/>
    <cellStyle name="Normal 2 9 3 3 2 4" xfId="11442"/>
    <cellStyle name="Normal 2 9 3 3 2 5" xfId="11443"/>
    <cellStyle name="Normal 2 9 3 3 3" xfId="11444"/>
    <cellStyle name="Normal 2 9 3 3 3 2" xfId="11445"/>
    <cellStyle name="Normal 2 9 3 3 3 3" xfId="11446"/>
    <cellStyle name="Normal 2 9 3 3 3 4" xfId="11447"/>
    <cellStyle name="Normal 2 9 3 3 4" xfId="11448"/>
    <cellStyle name="Normal 2 9 3 3 5" xfId="11449"/>
    <cellStyle name="Normal 2 9 3 3 6" xfId="11450"/>
    <cellStyle name="Normal 2 9 3 4" xfId="11451"/>
    <cellStyle name="Normal 2 9 3 4 2" xfId="11452"/>
    <cellStyle name="Normal 2 9 3 4 2 2" xfId="11453"/>
    <cellStyle name="Normal 2 9 3 4 2 2 2" xfId="11454"/>
    <cellStyle name="Normal 2 9 3 4 2 2 3" xfId="11455"/>
    <cellStyle name="Normal 2 9 3 4 2 2 4" xfId="11456"/>
    <cellStyle name="Normal 2 9 3 4 2 3" xfId="11457"/>
    <cellStyle name="Normal 2 9 3 4 2 4" xfId="11458"/>
    <cellStyle name="Normal 2 9 3 4 2 5" xfId="11459"/>
    <cellStyle name="Normal 2 9 3 4 3" xfId="11460"/>
    <cellStyle name="Normal 2 9 3 4 3 2" xfId="11461"/>
    <cellStyle name="Normal 2 9 3 4 3 3" xfId="11462"/>
    <cellStyle name="Normal 2 9 3 4 3 4" xfId="11463"/>
    <cellStyle name="Normal 2 9 3 4 4" xfId="11464"/>
    <cellStyle name="Normal 2 9 3 4 5" xfId="11465"/>
    <cellStyle name="Normal 2 9 3 4 6" xfId="11466"/>
    <cellStyle name="Normal 2 9 3 5" xfId="11467"/>
    <cellStyle name="Normal 2 9 3 5 2" xfId="11468"/>
    <cellStyle name="Normal 2 9 3 5 2 2" xfId="11469"/>
    <cellStyle name="Normal 2 9 3 5 2 3" xfId="11470"/>
    <cellStyle name="Normal 2 9 3 5 2 4" xfId="11471"/>
    <cellStyle name="Normal 2 9 3 5 3" xfId="11472"/>
    <cellStyle name="Normal 2 9 3 5 4" xfId="11473"/>
    <cellStyle name="Normal 2 9 3 5 5" xfId="11474"/>
    <cellStyle name="Normal 2 9 3 6" xfId="11475"/>
    <cellStyle name="Normal 2 9 3 6 2" xfId="11476"/>
    <cellStyle name="Normal 2 9 3 6 2 2" xfId="11477"/>
    <cellStyle name="Normal 2 9 3 6 2 3" xfId="11478"/>
    <cellStyle name="Normal 2 9 3 6 2 4" xfId="11479"/>
    <cellStyle name="Normal 2 9 3 6 3" xfId="11480"/>
    <cellStyle name="Normal 2 9 3 6 4" xfId="11481"/>
    <cellStyle name="Normal 2 9 3 6 5" xfId="11482"/>
    <cellStyle name="Normal 2 9 3 7" xfId="11483"/>
    <cellStyle name="Normal 2 9 3 7 2" xfId="11484"/>
    <cellStyle name="Normal 2 9 3 7 3" xfId="11485"/>
    <cellStyle name="Normal 2 9 3 7 4" xfId="11486"/>
    <cellStyle name="Normal 2 9 3 8" xfId="11487"/>
    <cellStyle name="Normal 2 9 3 8 2" xfId="11488"/>
    <cellStyle name="Normal 2 9 3 8 3" xfId="11489"/>
    <cellStyle name="Normal 2 9 3 8 4" xfId="11490"/>
    <cellStyle name="Normal 2 9 3 9" xfId="11491"/>
    <cellStyle name="Normal 2 9 4" xfId="11492"/>
    <cellStyle name="Normal 2 9 4 10" xfId="11493"/>
    <cellStyle name="Normal 2 9 4 11" xfId="11494"/>
    <cellStyle name="Normal 2 9 4 12" xfId="11495"/>
    <cellStyle name="Normal 2 9 4 13" xfId="11496"/>
    <cellStyle name="Normal 2 9 4 14" xfId="11497"/>
    <cellStyle name="Normal 2 9 4 2" xfId="11498"/>
    <cellStyle name="Normal 2 9 4 2 2" xfId="11499"/>
    <cellStyle name="Normal 2 9 4 2 2 2" xfId="11500"/>
    <cellStyle name="Normal 2 9 4 2 2 2 2" xfId="11501"/>
    <cellStyle name="Normal 2 9 4 2 2 2 3" xfId="11502"/>
    <cellStyle name="Normal 2 9 4 2 2 2 4" xfId="11503"/>
    <cellStyle name="Normal 2 9 4 2 2 3" xfId="11504"/>
    <cellStyle name="Normal 2 9 4 2 2 4" xfId="11505"/>
    <cellStyle name="Normal 2 9 4 2 2 5" xfId="11506"/>
    <cellStyle name="Normal 2 9 4 2 3" xfId="11507"/>
    <cellStyle name="Normal 2 9 4 2 3 2" xfId="11508"/>
    <cellStyle name="Normal 2 9 4 2 3 3" xfId="11509"/>
    <cellStyle name="Normal 2 9 4 2 3 4" xfId="11510"/>
    <cellStyle name="Normal 2 9 4 2 4" xfId="11511"/>
    <cellStyle name="Normal 2 9 4 2 5" xfId="11512"/>
    <cellStyle name="Normal 2 9 4 2 6" xfId="11513"/>
    <cellStyle name="Normal 2 9 4 3" xfId="11514"/>
    <cellStyle name="Normal 2 9 4 3 2" xfId="11515"/>
    <cellStyle name="Normal 2 9 4 3 2 2" xfId="11516"/>
    <cellStyle name="Normal 2 9 4 3 2 2 2" xfId="11517"/>
    <cellStyle name="Normal 2 9 4 3 2 2 3" xfId="11518"/>
    <cellStyle name="Normal 2 9 4 3 2 2 4" xfId="11519"/>
    <cellStyle name="Normal 2 9 4 3 2 3" xfId="11520"/>
    <cellStyle name="Normal 2 9 4 3 2 4" xfId="11521"/>
    <cellStyle name="Normal 2 9 4 3 2 5" xfId="11522"/>
    <cellStyle name="Normal 2 9 4 3 3" xfId="11523"/>
    <cellStyle name="Normal 2 9 4 3 3 2" xfId="11524"/>
    <cellStyle name="Normal 2 9 4 3 3 3" xfId="11525"/>
    <cellStyle name="Normal 2 9 4 3 3 4" xfId="11526"/>
    <cellStyle name="Normal 2 9 4 3 4" xfId="11527"/>
    <cellStyle name="Normal 2 9 4 3 5" xfId="11528"/>
    <cellStyle name="Normal 2 9 4 3 6" xfId="11529"/>
    <cellStyle name="Normal 2 9 4 4" xfId="11530"/>
    <cellStyle name="Normal 2 9 4 4 2" xfId="11531"/>
    <cellStyle name="Normal 2 9 4 4 2 2" xfId="11532"/>
    <cellStyle name="Normal 2 9 4 4 2 3" xfId="11533"/>
    <cellStyle name="Normal 2 9 4 4 2 4" xfId="11534"/>
    <cellStyle name="Normal 2 9 4 4 3" xfId="11535"/>
    <cellStyle name="Normal 2 9 4 4 4" xfId="11536"/>
    <cellStyle name="Normal 2 9 4 4 5" xfId="11537"/>
    <cellStyle name="Normal 2 9 4 5" xfId="11538"/>
    <cellStyle name="Normal 2 9 4 5 2" xfId="11539"/>
    <cellStyle name="Normal 2 9 4 5 2 2" xfId="11540"/>
    <cellStyle name="Normal 2 9 4 5 2 3" xfId="11541"/>
    <cellStyle name="Normal 2 9 4 5 2 4" xfId="11542"/>
    <cellStyle name="Normal 2 9 4 5 3" xfId="11543"/>
    <cellStyle name="Normal 2 9 4 5 4" xfId="11544"/>
    <cellStyle name="Normal 2 9 4 5 5" xfId="11545"/>
    <cellStyle name="Normal 2 9 4 6" xfId="11546"/>
    <cellStyle name="Normal 2 9 4 6 2" xfId="11547"/>
    <cellStyle name="Normal 2 9 4 6 3" xfId="11548"/>
    <cellStyle name="Normal 2 9 4 6 4" xfId="11549"/>
    <cellStyle name="Normal 2 9 4 7" xfId="11550"/>
    <cellStyle name="Normal 2 9 4 7 2" xfId="11551"/>
    <cellStyle name="Normal 2 9 4 7 3" xfId="11552"/>
    <cellStyle name="Normal 2 9 4 7 4" xfId="11553"/>
    <cellStyle name="Normal 2 9 4 8" xfId="11554"/>
    <cellStyle name="Normal 2 9 4 9" xfId="11555"/>
    <cellStyle name="Normal 2 9 5" xfId="11556"/>
    <cellStyle name="Normal 2 9 5 10" xfId="11557"/>
    <cellStyle name="Normal 2 9 5 11" xfId="11558"/>
    <cellStyle name="Normal 2 9 5 12" xfId="11559"/>
    <cellStyle name="Normal 2 9 5 13" xfId="11560"/>
    <cellStyle name="Normal 2 9 5 14" xfId="11561"/>
    <cellStyle name="Normal 2 9 5 2" xfId="11562"/>
    <cellStyle name="Normal 2 9 5 2 2" xfId="11563"/>
    <cellStyle name="Normal 2 9 5 2 2 2" xfId="11564"/>
    <cellStyle name="Normal 2 9 5 2 2 2 2" xfId="11565"/>
    <cellStyle name="Normal 2 9 5 2 2 2 3" xfId="11566"/>
    <cellStyle name="Normal 2 9 5 2 2 2 4" xfId="11567"/>
    <cellStyle name="Normal 2 9 5 2 2 3" xfId="11568"/>
    <cellStyle name="Normal 2 9 5 2 2 4" xfId="11569"/>
    <cellStyle name="Normal 2 9 5 2 2 5" xfId="11570"/>
    <cellStyle name="Normal 2 9 5 2 3" xfId="11571"/>
    <cellStyle name="Normal 2 9 5 2 3 2" xfId="11572"/>
    <cellStyle name="Normal 2 9 5 2 3 3" xfId="11573"/>
    <cellStyle name="Normal 2 9 5 2 3 4" xfId="11574"/>
    <cellStyle name="Normal 2 9 5 2 4" xfId="11575"/>
    <cellStyle name="Normal 2 9 5 2 5" xfId="11576"/>
    <cellStyle name="Normal 2 9 5 2 6" xfId="11577"/>
    <cellStyle name="Normal 2 9 5 3" xfId="11578"/>
    <cellStyle name="Normal 2 9 5 3 2" xfId="11579"/>
    <cellStyle name="Normal 2 9 5 3 2 2" xfId="11580"/>
    <cellStyle name="Normal 2 9 5 3 2 2 2" xfId="11581"/>
    <cellStyle name="Normal 2 9 5 3 2 2 3" xfId="11582"/>
    <cellStyle name="Normal 2 9 5 3 2 2 4" xfId="11583"/>
    <cellStyle name="Normal 2 9 5 3 2 3" xfId="11584"/>
    <cellStyle name="Normal 2 9 5 3 2 4" xfId="11585"/>
    <cellStyle name="Normal 2 9 5 3 2 5" xfId="11586"/>
    <cellStyle name="Normal 2 9 5 3 3" xfId="11587"/>
    <cellStyle name="Normal 2 9 5 3 3 2" xfId="11588"/>
    <cellStyle name="Normal 2 9 5 3 3 3" xfId="11589"/>
    <cellStyle name="Normal 2 9 5 3 3 4" xfId="11590"/>
    <cellStyle name="Normal 2 9 5 3 4" xfId="11591"/>
    <cellStyle name="Normal 2 9 5 3 5" xfId="11592"/>
    <cellStyle name="Normal 2 9 5 3 6" xfId="11593"/>
    <cellStyle name="Normal 2 9 5 4" xfId="11594"/>
    <cellStyle name="Normal 2 9 5 4 2" xfId="11595"/>
    <cellStyle name="Normal 2 9 5 4 2 2" xfId="11596"/>
    <cellStyle name="Normal 2 9 5 4 2 3" xfId="11597"/>
    <cellStyle name="Normal 2 9 5 4 2 4" xfId="11598"/>
    <cellStyle name="Normal 2 9 5 4 3" xfId="11599"/>
    <cellStyle name="Normal 2 9 5 4 4" xfId="11600"/>
    <cellStyle name="Normal 2 9 5 4 5" xfId="11601"/>
    <cellStyle name="Normal 2 9 5 5" xfId="11602"/>
    <cellStyle name="Normal 2 9 5 5 2" xfId="11603"/>
    <cellStyle name="Normal 2 9 5 5 2 2" xfId="11604"/>
    <cellStyle name="Normal 2 9 5 5 2 3" xfId="11605"/>
    <cellStyle name="Normal 2 9 5 5 2 4" xfId="11606"/>
    <cellStyle name="Normal 2 9 5 5 3" xfId="11607"/>
    <cellStyle name="Normal 2 9 5 5 4" xfId="11608"/>
    <cellStyle name="Normal 2 9 5 5 5" xfId="11609"/>
    <cellStyle name="Normal 2 9 5 6" xfId="11610"/>
    <cellStyle name="Normal 2 9 5 6 2" xfId="11611"/>
    <cellStyle name="Normal 2 9 5 6 3" xfId="11612"/>
    <cellStyle name="Normal 2 9 5 6 4" xfId="11613"/>
    <cellStyle name="Normal 2 9 5 7" xfId="11614"/>
    <cellStyle name="Normal 2 9 5 7 2" xfId="11615"/>
    <cellStyle name="Normal 2 9 5 7 3" xfId="11616"/>
    <cellStyle name="Normal 2 9 5 7 4" xfId="11617"/>
    <cellStyle name="Normal 2 9 5 8" xfId="11618"/>
    <cellStyle name="Normal 2 9 5 9" xfId="11619"/>
    <cellStyle name="Normal 2 9 6" xfId="11620"/>
    <cellStyle name="Normal 2 9 6 2" xfId="11621"/>
    <cellStyle name="Normal 2 9 6 3" xfId="11622"/>
    <cellStyle name="Normal 2 9 6 4" xfId="11623"/>
    <cellStyle name="Normal 2 9 6 5" xfId="11624"/>
    <cellStyle name="Normal 2 9 7" xfId="11625"/>
    <cellStyle name="Normal 2 9 7 10" xfId="11626"/>
    <cellStyle name="Normal 2 9 7 2" xfId="11627"/>
    <cellStyle name="Normal 2 9 7 2 2" xfId="11628"/>
    <cellStyle name="Normal 2 9 7 2 2 2" xfId="11629"/>
    <cellStyle name="Normal 2 9 7 2 2 3" xfId="11630"/>
    <cellStyle name="Normal 2 9 7 2 2 4" xfId="11631"/>
    <cellStyle name="Normal 2 9 7 2 3" xfId="11632"/>
    <cellStyle name="Normal 2 9 7 2 4" xfId="11633"/>
    <cellStyle name="Normal 2 9 7 2 5" xfId="11634"/>
    <cellStyle name="Normal 2 9 7 3" xfId="11635"/>
    <cellStyle name="Normal 2 9 7 3 2" xfId="11636"/>
    <cellStyle name="Normal 2 9 7 3 3" xfId="11637"/>
    <cellStyle name="Normal 2 9 7 3 4" xfId="11638"/>
    <cellStyle name="Normal 2 9 7 4" xfId="11639"/>
    <cellStyle name="Normal 2 9 7 5" xfId="11640"/>
    <cellStyle name="Normal 2 9 7 6" xfId="11641"/>
    <cellStyle name="Normal 2 9 7 7" xfId="11642"/>
    <cellStyle name="Normal 2 9 7 8" xfId="11643"/>
    <cellStyle name="Normal 2 9 7 9" xfId="11644"/>
    <cellStyle name="Normal 2 9 8" xfId="11645"/>
    <cellStyle name="Normal 2 9 8 10" xfId="11646"/>
    <cellStyle name="Normal 2 9 8 2" xfId="11647"/>
    <cellStyle name="Normal 2 9 8 2 2 3" xfId="11648"/>
    <cellStyle name="Normal 2 9 8 2 2 3 2" xfId="11649"/>
    <cellStyle name="Normal 2 9 8 2 2 4" xfId="11650"/>
    <cellStyle name="Normal 2 9 8 2 3" xfId="11651"/>
    <cellStyle name="Normal 2 9 8 2 4" xfId="11652"/>
    <cellStyle name="Normal 2 9 8 2 5" xfId="11653"/>
    <cellStyle name="Normal 2 9 8 3" xfId="11654"/>
    <cellStyle name="Normal 2 9 8 3 2" xfId="11655"/>
    <cellStyle name="Normal 2 9 8 3 3" xfId="11656"/>
    <cellStyle name="Normal 2 9 8 3 4" xfId="11657"/>
    <cellStyle name="Normal 2 9 8 4" xfId="11658"/>
    <cellStyle name="Normal 2 9 8 5" xfId="11659"/>
    <cellStyle name="Normal 2 9 8 6" xfId="11660"/>
    <cellStyle name="Normal 2 9 8 7" xfId="11661"/>
    <cellStyle name="Normal 2 9 8 8" xfId="11662"/>
    <cellStyle name="Normal 2 9 8 9" xfId="11663"/>
    <cellStyle name="Normal 2 9 9" xfId="11664"/>
    <cellStyle name="Normal 2 9 9 2" xfId="11665"/>
    <cellStyle name="Normal 2 9 9 2 2" xfId="11666"/>
    <cellStyle name="Normal 2 9 9 3 4" xfId="11667"/>
    <cellStyle name="Normal 2 9 9 6" xfId="11668"/>
    <cellStyle name="Normal 2_9_Compare DtBASE_Sept'10 Nasional" xfId="11669"/>
    <cellStyle name="Normal 20" xfId="11670"/>
    <cellStyle name="Normal 20 10" xfId="11671"/>
    <cellStyle name="Normal 20 11" xfId="11672"/>
    <cellStyle name="Normal 20 12" xfId="11673"/>
    <cellStyle name="Normal 20 13" xfId="11674"/>
    <cellStyle name="Normal 20 14" xfId="11675"/>
    <cellStyle name="Normal 20 15" xfId="11676"/>
    <cellStyle name="Normal 20 2" xfId="11677"/>
    <cellStyle name="Normal 20 2 10" xfId="11678"/>
    <cellStyle name="Normal 20 2 2" xfId="11679"/>
    <cellStyle name="Normal 20 2 2 2" xfId="11680"/>
    <cellStyle name="Normal 20 2 2 2 2" xfId="11681"/>
    <cellStyle name="Normal 20 2 2 2 3" xfId="11682"/>
    <cellStyle name="Normal 20 2 2 2 4" xfId="11683"/>
    <cellStyle name="Normal 20 2 2 3" xfId="11684"/>
    <cellStyle name="Normal 20 2 2 4" xfId="11685"/>
    <cellStyle name="Normal 20 2 2 5" xfId="11686"/>
    <cellStyle name="Normal 20 2 3" xfId="11687"/>
    <cellStyle name="Normal 20 2 3 2" xfId="11688"/>
    <cellStyle name="Normal 20 2 3 3" xfId="11689"/>
    <cellStyle name="Normal 20 2 3 4" xfId="11690"/>
    <cellStyle name="Normal 20 2 4" xfId="11691"/>
    <cellStyle name="Normal 20 2 5" xfId="11692"/>
    <cellStyle name="Normal 20 2 6" xfId="11693"/>
    <cellStyle name="Normal 20 2 7" xfId="11694"/>
    <cellStyle name="Normal 20 2 8" xfId="11695"/>
    <cellStyle name="Normal 20 2 9" xfId="11696"/>
    <cellStyle name="Normal 20 3" xfId="11697"/>
    <cellStyle name="Normal 20 3 10" xfId="11698"/>
    <cellStyle name="Normal 20 3 2" xfId="11699"/>
    <cellStyle name="Normal 20 3 2 2" xfId="11700"/>
    <cellStyle name="Normal 20 3 2 2 2" xfId="11701"/>
    <cellStyle name="Normal 20 3 2 2 3" xfId="11702"/>
    <cellStyle name="Normal 20 3 2 2 4" xfId="11703"/>
    <cellStyle name="Normal 20 3 2 3" xfId="11704"/>
    <cellStyle name="Normal 20 3 2 4" xfId="11705"/>
    <cellStyle name="Normal 20 3 2 5" xfId="11706"/>
    <cellStyle name="Normal 20 3 3" xfId="11707"/>
    <cellStyle name="Normal 20 3 3 2" xfId="11708"/>
    <cellStyle name="Normal 20 3 3 3" xfId="11709"/>
    <cellStyle name="Normal 20 3 3 4" xfId="11710"/>
    <cellStyle name="Normal 20 3 4" xfId="11711"/>
    <cellStyle name="Normal 20 3 5" xfId="11712"/>
    <cellStyle name="Normal 20 3 6" xfId="11713"/>
    <cellStyle name="Normal 20 3 7" xfId="11714"/>
    <cellStyle name="Normal 20 3 8" xfId="11715"/>
    <cellStyle name="Normal 20 3 9" xfId="11716"/>
    <cellStyle name="Normal 20 4" xfId="11717"/>
    <cellStyle name="Normal 20 4 2" xfId="11718"/>
    <cellStyle name="Normal 20 4 2 2" xfId="11719"/>
    <cellStyle name="Normal 20 4 2 3" xfId="11720"/>
    <cellStyle name="Normal 20 4 2 4" xfId="11721"/>
    <cellStyle name="Normal 20 4 3" xfId="11722"/>
    <cellStyle name="Normal 20 4 4" xfId="11723"/>
    <cellStyle name="Normal 20 4 5" xfId="11724"/>
    <cellStyle name="Normal 20 5" xfId="11725"/>
    <cellStyle name="Normal 20 5 2" xfId="11726"/>
    <cellStyle name="Normal 20 5 2 2" xfId="11727"/>
    <cellStyle name="Normal 20 5 2 3" xfId="11728"/>
    <cellStyle name="Normal 20 5 2 4" xfId="11729"/>
    <cellStyle name="Normal 20 5 3" xfId="11730"/>
    <cellStyle name="Normal 20 5 4" xfId="11731"/>
    <cellStyle name="Normal 20 5 5" xfId="11732"/>
    <cellStyle name="Normal 20 6" xfId="11733"/>
    <cellStyle name="Normal 20 6 2" xfId="11734"/>
    <cellStyle name="Normal 20 6 3" xfId="11735"/>
    <cellStyle name="Normal 20 6 4" xfId="11736"/>
    <cellStyle name="Normal 20 7" xfId="11737"/>
    <cellStyle name="Normal 20 7 2" xfId="11738"/>
    <cellStyle name="Normal 20 7 3" xfId="11739"/>
    <cellStyle name="Normal 20 7 4" xfId="11740"/>
    <cellStyle name="Normal 20 8" xfId="11741"/>
    <cellStyle name="Normal 20 8 2" xfId="11742"/>
    <cellStyle name="Normal 20 8 3" xfId="11743"/>
    <cellStyle name="Normal 20 8 4" xfId="11744"/>
    <cellStyle name="Normal 20 9" xfId="11745"/>
    <cellStyle name="Normal 200" xfId="11746"/>
    <cellStyle name="Normal 201" xfId="11747"/>
    <cellStyle name="Normal 202" xfId="11748"/>
    <cellStyle name="Normal 203" xfId="11749"/>
    <cellStyle name="Normal 204" xfId="11750"/>
    <cellStyle name="Normal 205" xfId="11751"/>
    <cellStyle name="Normal 206" xfId="11752"/>
    <cellStyle name="Normal 207" xfId="11753"/>
    <cellStyle name="Normal 208" xfId="11754"/>
    <cellStyle name="Normal 209" xfId="11755"/>
    <cellStyle name="Normal 21" xfId="11756"/>
    <cellStyle name="Normal 21 10" xfId="11757"/>
    <cellStyle name="Normal 21 11" xfId="11758"/>
    <cellStyle name="Normal 21 12" xfId="11759"/>
    <cellStyle name="Normal 21 13" xfId="11760"/>
    <cellStyle name="Normal 21 14" xfId="11761"/>
    <cellStyle name="Normal 21 15" xfId="11762"/>
    <cellStyle name="Normal 21 2" xfId="11763"/>
    <cellStyle name="Normal 21 2 2" xfId="11764"/>
    <cellStyle name="Normal 21 2 2 2" xfId="11765"/>
    <cellStyle name="Normal 21 2 2 2 2" xfId="11766"/>
    <cellStyle name="Normal 21 2 2 2 3" xfId="11767"/>
    <cellStyle name="Normal 21 2 2 2 4" xfId="11768"/>
    <cellStyle name="Normal 21 2 2 3" xfId="11769"/>
    <cellStyle name="Normal 21 2 2 4" xfId="11770"/>
    <cellStyle name="Normal 21 2 2 5" xfId="11771"/>
    <cellStyle name="Normal 21 2 3" xfId="11772"/>
    <cellStyle name="Normal 21 2 3 2" xfId="11773"/>
    <cellStyle name="Normal 21 2 3 3" xfId="11774"/>
    <cellStyle name="Normal 21 2 3 4" xfId="11775"/>
    <cellStyle name="Normal 21 2 4" xfId="11776"/>
    <cellStyle name="Normal 21 2 5" xfId="11777"/>
    <cellStyle name="Normal 21 2 6" xfId="11778"/>
    <cellStyle name="Normal 21 3" xfId="11779"/>
    <cellStyle name="Normal 21 3 2" xfId="11780"/>
    <cellStyle name="Normal 21 3 2 2" xfId="11781"/>
    <cellStyle name="Normal 21 3 2 2 2" xfId="11782"/>
    <cellStyle name="Normal 21 3 2 2 3" xfId="11783"/>
    <cellStyle name="Normal 21 3 2 2 4" xfId="11784"/>
    <cellStyle name="Normal 21 3 2 3" xfId="11785"/>
    <cellStyle name="Normal 21 3 2 4" xfId="11786"/>
    <cellStyle name="Normal 21 3 2 5" xfId="11787"/>
    <cellStyle name="Normal 21 3 3" xfId="11788"/>
    <cellStyle name="Normal 21 3 3 2" xfId="11789"/>
    <cellStyle name="Normal 21 3 3 3" xfId="11790"/>
    <cellStyle name="Normal 21 3 3 4" xfId="11791"/>
    <cellStyle name="Normal 21 3 4" xfId="11792"/>
    <cellStyle name="Normal 21 3 5" xfId="11793"/>
    <cellStyle name="Normal 21 3 6" xfId="11794"/>
    <cellStyle name="Normal 21 4" xfId="11795"/>
    <cellStyle name="Normal 21 4 2" xfId="11796"/>
    <cellStyle name="Normal 21 4 2 2" xfId="11797"/>
    <cellStyle name="Normal 21 4 2 3" xfId="11798"/>
    <cellStyle name="Normal 21 4 2 4" xfId="11799"/>
    <cellStyle name="Normal 21 4 3" xfId="11800"/>
    <cellStyle name="Normal 21 4 4" xfId="11801"/>
    <cellStyle name="Normal 21 4 5" xfId="11802"/>
    <cellStyle name="Normal 21 5" xfId="11803"/>
    <cellStyle name="Normal 21 5 2" xfId="11804"/>
    <cellStyle name="Normal 21 5 2 2" xfId="11805"/>
    <cellStyle name="Normal 21 5 2 3" xfId="11806"/>
    <cellStyle name="Normal 21 5 2 4" xfId="11807"/>
    <cellStyle name="Normal 21 5 3" xfId="11808"/>
    <cellStyle name="Normal 21 5 4" xfId="11809"/>
    <cellStyle name="Normal 21 5 5" xfId="11810"/>
    <cellStyle name="Normal 21 6" xfId="11811"/>
    <cellStyle name="Normal 21 6 2" xfId="11812"/>
    <cellStyle name="Normal 21 6 3" xfId="11813"/>
    <cellStyle name="Normal 21 6 4" xfId="11814"/>
    <cellStyle name="Normal 21 7" xfId="11815"/>
    <cellStyle name="Normal 21 7 2" xfId="11816"/>
    <cellStyle name="Normal 21 7 3" xfId="11817"/>
    <cellStyle name="Normal 21 7 4" xfId="11818"/>
    <cellStyle name="Normal 21 8" xfId="11819"/>
    <cellStyle name="Normal 21 8 2" xfId="11820"/>
    <cellStyle name="Normal 21 8 3" xfId="11821"/>
    <cellStyle name="Normal 21 8 4" xfId="11822"/>
    <cellStyle name="Normal 21 9" xfId="11823"/>
    <cellStyle name="Normal 210" xfId="11824"/>
    <cellStyle name="Normal 211" xfId="11825"/>
    <cellStyle name="Normal 212" xfId="11826"/>
    <cellStyle name="Normal 213" xfId="11827"/>
    <cellStyle name="Normal 214" xfId="11828"/>
    <cellStyle name="Normal 215" xfId="11829"/>
    <cellStyle name="Normal 22" xfId="11830"/>
    <cellStyle name="Normal 22 10" xfId="11831"/>
    <cellStyle name="Normal 22 11" xfId="11832"/>
    <cellStyle name="Normal 22 12" xfId="11833"/>
    <cellStyle name="Normal 22 13" xfId="11834"/>
    <cellStyle name="Normal 22 14" xfId="11835"/>
    <cellStyle name="Normal 22 15" xfId="11836"/>
    <cellStyle name="Normal 22 2" xfId="11837"/>
    <cellStyle name="Normal 22 2 10" xfId="11838"/>
    <cellStyle name="Normal 22 2 2" xfId="11839"/>
    <cellStyle name="Normal 22 2 2 2" xfId="11840"/>
    <cellStyle name="Normal 22 2 2 2 2" xfId="11841"/>
    <cellStyle name="Normal 22 2 2 2 3" xfId="11842"/>
    <cellStyle name="Normal 22 2 2 2 4" xfId="11843"/>
    <cellStyle name="Normal 22 2 2 3" xfId="11844"/>
    <cellStyle name="Normal 22 2 2 4" xfId="11845"/>
    <cellStyle name="Normal 22 2 2 5" xfId="11846"/>
    <cellStyle name="Normal 22 2 2 6" xfId="11847"/>
    <cellStyle name="Normal 22 2 2 7" xfId="11848"/>
    <cellStyle name="Normal 22 2 2 8" xfId="11849"/>
    <cellStyle name="Normal 22 2 2 9" xfId="11850"/>
    <cellStyle name="Normal 22 2 3" xfId="11851"/>
    <cellStyle name="Normal 22 2 3 2" xfId="11852"/>
    <cellStyle name="Normal 22 2 3 3" xfId="11853"/>
    <cellStyle name="Normal 22 2 3 4" xfId="11854"/>
    <cellStyle name="Normal 22 2 4" xfId="11855"/>
    <cellStyle name="Normal 22 2 5" xfId="11856"/>
    <cellStyle name="Normal 22 2 6" xfId="11857"/>
    <cellStyle name="Normal 22 2 7" xfId="11858"/>
    <cellStyle name="Normal 22 2 8" xfId="11859"/>
    <cellStyle name="Normal 22 2 9" xfId="11860"/>
    <cellStyle name="Normal 22 3" xfId="11861"/>
    <cellStyle name="Normal 22 3 2" xfId="11862"/>
    <cellStyle name="Normal 22 3 2 2" xfId="11863"/>
    <cellStyle name="Normal 22 3 2 2 2" xfId="11864"/>
    <cellStyle name="Normal 22 3 2 2 3" xfId="11865"/>
    <cellStyle name="Normal 22 3 2 2 4" xfId="11866"/>
    <cellStyle name="Normal 22 3 2 3" xfId="11867"/>
    <cellStyle name="Normal 22 3 2 4" xfId="11868"/>
    <cellStyle name="Normal 22 3 2 5" xfId="11869"/>
    <cellStyle name="Normal 22 3 3" xfId="11870"/>
    <cellStyle name="Normal 22 3 3 2" xfId="11871"/>
    <cellStyle name="Normal 22 3 3 3" xfId="11872"/>
    <cellStyle name="Normal 22 3 3 4" xfId="11873"/>
    <cellStyle name="Normal 22 3 4" xfId="11874"/>
    <cellStyle name="Normal 22 3 5" xfId="11875"/>
    <cellStyle name="Normal 22 3 6" xfId="11876"/>
    <cellStyle name="Normal 22 4" xfId="11877"/>
    <cellStyle name="Normal 22 4 2" xfId="11878"/>
    <cellStyle name="Normal 22 4 2 2" xfId="11879"/>
    <cellStyle name="Normal 22 4 2 3" xfId="11880"/>
    <cellStyle name="Normal 22 4 2 4" xfId="11881"/>
    <cellStyle name="Normal 22 4 3" xfId="11882"/>
    <cellStyle name="Normal 22 4 4" xfId="11883"/>
    <cellStyle name="Normal 22 4 5" xfId="11884"/>
    <cellStyle name="Normal 22 5" xfId="11885"/>
    <cellStyle name="Normal 22 5 2" xfId="11886"/>
    <cellStyle name="Normal 22 5 2 2" xfId="11887"/>
    <cellStyle name="Normal 22 5 2 3" xfId="11888"/>
    <cellStyle name="Normal 22 5 2 4" xfId="11889"/>
    <cellStyle name="Normal 22 5 3" xfId="11890"/>
    <cellStyle name="Normal 22 5 4" xfId="11891"/>
    <cellStyle name="Normal 22 5 5" xfId="11892"/>
    <cellStyle name="Normal 22 6" xfId="11893"/>
    <cellStyle name="Normal 22 6 2" xfId="11894"/>
    <cellStyle name="Normal 22 6 3" xfId="11895"/>
    <cellStyle name="Normal 22 6 4" xfId="11896"/>
    <cellStyle name="Normal 22 7" xfId="11897"/>
    <cellStyle name="Normal 22 7 2" xfId="11898"/>
    <cellStyle name="Normal 22 7 3" xfId="11899"/>
    <cellStyle name="Normal 22 7 4" xfId="11900"/>
    <cellStyle name="Normal 22 8" xfId="11901"/>
    <cellStyle name="Normal 22 8 2" xfId="11902"/>
    <cellStyle name="Normal 22 8 3" xfId="11903"/>
    <cellStyle name="Normal 22 8 4" xfId="11904"/>
    <cellStyle name="Normal 22 9" xfId="11905"/>
    <cellStyle name="Normal 23" xfId="11906"/>
    <cellStyle name="Normal 23 10" xfId="11907"/>
    <cellStyle name="Normal 23 11" xfId="11908"/>
    <cellStyle name="Normal 23 12" xfId="11909"/>
    <cellStyle name="Normal 23 13" xfId="11910"/>
    <cellStyle name="Normal 23 14" xfId="11911"/>
    <cellStyle name="Normal 23 15" xfId="11912"/>
    <cellStyle name="Normal 23 2" xfId="11913"/>
    <cellStyle name="Normal 23 2 10" xfId="11914"/>
    <cellStyle name="Normal 23 2 2" xfId="11915"/>
    <cellStyle name="Normal 23 2 2 2" xfId="11916"/>
    <cellStyle name="Normal 23 2 2 2 2" xfId="11917"/>
    <cellStyle name="Normal 23 2 2 2 3" xfId="11918"/>
    <cellStyle name="Normal 23 2 2 2 4" xfId="11919"/>
    <cellStyle name="Normal 23 2 2 3" xfId="11920"/>
    <cellStyle name="Normal 23 2 2 4" xfId="11921"/>
    <cellStyle name="Normal 23 2 2 5" xfId="11922"/>
    <cellStyle name="Normal 23 2 3" xfId="11923"/>
    <cellStyle name="Normal 23 2 3 2" xfId="11924"/>
    <cellStyle name="Normal 23 2 3 3" xfId="11925"/>
    <cellStyle name="Normal 23 2 3 4" xfId="11926"/>
    <cellStyle name="Normal 23 2 4" xfId="11927"/>
    <cellStyle name="Normal 23 2 5" xfId="11928"/>
    <cellStyle name="Normal 23 2 6" xfId="11929"/>
    <cellStyle name="Normal 23 2 7" xfId="11930"/>
    <cellStyle name="Normal 23 2 8" xfId="11931"/>
    <cellStyle name="Normal 23 2 9" xfId="11932"/>
    <cellStyle name="Normal 23 3" xfId="11933"/>
    <cellStyle name="Normal 23 3 2" xfId="11934"/>
    <cellStyle name="Normal 23 3 2 2" xfId="11935"/>
    <cellStyle name="Normal 23 3 2 2 2" xfId="11936"/>
    <cellStyle name="Normal 23 3 2 2 3" xfId="11937"/>
    <cellStyle name="Normal 23 3 2 2 4" xfId="11938"/>
    <cellStyle name="Normal 23 3 2 3" xfId="11939"/>
    <cellStyle name="Normal 23 3 2 4" xfId="11940"/>
    <cellStyle name="Normal 23 3 2 5" xfId="11941"/>
    <cellStyle name="Normal 23 3 3" xfId="11942"/>
    <cellStyle name="Normal 23 3 3 2" xfId="11943"/>
    <cellStyle name="Normal 23 3 3 3" xfId="11944"/>
    <cellStyle name="Normal 23 3 3 4" xfId="11945"/>
    <cellStyle name="Normal 23 3 4" xfId="11946"/>
    <cellStyle name="Normal 23 3 5" xfId="11947"/>
    <cellStyle name="Normal 23 3 6" xfId="11948"/>
    <cellStyle name="Normal 23 4" xfId="11949"/>
    <cellStyle name="Normal 23 4 2" xfId="11950"/>
    <cellStyle name="Normal 23 4 2 2" xfId="11951"/>
    <cellStyle name="Normal 23 4 2 3" xfId="11952"/>
    <cellStyle name="Normal 23 4 2 4" xfId="11953"/>
    <cellStyle name="Normal 23 4 3" xfId="11954"/>
    <cellStyle name="Normal 23 4 4" xfId="11955"/>
    <cellStyle name="Normal 23 4 5" xfId="11956"/>
    <cellStyle name="Normal 23 5" xfId="11957"/>
    <cellStyle name="Normal 23 5 2" xfId="11958"/>
    <cellStyle name="Normal 23 5 2 2" xfId="11959"/>
    <cellStyle name="Normal 23 5 2 3" xfId="11960"/>
    <cellStyle name="Normal 23 5 2 4" xfId="11961"/>
    <cellStyle name="Normal 23 5 3" xfId="11962"/>
    <cellStyle name="Normal 23 5 4" xfId="11963"/>
    <cellStyle name="Normal 23 5 5" xfId="11964"/>
    <cellStyle name="Normal 23 6" xfId="11965"/>
    <cellStyle name="Normal 23 6 2" xfId="11966"/>
    <cellStyle name="Normal 23 6 3" xfId="11967"/>
    <cellStyle name="Normal 23 6 4" xfId="11968"/>
    <cellStyle name="Normal 23 7" xfId="11969"/>
    <cellStyle name="Normal 23 7 2" xfId="11970"/>
    <cellStyle name="Normal 23 7 3" xfId="11971"/>
    <cellStyle name="Normal 23 7 4" xfId="11972"/>
    <cellStyle name="Normal 23 8" xfId="11973"/>
    <cellStyle name="Normal 23 8 2" xfId="11974"/>
    <cellStyle name="Normal 23 8 3" xfId="11975"/>
    <cellStyle name="Normal 23 8 4" xfId="11976"/>
    <cellStyle name="Normal 23 9" xfId="11977"/>
    <cellStyle name="Normal 24" xfId="11978"/>
    <cellStyle name="Normal 24 10" xfId="11979"/>
    <cellStyle name="Normal 24 11" xfId="11980"/>
    <cellStyle name="Normal 24 12" xfId="11981"/>
    <cellStyle name="Normal 24 13" xfId="11982"/>
    <cellStyle name="Normal 24 14" xfId="11983"/>
    <cellStyle name="Normal 24 15" xfId="11984"/>
    <cellStyle name="Normal 24 2" xfId="11985"/>
    <cellStyle name="Normal 24 2 10" xfId="11986"/>
    <cellStyle name="Normal 24 2 11" xfId="11987"/>
    <cellStyle name="Normal 24 2 12" xfId="11988"/>
    <cellStyle name="Normal 24 2 2" xfId="11989"/>
    <cellStyle name="Normal 24 2 2 2" xfId="11990"/>
    <cellStyle name="Normal 24 2 2 2 2" xfId="11991"/>
    <cellStyle name="Normal 24 2 2 2 3" xfId="11992"/>
    <cellStyle name="Normal 24 2 2 2 4" xfId="11993"/>
    <cellStyle name="Normal 24 2 2 3" xfId="11994"/>
    <cellStyle name="Normal 24 2 2 4" xfId="11995"/>
    <cellStyle name="Normal 24 2 2 5" xfId="11996"/>
    <cellStyle name="Normal 24 2 2 6" xfId="11997"/>
    <cellStyle name="Normal 24 2 2 7" xfId="11998"/>
    <cellStyle name="Normal 24 2 2 8" xfId="11999"/>
    <cellStyle name="Normal 24 2 2 9" xfId="12000"/>
    <cellStyle name="Normal 24 2 3" xfId="12001"/>
    <cellStyle name="Normal 24 2 3 2" xfId="12002"/>
    <cellStyle name="Normal 24 2 3 3" xfId="12003"/>
    <cellStyle name="Normal 24 2 3 4" xfId="12004"/>
    <cellStyle name="Normal 24 2 3 5" xfId="12005"/>
    <cellStyle name="Normal 24 2 3 6" xfId="12006"/>
    <cellStyle name="Normal 24 2 3 7" xfId="12007"/>
    <cellStyle name="Normal 24 2 3 8" xfId="12008"/>
    <cellStyle name="Normal 24 2 4" xfId="12009"/>
    <cellStyle name="Normal 24 2 4 2" xfId="12010"/>
    <cellStyle name="Normal 24 2 4 3" xfId="12011"/>
    <cellStyle name="Normal 24 2 4 4" xfId="12012"/>
    <cellStyle name="Normal 24 2 4 5" xfId="12013"/>
    <cellStyle name="Normal 24 2 5" xfId="12014"/>
    <cellStyle name="Normal 24 2 5 2" xfId="12015"/>
    <cellStyle name="Normal 24 2 5 3" xfId="12016"/>
    <cellStyle name="Normal 24 2 5 4" xfId="12017"/>
    <cellStyle name="Normal 24 2 5 5" xfId="12018"/>
    <cellStyle name="Normal 24 2 6" xfId="12019"/>
    <cellStyle name="Normal 24 2 6 2" xfId="12020"/>
    <cellStyle name="Normal 24 2 6 3" xfId="12021"/>
    <cellStyle name="Normal 24 2 6 4" xfId="12022"/>
    <cellStyle name="Normal 24 2 6 5" xfId="12023"/>
    <cellStyle name="Normal 24 2 7" xfId="12024"/>
    <cellStyle name="Normal 24 2 7 2" xfId="12025"/>
    <cellStyle name="Normal 24 2 8" xfId="12026"/>
    <cellStyle name="Normal 24 2 8 2" xfId="12027"/>
    <cellStyle name="Normal 24 2 9" xfId="12028"/>
    <cellStyle name="Normal 24 2 9 2" xfId="12029"/>
    <cellStyle name="Normal 24 3" xfId="12030"/>
    <cellStyle name="Normal 24 3 2" xfId="12031"/>
    <cellStyle name="Normal 24 3 2 2" xfId="12032"/>
    <cellStyle name="Normal 24 3 2 2 2" xfId="12033"/>
    <cellStyle name="Normal 24 3 2 2 3" xfId="12034"/>
    <cellStyle name="Normal 24 3 2 2 4" xfId="12035"/>
    <cellStyle name="Normal 24 3 2 3" xfId="12036"/>
    <cellStyle name="Normal 24 3 2 4" xfId="12037"/>
    <cellStyle name="Normal 24 3 2 5" xfId="12038"/>
    <cellStyle name="Normal 24 3 3" xfId="12039"/>
    <cellStyle name="Normal 24 3 3 2" xfId="12040"/>
    <cellStyle name="Normal 24 3 3 3" xfId="12041"/>
    <cellStyle name="Normal 24 3 3 4" xfId="12042"/>
    <cellStyle name="Normal 24 3 4" xfId="12043"/>
    <cellStyle name="Normal 24 3 5" xfId="12044"/>
    <cellStyle name="Normal 24 3 6" xfId="12045"/>
    <cellStyle name="Normal 24 4" xfId="12046"/>
    <cellStyle name="Normal 24 4 2" xfId="12047"/>
    <cellStyle name="Normal 24 4 2 2" xfId="12048"/>
    <cellStyle name="Normal 24 4 2 3" xfId="12049"/>
    <cellStyle name="Normal 24 4 2 4" xfId="12050"/>
    <cellStyle name="Normal 24 4 3" xfId="12051"/>
    <cellStyle name="Normal 24 4 4" xfId="12052"/>
    <cellStyle name="Normal 24 4 5" xfId="12053"/>
    <cellStyle name="Normal 24 5" xfId="12054"/>
    <cellStyle name="Normal 24 5 2" xfId="12055"/>
    <cellStyle name="Normal 24 5 2 2" xfId="12056"/>
    <cellStyle name="Normal 24 5 2 3" xfId="12057"/>
    <cellStyle name="Normal 24 5 2 4" xfId="12058"/>
    <cellStyle name="Normal 24 5 3" xfId="12059"/>
    <cellStyle name="Normal 24 5 4" xfId="12060"/>
    <cellStyle name="Normal 24 5 5" xfId="12061"/>
    <cellStyle name="Normal 24 6" xfId="12062"/>
    <cellStyle name="Normal 24 6 2" xfId="12063"/>
    <cellStyle name="Normal 24 6 3" xfId="12064"/>
    <cellStyle name="Normal 24 6 4" xfId="12065"/>
    <cellStyle name="Normal 24 7" xfId="12066"/>
    <cellStyle name="Normal 24 7 2" xfId="12067"/>
    <cellStyle name="Normal 24 7 3" xfId="12068"/>
    <cellStyle name="Normal 24 7 4" xfId="12069"/>
    <cellStyle name="Normal 24 8" xfId="12070"/>
    <cellStyle name="Normal 24 8 2" xfId="12071"/>
    <cellStyle name="Normal 24 8 3" xfId="12072"/>
    <cellStyle name="Normal 24 8 4" xfId="12073"/>
    <cellStyle name="Normal 24 9" xfId="12074"/>
    <cellStyle name="Normal 25" xfId="12075"/>
    <cellStyle name="Normal 25 10" xfId="12076"/>
    <cellStyle name="Normal 25 11" xfId="12077"/>
    <cellStyle name="Normal 25 2 2 2" xfId="12078"/>
    <cellStyle name="Normal 25 2 2 2 2" xfId="12079"/>
    <cellStyle name="Normal 25 2 2 2 3" xfId="12080"/>
    <cellStyle name="Normal 25 2 2 2 4" xfId="12081"/>
    <cellStyle name="Normal 25 2 2 3" xfId="12082"/>
    <cellStyle name="Normal 25 2 2 4" xfId="12083"/>
    <cellStyle name="Normal 25 2 2 5" xfId="12084"/>
    <cellStyle name="Normal 25 2 3 2" xfId="12085"/>
    <cellStyle name="Normal 25 2 3 3" xfId="12086"/>
    <cellStyle name="Normal 25 2 3 4" xfId="12087"/>
    <cellStyle name="Normal 25 3 2" xfId="12088"/>
    <cellStyle name="Normal 25 3 2 2" xfId="12089"/>
    <cellStyle name="Normal 25 3 2 2 2" xfId="12090"/>
    <cellStyle name="Normal 25 3 2 2 3" xfId="12091"/>
    <cellStyle name="Normal 25 3 2 2 4" xfId="12092"/>
    <cellStyle name="Normal 25 3 2 3" xfId="12093"/>
    <cellStyle name="Normal 25 3 2 4" xfId="12094"/>
    <cellStyle name="Normal 25 3 2 5" xfId="12095"/>
    <cellStyle name="Normal 25 3 3 2" xfId="12096"/>
    <cellStyle name="Normal 25 3 3 3" xfId="12097"/>
    <cellStyle name="Normal 25 4 2" xfId="12098"/>
    <cellStyle name="Normal 25 4 2 2" xfId="12099"/>
    <cellStyle name="Normal 25 4 2 3" xfId="12100"/>
    <cellStyle name="Normal 25 4 4" xfId="12101"/>
    <cellStyle name="Normal 25 4 5" xfId="12102"/>
    <cellStyle name="Normal 25 5 2 2" xfId="12103"/>
    <cellStyle name="Normal 25 5 2 3" xfId="12104"/>
    <cellStyle name="Normal 25 5 2 4" xfId="12105"/>
    <cellStyle name="Normal 25 5 5" xfId="12106"/>
    <cellStyle name="Normal 25 8 2" xfId="12107"/>
    <cellStyle name="Normal 25 8 3" xfId="12108"/>
    <cellStyle name="Normal 25 8 4" xfId="12109"/>
    <cellStyle name="Normal 26" xfId="12110"/>
    <cellStyle name="Normal 26 2 2 2" xfId="12111"/>
    <cellStyle name="Normal 26 2 2 2 2" xfId="12112"/>
    <cellStyle name="Normal 26 2 2 2 3" xfId="12113"/>
    <cellStyle name="Normal 26 2 2 2 4" xfId="12114"/>
    <cellStyle name="Normal 26 2 2 3" xfId="12115"/>
    <cellStyle name="Normal 26 2 2 4" xfId="12116"/>
    <cellStyle name="Normal 26 2 3 2" xfId="12117"/>
    <cellStyle name="Normal 26 2 3 3" xfId="12118"/>
    <cellStyle name="Normal 26 2 3 4" xfId="12119"/>
    <cellStyle name="Normal 26 3 2" xfId="12120"/>
    <cellStyle name="Normal 26 3 2 5" xfId="12121"/>
    <cellStyle name="Normal 26 3 3" xfId="12122"/>
    <cellStyle name="Normal 26 3 3 2" xfId="12123"/>
    <cellStyle name="Normal 26 3 3 3" xfId="12124"/>
    <cellStyle name="Normal 26 3 4" xfId="12125"/>
    <cellStyle name="Normal 26 3 5" xfId="12126"/>
    <cellStyle name="Normal 26 3 6" xfId="12127"/>
    <cellStyle name="Normal 26 4 5" xfId="12128"/>
    <cellStyle name="Normal 26 5 2 3" xfId="12129"/>
    <cellStyle name="Normal 26 5 2 4" xfId="12130"/>
    <cellStyle name="Normal 26 5 5" xfId="12131"/>
    <cellStyle name="Normal 26 8 2" xfId="12132"/>
    <cellStyle name="Normal 26 8 3" xfId="12133"/>
    <cellStyle name="Normal 26 8 4" xfId="12134"/>
    <cellStyle name="Normal 27" xfId="12135"/>
    <cellStyle name="Normal 27 10" xfId="12136"/>
    <cellStyle name="Normal 27 11" xfId="12137"/>
    <cellStyle name="Normal 27 2" xfId="12138"/>
    <cellStyle name="Normal 27 2 3 2" xfId="12139"/>
    <cellStyle name="Normal 27 2 3 3" xfId="12140"/>
    <cellStyle name="Normal 27 3" xfId="12141"/>
    <cellStyle name="Normal 27 3 2 2 3" xfId="12142"/>
    <cellStyle name="Normal 27 3 2 2 4" xfId="12143"/>
    <cellStyle name="Normal 27 3 2 4" xfId="12144"/>
    <cellStyle name="Normal 27 3 2 5" xfId="12145"/>
    <cellStyle name="Normal 27 3 3 2" xfId="12146"/>
    <cellStyle name="Normal 27 3 3 3" xfId="12147"/>
    <cellStyle name="Normal 27 3 3 4" xfId="12148"/>
    <cellStyle name="Normal 27 3 5" xfId="12149"/>
    <cellStyle name="Normal 27 3 6" xfId="12150"/>
    <cellStyle name="Normal 27 4 2" xfId="12151"/>
    <cellStyle name="Normal 27 4 2 4" xfId="12152"/>
    <cellStyle name="Normal 27 4 5" xfId="12153"/>
    <cellStyle name="Normal 27 5 2 3" xfId="12154"/>
    <cellStyle name="Normal 27 5 2 4" xfId="12155"/>
    <cellStyle name="Normal 27 8 2" xfId="12156"/>
    <cellStyle name="Normal 27 8 3" xfId="12157"/>
    <cellStyle name="Normal 27 8 4" xfId="12158"/>
    <cellStyle name="Normal 28" xfId="12159"/>
    <cellStyle name="Normal 28 10" xfId="12160"/>
    <cellStyle name="Normal 28 11" xfId="12161"/>
    <cellStyle name="Normal 28 2" xfId="12162"/>
    <cellStyle name="Normal 28 2 2" xfId="12163"/>
    <cellStyle name="Normal 28 2 2 2" xfId="12164"/>
    <cellStyle name="Normal 28 2 2 2 2" xfId="12165"/>
    <cellStyle name="Normal 28 2 2 2 3" xfId="12166"/>
    <cellStyle name="Normal 28 2 2 2 4" xfId="12167"/>
    <cellStyle name="Normal 28 2 2 3" xfId="12168"/>
    <cellStyle name="Normal 28 2 2 4" xfId="12169"/>
    <cellStyle name="Normal 28 2 2 5" xfId="12170"/>
    <cellStyle name="Normal 28 2 3" xfId="12171"/>
    <cellStyle name="Normal 28 2 3 2" xfId="12172"/>
    <cellStyle name="Normal 28 2 3 3" xfId="12173"/>
    <cellStyle name="Normal 28 2 3 4" xfId="12174"/>
    <cellStyle name="Normal 28 2 4" xfId="12175"/>
    <cellStyle name="Normal 28 2 5" xfId="12176"/>
    <cellStyle name="Normal 28 2 6" xfId="12177"/>
    <cellStyle name="Normal 28 3" xfId="12178"/>
    <cellStyle name="Normal 28 3 2" xfId="12179"/>
    <cellStyle name="Normal 28 3 2 2" xfId="12180"/>
    <cellStyle name="Normal 28 3 2 2 2" xfId="12181"/>
    <cellStyle name="Normal 28 3 2 2 3" xfId="12182"/>
    <cellStyle name="Normal 28 3 2 2 4" xfId="12183"/>
    <cellStyle name="Normal 28 3 2 3" xfId="12184"/>
    <cellStyle name="Normal 28 3 2 4" xfId="12185"/>
    <cellStyle name="Normal 28 3 2 5" xfId="12186"/>
    <cellStyle name="Normal 28 3 3" xfId="12187"/>
    <cellStyle name="Normal 28 3 3 2" xfId="12188"/>
    <cellStyle name="Normal 28 3 3 3" xfId="12189"/>
    <cellStyle name="Normal 28 3 3 4" xfId="12190"/>
    <cellStyle name="Normal 28 3 4" xfId="12191"/>
    <cellStyle name="Normal 28 3 5" xfId="12192"/>
    <cellStyle name="Normal 28 3 6" xfId="12193"/>
    <cellStyle name="Normal 28 4 2" xfId="12194"/>
    <cellStyle name="Normal 28 4 2 2" xfId="12195"/>
    <cellStyle name="Normal 28 4 2 3" xfId="12196"/>
    <cellStyle name="Normal 28 4 2 4" xfId="12197"/>
    <cellStyle name="Normal 28 4 3" xfId="12198"/>
    <cellStyle name="Normal 28 4 4" xfId="12199"/>
    <cellStyle name="Normal 28 4 5" xfId="12200"/>
    <cellStyle name="Normal 28 5 2 4" xfId="12201"/>
    <cellStyle name="Normal 28 5 3" xfId="12202"/>
    <cellStyle name="Normal 28 6" xfId="12203"/>
    <cellStyle name="Normal 28 6 2" xfId="12204"/>
    <cellStyle name="Normal 28 6 3" xfId="12205"/>
    <cellStyle name="Normal 28 6 4" xfId="12206"/>
    <cellStyle name="Normal 28 7" xfId="12207"/>
    <cellStyle name="Normal 28 8" xfId="12208"/>
    <cellStyle name="Normal 28 8 2" xfId="12209"/>
    <cellStyle name="Normal 28 8 3" xfId="12210"/>
    <cellStyle name="Normal 28 8 4" xfId="12211"/>
    <cellStyle name="Normal 28 9" xfId="12212"/>
    <cellStyle name="Normal 29" xfId="12213"/>
    <cellStyle name="Normal 29 10" xfId="12214"/>
    <cellStyle name="Normal 29 11" xfId="12215"/>
    <cellStyle name="Normal 29 2" xfId="12216"/>
    <cellStyle name="Normal 29 2 2" xfId="12217"/>
    <cellStyle name="Normal 29 2 2 2" xfId="12218"/>
    <cellStyle name="Normal 29 2 2 2 2" xfId="12219"/>
    <cellStyle name="Normal 29 2 2 2 3" xfId="12220"/>
    <cellStyle name="Normal 29 2 2 2 4" xfId="12221"/>
    <cellStyle name="Normal 29 2 2 4" xfId="12222"/>
    <cellStyle name="Normal 29 2 2 5" xfId="12223"/>
    <cellStyle name="Normal 29 2 3" xfId="12224"/>
    <cellStyle name="Normal 29 2 3 2" xfId="12225"/>
    <cellStyle name="Normal 29 2 3 3" xfId="12226"/>
    <cellStyle name="Normal 29 2 3 4" xfId="12227"/>
    <cellStyle name="Normal 29 2 4" xfId="12228"/>
    <cellStyle name="Normal 29 3" xfId="12229"/>
    <cellStyle name="Normal 29 3 2" xfId="12230"/>
    <cellStyle name="Normal 29 3 2 2 2" xfId="12231"/>
    <cellStyle name="Normal 29 3 2 2 3" xfId="12232"/>
    <cellStyle name="Normal 29 3 2 2 4" xfId="12233"/>
    <cellStyle name="Normal 29 3 2 4" xfId="12234"/>
    <cellStyle name="Normal 29 3 2 5" xfId="12235"/>
    <cellStyle name="Normal 29 3 3" xfId="12236"/>
    <cellStyle name="Normal 29 3 3 2" xfId="12237"/>
    <cellStyle name="Normal 29 3 3 4" xfId="12238"/>
    <cellStyle name="Normal 29 3 3 4 2" xfId="12239"/>
    <cellStyle name="Normal 29 3 5" xfId="12240"/>
    <cellStyle name="Normal 29 3 6" xfId="12241"/>
    <cellStyle name="Normal 29 4" xfId="12242"/>
    <cellStyle name="Normal 29 4 2" xfId="12243"/>
    <cellStyle name="Normal 29 4 2 2" xfId="12244"/>
    <cellStyle name="Normal 29 4 2 3" xfId="12245"/>
    <cellStyle name="Normal 29 4 2 4" xfId="12246"/>
    <cellStyle name="Normal 29 4 3" xfId="12247"/>
    <cellStyle name="Normal 29 5" xfId="12248"/>
    <cellStyle name="Normal 29 5 2 4" xfId="12249"/>
    <cellStyle name="Normal 29 6" xfId="12250"/>
    <cellStyle name="Normal 29 7" xfId="12251"/>
    <cellStyle name="Normal 29 8" xfId="12252"/>
    <cellStyle name="Normal 3" xfId="12253"/>
    <cellStyle name="Normal 3 10" xfId="12254"/>
    <cellStyle name="Normal 3 10 2" xfId="12255"/>
    <cellStyle name="Normal 3 10 3" xfId="12256"/>
    <cellStyle name="Normal 3 10 4" xfId="12257"/>
    <cellStyle name="Normal 3 10 5" xfId="12258"/>
    <cellStyle name="Normal 3 10 6" xfId="12259"/>
    <cellStyle name="Normal 3 10 7" xfId="12260"/>
    <cellStyle name="Normal 3 10 8" xfId="12261"/>
    <cellStyle name="Normal 3 11" xfId="12262"/>
    <cellStyle name="Normal 3 11 2" xfId="12263"/>
    <cellStyle name="Normal 3 11 3" xfId="12264"/>
    <cellStyle name="Normal 3 11 4" xfId="12265"/>
    <cellStyle name="Normal 3 11 5" xfId="12266"/>
    <cellStyle name="Normal 3 11 6" xfId="12267"/>
    <cellStyle name="Normal 3 11 7" xfId="12268"/>
    <cellStyle name="Normal 3 11 8" xfId="12269"/>
    <cellStyle name="Normal 3 12" xfId="12270"/>
    <cellStyle name="Normal 3 12 2" xfId="12271"/>
    <cellStyle name="Normal 3 12 3" xfId="12272"/>
    <cellStyle name="Normal 3 12 4" xfId="12273"/>
    <cellStyle name="Normal 3 12 5" xfId="12274"/>
    <cellStyle name="Normal 3 12 6" xfId="12275"/>
    <cellStyle name="Normal 3 12 7" xfId="12276"/>
    <cellStyle name="Normal 3 12 8" xfId="12277"/>
    <cellStyle name="Normal 3 13" xfId="12278"/>
    <cellStyle name="Normal 3 13 2" xfId="12279"/>
    <cellStyle name="Normal 3 13 3" xfId="12280"/>
    <cellStyle name="Normal 3 13 4" xfId="12281"/>
    <cellStyle name="Normal 3 13 5" xfId="12282"/>
    <cellStyle name="Normal 3 13 6" xfId="12283"/>
    <cellStyle name="Normal 3 13 7" xfId="12284"/>
    <cellStyle name="Normal 3 13 8" xfId="12285"/>
    <cellStyle name="Normal 3 14" xfId="12286"/>
    <cellStyle name="Normal 3 14 2" xfId="12287"/>
    <cellStyle name="Normal 3 14 3" xfId="12288"/>
    <cellStyle name="Normal 3 14 4" xfId="12289"/>
    <cellStyle name="Normal 3 14 5" xfId="12290"/>
    <cellStyle name="Normal 3 14 6" xfId="12291"/>
    <cellStyle name="Normal 3 14 7" xfId="12292"/>
    <cellStyle name="Normal 3 14 8" xfId="12293"/>
    <cellStyle name="Normal 3 15" xfId="12294"/>
    <cellStyle name="Normal 3 15 2" xfId="12295"/>
    <cellStyle name="Normal 3 15 3" xfId="12296"/>
    <cellStyle name="Normal 3 15 4" xfId="12297"/>
    <cellStyle name="Normal 3 15 5" xfId="12298"/>
    <cellStyle name="Normal 3 15 6" xfId="12299"/>
    <cellStyle name="Normal 3 15 7" xfId="12300"/>
    <cellStyle name="Normal 3 15 8" xfId="12301"/>
    <cellStyle name="Normal 3 16" xfId="12302"/>
    <cellStyle name="Normal 3 16 2" xfId="12303"/>
    <cellStyle name="Normal 3 16 3" xfId="12304"/>
    <cellStyle name="Normal 3 16 4" xfId="12305"/>
    <cellStyle name="Normal 3 16 5" xfId="12306"/>
    <cellStyle name="Normal 3 16 6" xfId="12307"/>
    <cellStyle name="Normal 3 16 7" xfId="12308"/>
    <cellStyle name="Normal 3 16 8" xfId="12309"/>
    <cellStyle name="Normal 3 17" xfId="12310"/>
    <cellStyle name="Normal 3 17 2" xfId="12311"/>
    <cellStyle name="Normal 3 17 3" xfId="12312"/>
    <cellStyle name="Normal 3 17 4" xfId="12313"/>
    <cellStyle name="Normal 3 17 5" xfId="12314"/>
    <cellStyle name="Normal 3 17 6" xfId="12315"/>
    <cellStyle name="Normal 3 17 7" xfId="12316"/>
    <cellStyle name="Normal 3 17 8" xfId="12317"/>
    <cellStyle name="Normal 3 18" xfId="12318"/>
    <cellStyle name="Normal 3 18 2" xfId="12319"/>
    <cellStyle name="Normal 3 18 3" xfId="12320"/>
    <cellStyle name="Normal 3 18 4" xfId="12321"/>
    <cellStyle name="Normal 3 18 5" xfId="12322"/>
    <cellStyle name="Normal 3 18 6" xfId="12323"/>
    <cellStyle name="Normal 3 18 7" xfId="12324"/>
    <cellStyle name="Normal 3 18 8" xfId="12325"/>
    <cellStyle name="Normal 3 19" xfId="12326"/>
    <cellStyle name="Normal 3 19 2" xfId="12327"/>
    <cellStyle name="Normal 3 19 3" xfId="12328"/>
    <cellStyle name="Normal 3 19 4" xfId="12329"/>
    <cellStyle name="Normal 3 19 5" xfId="12330"/>
    <cellStyle name="Normal 3 19 6" xfId="12331"/>
    <cellStyle name="Normal 3 19 7" xfId="12332"/>
    <cellStyle name="Normal 3 19 8" xfId="12333"/>
    <cellStyle name="Normal 3 2" xfId="12334"/>
    <cellStyle name="Normal 3 2 10" xfId="12335"/>
    <cellStyle name="Normal 3 2 11" xfId="12336"/>
    <cellStyle name="Normal 3 2 12" xfId="12337"/>
    <cellStyle name="Normal 3 2 2" xfId="12338"/>
    <cellStyle name="Normal 3 2 2 2" xfId="12339"/>
    <cellStyle name="Normal 3 2 2 2 2" xfId="12340"/>
    <cellStyle name="Normal 3 2 2 2 2 3" xfId="12341"/>
    <cellStyle name="Normal 3 2 2 2 2 4" xfId="12342"/>
    <cellStyle name="Normal 3 2 2 2 3" xfId="12343"/>
    <cellStyle name="Normal 3 2 2 2 4" xfId="12344"/>
    <cellStyle name="Normal 3 2 2 2 5" xfId="12345"/>
    <cellStyle name="Normal 3 2 2 3" xfId="12346"/>
    <cellStyle name="Normal 3 2 2 3 2" xfId="12347"/>
    <cellStyle name="Normal 3 2 2 3 3" xfId="12348"/>
    <cellStyle name="Normal 3 2 2 3 4" xfId="12349"/>
    <cellStyle name="Normal 3 2 2 4" xfId="12350"/>
    <cellStyle name="Normal 3 2 2 5" xfId="12351"/>
    <cellStyle name="Normal 3 2 2 6" xfId="12352"/>
    <cellStyle name="Normal 3 2 2 7" xfId="12353"/>
    <cellStyle name="Normal 3 2 2 8" xfId="12354"/>
    <cellStyle name="Normal 3 2 3" xfId="12355"/>
    <cellStyle name="Normal 3 2 3 2 2" xfId="12356"/>
    <cellStyle name="Normal 3 2 3 2 2 2" xfId="12357"/>
    <cellStyle name="Normal 3 2 3 2 3" xfId="12358"/>
    <cellStyle name="Normal 3 2 3 2 4" xfId="12359"/>
    <cellStyle name="Normal 3 2 3 3 2" xfId="12360"/>
    <cellStyle name="Normal 3 2 3 3 3" xfId="12361"/>
    <cellStyle name="Normal 3 2 4" xfId="12362"/>
    <cellStyle name="Normal 3 2 4 2 2" xfId="12363"/>
    <cellStyle name="Normal 3 2 4 2 3" xfId="12364"/>
    <cellStyle name="Normal 3 2 4 2 4" xfId="12365"/>
    <cellStyle name="Normal 3 2 5" xfId="12366"/>
    <cellStyle name="Normal 3 2 5 2" xfId="12367"/>
    <cellStyle name="Normal 3 2 5 3" xfId="12368"/>
    <cellStyle name="Normal 3 2 5 4" xfId="12369"/>
    <cellStyle name="Normal 3 2 5 5" xfId="12370"/>
    <cellStyle name="Normal 3 2 5 6" xfId="12371"/>
    <cellStyle name="Normal 3 2 5 7" xfId="12372"/>
    <cellStyle name="Normal 3 2 6" xfId="12373"/>
    <cellStyle name="Normal 3 2 6 2" xfId="12374"/>
    <cellStyle name="Normal 3 2 6 3" xfId="12375"/>
    <cellStyle name="Normal 3 2 6 4" xfId="12376"/>
    <cellStyle name="Normal 3 2 6 5" xfId="12377"/>
    <cellStyle name="Normal 3 2 6 6" xfId="12378"/>
    <cellStyle name="Normal 3 2 7" xfId="12379"/>
    <cellStyle name="Normal 3 2 7 2" xfId="12380"/>
    <cellStyle name="Normal 3 2 7 3" xfId="12381"/>
    <cellStyle name="Normal 3 2 7 4" xfId="12382"/>
    <cellStyle name="Normal 3 2 7 5" xfId="12383"/>
    <cellStyle name="Normal 3 2 7 6" xfId="12384"/>
    <cellStyle name="Normal 3 2 8" xfId="12385"/>
    <cellStyle name="Normal 3 2 8 2" xfId="12386"/>
    <cellStyle name="Normal 3 2 8 3" xfId="12387"/>
    <cellStyle name="Normal 3 2 8 4" xfId="12388"/>
    <cellStyle name="Normal 3 2 8 5" xfId="12389"/>
    <cellStyle name="Normal 3 2 9" xfId="12390"/>
    <cellStyle name="Normal 3 2 9 2" xfId="12391"/>
    <cellStyle name="Normal 3 2 9 3" xfId="12392"/>
    <cellStyle name="Normal 3 2 9 4" xfId="12393"/>
    <cellStyle name="Normal 3 2 9 5" xfId="12394"/>
    <cellStyle name="Normal 3 20" xfId="12395"/>
    <cellStyle name="Normal 3 20 2" xfId="12396"/>
    <cellStyle name="Normal 3 20 3" xfId="12397"/>
    <cellStyle name="Normal 3 20 4" xfId="12398"/>
    <cellStyle name="Normal 3 20 5" xfId="12399"/>
    <cellStyle name="Normal 3 20 6" xfId="12400"/>
    <cellStyle name="Normal 3 20 7" xfId="12401"/>
    <cellStyle name="Normal 3 20 8" xfId="12402"/>
    <cellStyle name="Normal 3 21" xfId="12403"/>
    <cellStyle name="Normal 3 21 2" xfId="12404"/>
    <cellStyle name="Normal 3 21 3" xfId="12405"/>
    <cellStyle name="Normal 3 21 4" xfId="12406"/>
    <cellStyle name="Normal 3 21 5" xfId="12407"/>
    <cellStyle name="Normal 3 21 6" xfId="12408"/>
    <cellStyle name="Normal 3 21 7" xfId="12409"/>
    <cellStyle name="Normal 3 21 8" xfId="12410"/>
    <cellStyle name="Normal 3 22" xfId="12411"/>
    <cellStyle name="Normal 3 22 2" xfId="12412"/>
    <cellStyle name="Normal 3 22 3" xfId="12413"/>
    <cellStyle name="Normal 3 22 4" xfId="12414"/>
    <cellStyle name="Normal 3 22 5" xfId="12415"/>
    <cellStyle name="Normal 3 22 6" xfId="12416"/>
    <cellStyle name="Normal 3 22 7" xfId="12417"/>
    <cellStyle name="Normal 3 22 8" xfId="12418"/>
    <cellStyle name="Normal 3 23" xfId="12419"/>
    <cellStyle name="Normal 3 23 2" xfId="12420"/>
    <cellStyle name="Normal 3 23 3" xfId="12421"/>
    <cellStyle name="Normal 3 23 4" xfId="12422"/>
    <cellStyle name="Normal 3 23 5" xfId="12423"/>
    <cellStyle name="Normal 3 23 6" xfId="12424"/>
    <cellStyle name="Normal 3 23 7" xfId="12425"/>
    <cellStyle name="Normal 3 23 8" xfId="12426"/>
    <cellStyle name="Normal 3 24" xfId="12427"/>
    <cellStyle name="Normal 3 24 2" xfId="12428"/>
    <cellStyle name="Normal 3 24 3" xfId="12429"/>
    <cellStyle name="Normal 3 24 4" xfId="12430"/>
    <cellStyle name="Normal 3 24 5" xfId="12431"/>
    <cellStyle name="Normal 3 24 6" xfId="12432"/>
    <cellStyle name="Normal 3 24 7" xfId="12433"/>
    <cellStyle name="Normal 3 24 8" xfId="12434"/>
    <cellStyle name="Normal 3 25" xfId="12435"/>
    <cellStyle name="Normal 3 25 2" xfId="12436"/>
    <cellStyle name="Normal 3 25 3" xfId="12437"/>
    <cellStyle name="Normal 3 25 4" xfId="12438"/>
    <cellStyle name="Normal 3 25 5" xfId="12439"/>
    <cellStyle name="Normal 3 25 6" xfId="12440"/>
    <cellStyle name="Normal 3 25 7" xfId="12441"/>
    <cellStyle name="Normal 3 25 8" xfId="12442"/>
    <cellStyle name="Normal 3 26" xfId="12443"/>
    <cellStyle name="Normal 3 26 2" xfId="12444"/>
    <cellStyle name="Normal 3 26 3" xfId="12445"/>
    <cellStyle name="Normal 3 26 4" xfId="12446"/>
    <cellStyle name="Normal 3 26 5" xfId="12447"/>
    <cellStyle name="Normal 3 26 6" xfId="12448"/>
    <cellStyle name="Normal 3 26 7" xfId="12449"/>
    <cellStyle name="Normal 3 26 8" xfId="12450"/>
    <cellStyle name="Normal 3 27" xfId="12451"/>
    <cellStyle name="Normal 3 27 2" xfId="12452"/>
    <cellStyle name="Normal 3 27 3" xfId="12453"/>
    <cellStyle name="Normal 3 27 4" xfId="12454"/>
    <cellStyle name="Normal 3 27 5" xfId="12455"/>
    <cellStyle name="Normal 3 27 6" xfId="12456"/>
    <cellStyle name="Normal 3 27 7" xfId="12457"/>
    <cellStyle name="Normal 3 27 8" xfId="12458"/>
    <cellStyle name="Normal 3 28" xfId="12459"/>
    <cellStyle name="Normal 3 28 2" xfId="12460"/>
    <cellStyle name="Normal 3 28 3" xfId="12461"/>
    <cellStyle name="Normal 3 28 4" xfId="12462"/>
    <cellStyle name="Normal 3 28 5" xfId="12463"/>
    <cellStyle name="Normal 3 28 6" xfId="12464"/>
    <cellStyle name="Normal 3 28 7" xfId="12465"/>
    <cellStyle name="Normal 3 28 8" xfId="12466"/>
    <cellStyle name="Normal 3 29" xfId="12467"/>
    <cellStyle name="Normal 3 29 2" xfId="12468"/>
    <cellStyle name="Normal 3 29 3" xfId="12469"/>
    <cellStyle name="Normal 3 29 4" xfId="12470"/>
    <cellStyle name="Normal 3 29 5" xfId="12471"/>
    <cellStyle name="Normal 3 29 6" xfId="12472"/>
    <cellStyle name="Normal 3 29 7" xfId="12473"/>
    <cellStyle name="Normal 3 29 8" xfId="12474"/>
    <cellStyle name="Normal 3 3" xfId="12475"/>
    <cellStyle name="Normal 3 3 10" xfId="12476"/>
    <cellStyle name="Normal 3 3 11" xfId="12477"/>
    <cellStyle name="Normal 3 3 2" xfId="12478"/>
    <cellStyle name="Normal 3 3 2 2" xfId="12479"/>
    <cellStyle name="Normal 3 3 2 3" xfId="12480"/>
    <cellStyle name="Normal 3 3 2 4" xfId="12481"/>
    <cellStyle name="Normal 3 3 2 5" xfId="12482"/>
    <cellStyle name="Normal 3 3 3" xfId="12483"/>
    <cellStyle name="Normal 3 3 3 2" xfId="12484"/>
    <cellStyle name="Normal 3 3 3 3" xfId="12485"/>
    <cellStyle name="Normal 3 3 3 4" xfId="12486"/>
    <cellStyle name="Normal 3 3 3 5" xfId="12487"/>
    <cellStyle name="Normal 3 3 4" xfId="12488"/>
    <cellStyle name="Normal 3 3 4 2" xfId="12489"/>
    <cellStyle name="Normal 3 3 4 3" xfId="12490"/>
    <cellStyle name="Normal 3 3 4 4" xfId="12491"/>
    <cellStyle name="Normal 3 3 4 5" xfId="12492"/>
    <cellStyle name="Normal 3 3 5" xfId="12493"/>
    <cellStyle name="Normal 3 3 6" xfId="12494"/>
    <cellStyle name="Normal 3 3 7" xfId="12495"/>
    <cellStyle name="Normal 3 3 8" xfId="12496"/>
    <cellStyle name="Normal 3 3 9" xfId="12497"/>
    <cellStyle name="Normal 3 30" xfId="12498"/>
    <cellStyle name="Normal 3 30 2" xfId="12499"/>
    <cellStyle name="Normal 3 30 3" xfId="12500"/>
    <cellStyle name="Normal 3 30 4" xfId="12501"/>
    <cellStyle name="Normal 3 30 5" xfId="12502"/>
    <cellStyle name="Normal 3 30 6" xfId="12503"/>
    <cellStyle name="Normal 3 30 7" xfId="12504"/>
    <cellStyle name="Normal 3 30 8" xfId="12505"/>
    <cellStyle name="Normal 3 31" xfId="12506"/>
    <cellStyle name="Normal 3 31 2" xfId="12507"/>
    <cellStyle name="Normal 3 31 3" xfId="12508"/>
    <cellStyle name="Normal 3 31 4" xfId="12509"/>
    <cellStyle name="Normal 3 31 5" xfId="12510"/>
    <cellStyle name="Normal 3 31 6" xfId="12511"/>
    <cellStyle name="Normal 3 31 7" xfId="12512"/>
    <cellStyle name="Normal 3 31 8" xfId="12513"/>
    <cellStyle name="Normal 3 32" xfId="12514"/>
    <cellStyle name="Normal 3 32 2" xfId="12515"/>
    <cellStyle name="Normal 3 32 3" xfId="12516"/>
    <cellStyle name="Normal 3 32 4" xfId="12517"/>
    <cellStyle name="Normal 3 32 5" xfId="12518"/>
    <cellStyle name="Normal 3 32 6" xfId="12519"/>
    <cellStyle name="Normal 3 32 7" xfId="12520"/>
    <cellStyle name="Normal 3 32 8" xfId="12521"/>
    <cellStyle name="Normal 3 33" xfId="12522"/>
    <cellStyle name="Normal 3 33 2" xfId="12523"/>
    <cellStyle name="Normal 3 33 3" xfId="12524"/>
    <cellStyle name="Normal 3 33 4" xfId="12525"/>
    <cellStyle name="Normal 3 33 5" xfId="12526"/>
    <cellStyle name="Normal 3 33 6" xfId="12527"/>
    <cellStyle name="Normal 3 33 7" xfId="12528"/>
    <cellStyle name="Normal 3 33 8" xfId="12529"/>
    <cellStyle name="Normal 3 34" xfId="12530"/>
    <cellStyle name="Normal 3 35" xfId="12531"/>
    <cellStyle name="Normal 3 36" xfId="12532"/>
    <cellStyle name="Normal 3 37" xfId="12533"/>
    <cellStyle name="Normal 3 38" xfId="12534"/>
    <cellStyle name="Normal 3 39" xfId="12535"/>
    <cellStyle name="Normal 3 4" xfId="12536"/>
    <cellStyle name="Normal 3 4 10" xfId="12537"/>
    <cellStyle name="Normal 3 4 11" xfId="12538"/>
    <cellStyle name="Normal 3 4 2" xfId="12539"/>
    <cellStyle name="Normal 3 4 3" xfId="12540"/>
    <cellStyle name="Normal 3 4 4" xfId="12541"/>
    <cellStyle name="Normal 3 4 5" xfId="12542"/>
    <cellStyle name="Normal 3 4 6" xfId="12543"/>
    <cellStyle name="Normal 3 4 7" xfId="12544"/>
    <cellStyle name="Normal 3 4 8" xfId="12545"/>
    <cellStyle name="Normal 3 4 9" xfId="12546"/>
    <cellStyle name="Normal 3 40" xfId="12547"/>
    <cellStyle name="Normal 3 41" xfId="12548"/>
    <cellStyle name="Normal 3 42" xfId="12549"/>
    <cellStyle name="Normal 3 43" xfId="12550"/>
    <cellStyle name="Normal 3 44" xfId="12551"/>
    <cellStyle name="Normal 3 45" xfId="12552"/>
    <cellStyle name="Normal 3 46" xfId="12553"/>
    <cellStyle name="Normal 3 47" xfId="12554"/>
    <cellStyle name="Normal 3 48" xfId="12555"/>
    <cellStyle name="Normal 3 49" xfId="12556"/>
    <cellStyle name="Normal 3 5" xfId="12557"/>
    <cellStyle name="Normal 3 5 10" xfId="12558"/>
    <cellStyle name="Normal 3 5 11" xfId="12559"/>
    <cellStyle name="Normal 3 5 2" xfId="12560"/>
    <cellStyle name="Normal 3 5 3" xfId="12561"/>
    <cellStyle name="Normal 3 5 4" xfId="12562"/>
    <cellStyle name="Normal 3 5 5" xfId="12563"/>
    <cellStyle name="Normal 3 5 6" xfId="12564"/>
    <cellStyle name="Normal 3 5 7" xfId="12565"/>
    <cellStyle name="Normal 3 5 8" xfId="12566"/>
    <cellStyle name="Normal 3 5 9" xfId="12567"/>
    <cellStyle name="Normal 3 50" xfId="12568"/>
    <cellStyle name="Normal 3 51" xfId="12569"/>
    <cellStyle name="Normal 3 52" xfId="12570"/>
    <cellStyle name="Normal 3 6" xfId="12571"/>
    <cellStyle name="Normal 3 6 2" xfId="12572"/>
    <cellStyle name="Normal 3 6 3" xfId="12573"/>
    <cellStyle name="Normal 3 6 4" xfId="12574"/>
    <cellStyle name="Normal 3 6 5" xfId="12575"/>
    <cellStyle name="Normal 3 6 6" xfId="12576"/>
    <cellStyle name="Normal 3 6 7" xfId="12577"/>
    <cellStyle name="Normal 3 6 8" xfId="12578"/>
    <cellStyle name="Normal 3 7" xfId="12579"/>
    <cellStyle name="Normal 3 7 2" xfId="12580"/>
    <cellStyle name="Normal 3 7 3" xfId="12581"/>
    <cellStyle name="Normal 3 7 4" xfId="12582"/>
    <cellStyle name="Normal 3 7 5" xfId="12583"/>
    <cellStyle name="Normal 3 7 6" xfId="12584"/>
    <cellStyle name="Normal 3 7 7" xfId="12585"/>
    <cellStyle name="Normal 3 7 8" xfId="12586"/>
    <cellStyle name="Normal 3 8" xfId="12587"/>
    <cellStyle name="Normal 3 8 2" xfId="12588"/>
    <cellStyle name="Normal 3 8 3" xfId="12589"/>
    <cellStyle name="Normal 3 8 4" xfId="12590"/>
    <cellStyle name="Normal 3 8 5" xfId="12591"/>
    <cellStyle name="Normal 3 8 6" xfId="12592"/>
    <cellStyle name="Normal 3 8 7" xfId="12593"/>
    <cellStyle name="Normal 3 8 8" xfId="12594"/>
    <cellStyle name="Normal 3 9" xfId="12595"/>
    <cellStyle name="Normal 3 9 2" xfId="12596"/>
    <cellStyle name="Normal 3 9 3" xfId="12597"/>
    <cellStyle name="Normal 3 9 4" xfId="12598"/>
    <cellStyle name="Normal 3 9 5" xfId="12599"/>
    <cellStyle name="Normal 3 9 6" xfId="12600"/>
    <cellStyle name="Normal 3 9 7" xfId="12601"/>
    <cellStyle name="Normal 3 9 8" xfId="12602"/>
    <cellStyle name="Normal 3_Book1" xfId="12603"/>
    <cellStyle name="Normal 30" xfId="12604"/>
    <cellStyle name="Normal 30 10" xfId="12605"/>
    <cellStyle name="Normal 30 11" xfId="12606"/>
    <cellStyle name="Normal 30 2 2 2" xfId="12607"/>
    <cellStyle name="Normal 30 2 2 2 2" xfId="12608"/>
    <cellStyle name="Normal 30 2 2 2 3" xfId="12609"/>
    <cellStyle name="Normal 30 2 2 2 4" xfId="12610"/>
    <cellStyle name="Normal 30 2 2 3" xfId="12611"/>
    <cellStyle name="Normal 30 2 2 4" xfId="12612"/>
    <cellStyle name="Normal 30 2 2 5" xfId="12613"/>
    <cellStyle name="Normal 30 2 3 2" xfId="12614"/>
    <cellStyle name="Normal 30 2 3 3" xfId="12615"/>
    <cellStyle name="Normal 30 2 3 4" xfId="12616"/>
    <cellStyle name="Normal 30 3 2" xfId="12617"/>
    <cellStyle name="Normal 30 3 2 2" xfId="12618"/>
    <cellStyle name="Normal 30 3 2 2 2" xfId="12619"/>
    <cellStyle name="Normal 30 3 2 2 3" xfId="12620"/>
    <cellStyle name="Normal 30 3 2 2 4" xfId="12621"/>
    <cellStyle name="Normal 30 3 2 3" xfId="12622"/>
    <cellStyle name="Normal 30 3 2 4" xfId="12623"/>
    <cellStyle name="Normal 30 3 2 5" xfId="12624"/>
    <cellStyle name="Normal 30 3 3 2" xfId="12625"/>
    <cellStyle name="Normal 30 3 3 3" xfId="12626"/>
    <cellStyle name="Normal 30 4 2" xfId="12627"/>
    <cellStyle name="Normal 30 4 2 2" xfId="12628"/>
    <cellStyle name="Normal 30 4 2 3" xfId="12629"/>
    <cellStyle name="Normal 30 4 4" xfId="12630"/>
    <cellStyle name="Normal 30 4 5" xfId="12631"/>
    <cellStyle name="Normal 30 5 2 2" xfId="12632"/>
    <cellStyle name="Normal 30 5 2 3" xfId="12633"/>
    <cellStyle name="Normal 30 5 2 4" xfId="12634"/>
    <cellStyle name="Normal 30 5 5" xfId="12635"/>
    <cellStyle name="Normal 30 8 2" xfId="12636"/>
    <cellStyle name="Normal 30 8 3" xfId="12637"/>
    <cellStyle name="Normal 30 8 4" xfId="12638"/>
    <cellStyle name="Normal 31" xfId="12639"/>
    <cellStyle name="Normal 31 2 2 2" xfId="12640"/>
    <cellStyle name="Normal 31 2 2 2 2" xfId="12641"/>
    <cellStyle name="Normal 31 2 2 2 3" xfId="12642"/>
    <cellStyle name="Normal 31 2 2 2 4" xfId="12643"/>
    <cellStyle name="Normal 31 2 2 3" xfId="12644"/>
    <cellStyle name="Normal 31 2 2 4" xfId="12645"/>
    <cellStyle name="Normal 31 2 3 2" xfId="12646"/>
    <cellStyle name="Normal 31 2 3 3" xfId="12647"/>
    <cellStyle name="Normal 31 2 3 4" xfId="12648"/>
    <cellStyle name="Normal 31 3 2" xfId="12649"/>
    <cellStyle name="Normal 31 3 2 5" xfId="12650"/>
    <cellStyle name="Normal 31 3 3" xfId="12651"/>
    <cellStyle name="Normal 31 3 3 2" xfId="12652"/>
    <cellStyle name="Normal 31 3 3 3" xfId="12653"/>
    <cellStyle name="Normal 31 3 4" xfId="12654"/>
    <cellStyle name="Normal 31 3 5" xfId="12655"/>
    <cellStyle name="Normal 31 3 6" xfId="12656"/>
    <cellStyle name="Normal 31 4 5" xfId="12657"/>
    <cellStyle name="Normal 31 5 2 3" xfId="12658"/>
    <cellStyle name="Normal 31 5 2 4" xfId="12659"/>
    <cellStyle name="Normal 31 5 5" xfId="12660"/>
    <cellStyle name="Normal 31 8 2" xfId="12661"/>
    <cellStyle name="Normal 31 8 3" xfId="12662"/>
    <cellStyle name="Normal 31 8 4" xfId="12663"/>
    <cellStyle name="Normal 32" xfId="12664"/>
    <cellStyle name="Normal 32 10" xfId="12665"/>
    <cellStyle name="Normal 32 11" xfId="12666"/>
    <cellStyle name="Normal 32 2" xfId="12667"/>
    <cellStyle name="Normal 32 2 3 2" xfId="12668"/>
    <cellStyle name="Normal 32 2 3 3" xfId="12669"/>
    <cellStyle name="Normal 32 3" xfId="12670"/>
    <cellStyle name="Normal 32 3 2 2 3" xfId="12671"/>
    <cellStyle name="Normal 32 3 2 2 4" xfId="12672"/>
    <cellStyle name="Normal 32 3 2 4" xfId="12673"/>
    <cellStyle name="Normal 32 3 2 5" xfId="12674"/>
    <cellStyle name="Normal 32 3 3 2" xfId="12675"/>
    <cellStyle name="Normal 32 3 3 3" xfId="12676"/>
    <cellStyle name="Normal 32 3 3 4" xfId="12677"/>
    <cellStyle name="Normal 32 3 5" xfId="12678"/>
    <cellStyle name="Normal 32 3 6" xfId="12679"/>
    <cellStyle name="Normal 32 4" xfId="12680"/>
    <cellStyle name="Normal 32 4 2" xfId="12681"/>
    <cellStyle name="Normal 32 4 2 4" xfId="12682"/>
    <cellStyle name="Normal 32 4 5" xfId="12683"/>
    <cellStyle name="Normal 32 5 2 3" xfId="12684"/>
    <cellStyle name="Normal 32 5 2 4" xfId="12685"/>
    <cellStyle name="Normal 32 8 2" xfId="12686"/>
    <cellStyle name="Normal 32 8 3" xfId="12687"/>
    <cellStyle name="Normal 32 8 4" xfId="12688"/>
    <cellStyle name="Normal 33" xfId="12689"/>
    <cellStyle name="Normal 33 10" xfId="12690"/>
    <cellStyle name="Normal 33 11" xfId="12691"/>
    <cellStyle name="Normal 33 2" xfId="12692"/>
    <cellStyle name="Normal 33 2 2" xfId="12693"/>
    <cellStyle name="Normal 33 2 2 2" xfId="12694"/>
    <cellStyle name="Normal 33 2 2 2 2" xfId="12695"/>
    <cellStyle name="Normal 33 2 2 2 3" xfId="12696"/>
    <cellStyle name="Normal 33 2 2 2 4" xfId="12697"/>
    <cellStyle name="Normal 33 2 2 3" xfId="12698"/>
    <cellStyle name="Normal 33 2 2 4" xfId="12699"/>
    <cellStyle name="Normal 33 2 2 5" xfId="12700"/>
    <cellStyle name="Normal 33 2 3" xfId="12701"/>
    <cellStyle name="Normal 33 2 3 2" xfId="12702"/>
    <cellStyle name="Normal 33 2 3 3" xfId="12703"/>
    <cellStyle name="Normal 33 2 3 4" xfId="12704"/>
    <cellStyle name="Normal 33 2 4" xfId="12705"/>
    <cellStyle name="Normal 33 2 5" xfId="12706"/>
    <cellStyle name="Normal 33 2 6" xfId="12707"/>
    <cellStyle name="Normal 33 3 2" xfId="12708"/>
    <cellStyle name="Normal 33 3 2 2" xfId="12709"/>
    <cellStyle name="Normal 33 3 2 2 2" xfId="12710"/>
    <cellStyle name="Normal 33 3 2 2 3" xfId="12711"/>
    <cellStyle name="Normal 33 3 2 2 4" xfId="12712"/>
    <cellStyle name="Normal 33 3 2 3" xfId="12713"/>
    <cellStyle name="Normal 33 3 2 4" xfId="12714"/>
    <cellStyle name="Normal 33 3 2 5" xfId="12715"/>
    <cellStyle name="Normal 33 3 3" xfId="12716"/>
    <cellStyle name="Normal 33 3 3 2" xfId="12717"/>
    <cellStyle name="Normal 33 3 3 3" xfId="12718"/>
    <cellStyle name="Normal 33 3 3 4" xfId="12719"/>
    <cellStyle name="Normal 33 3 4" xfId="12720"/>
    <cellStyle name="Normal 33 3 5" xfId="12721"/>
    <cellStyle name="Normal 33 3 6" xfId="12722"/>
    <cellStyle name="Normal 33 4 2" xfId="12723"/>
    <cellStyle name="Normal 33 4 2 2" xfId="12724"/>
    <cellStyle name="Normal 33 4 2 3" xfId="12725"/>
    <cellStyle name="Normal 33 4 2 4" xfId="12726"/>
    <cellStyle name="Normal 33 4 3" xfId="12727"/>
    <cellStyle name="Normal 33 4 4" xfId="12728"/>
    <cellStyle name="Normal 33 4 5" xfId="12729"/>
    <cellStyle name="Normal 33 5 2 4" xfId="12730"/>
    <cellStyle name="Normal 33 5 3" xfId="12731"/>
    <cellStyle name="Normal 33 6" xfId="12732"/>
    <cellStyle name="Normal 33 6 2" xfId="12733"/>
    <cellStyle name="Normal 33 6 3" xfId="12734"/>
    <cellStyle name="Normal 33 6 4" xfId="12735"/>
    <cellStyle name="Normal 33 7" xfId="12736"/>
    <cellStyle name="Normal 33 8" xfId="12737"/>
    <cellStyle name="Normal 33 8 2" xfId="12738"/>
    <cellStyle name="Normal 33 8 3" xfId="12739"/>
    <cellStyle name="Normal 33 8 4" xfId="12740"/>
    <cellStyle name="Normal 33 9" xfId="12741"/>
    <cellStyle name="Normal 34" xfId="12742"/>
    <cellStyle name="Normal 34 10" xfId="12743"/>
    <cellStyle name="Normal 34 11" xfId="12744"/>
    <cellStyle name="Normal 34 2" xfId="12745"/>
    <cellStyle name="Normal 34 2 2" xfId="12746"/>
    <cellStyle name="Normal 34 2 2 2" xfId="12747"/>
    <cellStyle name="Normal 34 2 2 2 2" xfId="12748"/>
    <cellStyle name="Normal 34 2 2 2 3" xfId="12749"/>
    <cellStyle name="Normal 34 2 2 2 4" xfId="12750"/>
    <cellStyle name="Normal 34 2 2 4" xfId="12751"/>
    <cellStyle name="Normal 34 2 2 5" xfId="12752"/>
    <cellStyle name="Normal 34 2 3" xfId="12753"/>
    <cellStyle name="Normal 34 2 3 2" xfId="12754"/>
    <cellStyle name="Normal 34 2 3 3" xfId="12755"/>
    <cellStyle name="Normal 34 2 3 4" xfId="12756"/>
    <cellStyle name="Normal 34 2 4" xfId="12757"/>
    <cellStyle name="Normal 34 3" xfId="12758"/>
    <cellStyle name="Normal 34 3 2" xfId="12759"/>
    <cellStyle name="Normal 34 3 2 2 2" xfId="12760"/>
    <cellStyle name="Normal 34 3 2 2 3" xfId="12761"/>
    <cellStyle name="Normal 34 3 2 2 4" xfId="12762"/>
    <cellStyle name="Normal 34 3 2 4" xfId="12763"/>
    <cellStyle name="Normal 34 3 2 5" xfId="12764"/>
    <cellStyle name="Normal 34 3 3" xfId="12765"/>
    <cellStyle name="Normal 34 3 3 2" xfId="12766"/>
    <cellStyle name="Normal 34 3 3 4" xfId="12767"/>
    <cellStyle name="Normal 34 3 5" xfId="12768"/>
    <cellStyle name="Normal 34 3 6" xfId="12769"/>
    <cellStyle name="Normal 34 4" xfId="12770"/>
    <cellStyle name="Normal 34 4 2" xfId="12771"/>
    <cellStyle name="Normal 34 4 2 2" xfId="12772"/>
    <cellStyle name="Normal 34 4 2 3" xfId="12773"/>
    <cellStyle name="Normal 34 4 2 4" xfId="12774"/>
    <cellStyle name="Normal 34 4 3" xfId="12775"/>
    <cellStyle name="Normal 34 5" xfId="12776"/>
    <cellStyle name="Normal 34 5 2 4" xfId="12777"/>
    <cellStyle name="Normal 34 6" xfId="12778"/>
    <cellStyle name="Normal 34 7" xfId="12779"/>
    <cellStyle name="Normal 34 8" xfId="12780"/>
    <cellStyle name="Normal 35" xfId="12781"/>
    <cellStyle name="Normal 35 2 2 4" xfId="12782"/>
    <cellStyle name="Normal 35 2 2 5" xfId="12783"/>
    <cellStyle name="Normal 35 2 3 4" xfId="12784"/>
    <cellStyle name="Normal 35 3 2 4" xfId="12785"/>
    <cellStyle name="Normal 35 3 2 5" xfId="12786"/>
    <cellStyle name="Normal 35 3 3 4" xfId="12787"/>
    <cellStyle name="Normal 35 4 2 4" xfId="12788"/>
    <cellStyle name="Normal 35 5 2 4" xfId="12789"/>
    <cellStyle name="Normal 36" xfId="12790"/>
    <cellStyle name="Normal 36 2 2" xfId="12791"/>
    <cellStyle name="Normal 36 2 2 2 2" xfId="12792"/>
    <cellStyle name="Normal 36 3 2" xfId="12793"/>
    <cellStyle name="Normal 36 8" xfId="12794"/>
    <cellStyle name="Normal 36 8 2" xfId="12795"/>
    <cellStyle name="Normal 36 8 3" xfId="12796"/>
    <cellStyle name="Normal 36 8 4" xfId="12797"/>
    <cellStyle name="Normal 36 9" xfId="12798"/>
    <cellStyle name="Normal 37" xfId="12799"/>
    <cellStyle name="Normal 37 11" xfId="12800"/>
    <cellStyle name="Normal 37 2 2" xfId="12801"/>
    <cellStyle name="Normal 37 2 2 4" xfId="12802"/>
    <cellStyle name="Normal 37 2 2 5" xfId="12803"/>
    <cellStyle name="Normal 37 3 2" xfId="12804"/>
    <cellStyle name="Normal 37 8" xfId="12805"/>
    <cellStyle name="Normal 37 9" xfId="12806"/>
    <cellStyle name="Normal 38" xfId="12807"/>
    <cellStyle name="Normal 38 2 2 4" xfId="12808"/>
    <cellStyle name="Normal 38 2 2 5" xfId="12809"/>
    <cellStyle name="Normal 39" xfId="12810"/>
    <cellStyle name="Normal 39 2 2 4" xfId="12811"/>
    <cellStyle name="Normal 4" xfId="12812"/>
    <cellStyle name="Normal 4 10" xfId="12813"/>
    <cellStyle name="Normal 4 11" xfId="12814"/>
    <cellStyle name="Normal 4 12" xfId="12815"/>
    <cellStyle name="Normal 4 13" xfId="12816"/>
    <cellStyle name="Normal 4 14" xfId="12817"/>
    <cellStyle name="Normal 4 15" xfId="12818"/>
    <cellStyle name="Normal 4 16" xfId="12819"/>
    <cellStyle name="Normal 4 17" xfId="12820"/>
    <cellStyle name="Normal 4 18" xfId="12821"/>
    <cellStyle name="Normal 4 19" xfId="12822"/>
    <cellStyle name="Normal 4 2" xfId="12823"/>
    <cellStyle name="Normal 4 2 10" xfId="12824"/>
    <cellStyle name="Normal 4 2 11" xfId="12825"/>
    <cellStyle name="Normal 4 2 12" xfId="12826"/>
    <cellStyle name="Normal 4 2 2" xfId="12827"/>
    <cellStyle name="Normal 4 2 2 10" xfId="12828"/>
    <cellStyle name="Normal 4 2 2 10 2" xfId="12829"/>
    <cellStyle name="Normal 4 2 2 11" xfId="12830"/>
    <cellStyle name="Normal 4 2 2 12" xfId="12831"/>
    <cellStyle name="Normal 4 2 2 13" xfId="12832"/>
    <cellStyle name="Normal 4 2 2 2" xfId="12833"/>
    <cellStyle name="Normal 4 2 2 2 2" xfId="12834"/>
    <cellStyle name="Normal 4 2 2 2 2 2" xfId="12835"/>
    <cellStyle name="Normal 4 2 2 2 3" xfId="12836"/>
    <cellStyle name="Normal 4 2 2 2 3 2" xfId="12837"/>
    <cellStyle name="Normal 4 2 2 2 4" xfId="12838"/>
    <cellStyle name="Normal 4 2 2 3" xfId="12839"/>
    <cellStyle name="Normal 4 2 2 3 2" xfId="12840"/>
    <cellStyle name="Normal 4 2 2 3 2 2" xfId="12841"/>
    <cellStyle name="Normal 4 2 2 3 3" xfId="12842"/>
    <cellStyle name="Normal 4 2 2 3 3 2" xfId="12843"/>
    <cellStyle name="Normal 4 2 2 3 4" xfId="12844"/>
    <cellStyle name="Normal 4 2 2 4" xfId="12845"/>
    <cellStyle name="Normal 4 2 2 4 2" xfId="12846"/>
    <cellStyle name="Normal 4 2 2 4 2 2" xfId="12847"/>
    <cellStyle name="Normal 4 2 2 4 3" xfId="12848"/>
    <cellStyle name="Normal 4 2 2 4 3 2" xfId="12849"/>
    <cellStyle name="Normal 4 2 2 4 4" xfId="12850"/>
    <cellStyle name="Normal 4 2 2 5" xfId="12851"/>
    <cellStyle name="Normal 4 2 2 5 2" xfId="12852"/>
    <cellStyle name="Normal 4 2 2 6" xfId="12853"/>
    <cellStyle name="Normal 4 2 2 6 2" xfId="12854"/>
    <cellStyle name="Normal 4 2 2 7" xfId="12855"/>
    <cellStyle name="Normal 4 2 2 7 2" xfId="12856"/>
    <cellStyle name="Normal 4 2 2 8" xfId="12857"/>
    <cellStyle name="Normal 4 2 2 8 2" xfId="12858"/>
    <cellStyle name="Normal 4 2 2 9" xfId="12859"/>
    <cellStyle name="Normal 4 2 2 9 2" xfId="12860"/>
    <cellStyle name="Normal 4 2 3" xfId="12861"/>
    <cellStyle name="Normal 4 2 4" xfId="12862"/>
    <cellStyle name="Normal 4 2 5" xfId="12863"/>
    <cellStyle name="Normal 4 2 6" xfId="12864"/>
    <cellStyle name="Normal 4 2 7" xfId="12865"/>
    <cellStyle name="Normal 4 2 8" xfId="12866"/>
    <cellStyle name="Normal 4 2 9" xfId="12867"/>
    <cellStyle name="Normal 4 20" xfId="12868"/>
    <cellStyle name="Normal 4 21" xfId="12869"/>
    <cellStyle name="Normal 4 3" xfId="12870"/>
    <cellStyle name="Normal 4 3 10" xfId="12871"/>
    <cellStyle name="Normal 4 3 11" xfId="12872"/>
    <cellStyle name="Normal 4 3 2" xfId="12873"/>
    <cellStyle name="Normal 4 3 3" xfId="12874"/>
    <cellStyle name="Normal 4 3 4" xfId="12875"/>
    <cellStyle name="Normal 4 3 5" xfId="12876"/>
    <cellStyle name="Normal 4 3 6" xfId="12877"/>
    <cellStyle name="Normal 4 3 7" xfId="12878"/>
    <cellStyle name="Normal 4 3 8" xfId="12879"/>
    <cellStyle name="Normal 4 3 9" xfId="12880"/>
    <cellStyle name="Normal 4 4" xfId="12881"/>
    <cellStyle name="Normal 4 4 2" xfId="12882"/>
    <cellStyle name="Normal 4 4 3" xfId="12883"/>
    <cellStyle name="Normal 4 4 4" xfId="12884"/>
    <cellStyle name="Normal 4 4 5" xfId="12885"/>
    <cellStyle name="Normal 4 4 6" xfId="12886"/>
    <cellStyle name="Normal 4 4 7" xfId="12887"/>
    <cellStyle name="Normal 4 4 8" xfId="12888"/>
    <cellStyle name="Normal 4 5" xfId="12889"/>
    <cellStyle name="Normal 4 6" xfId="12890"/>
    <cellStyle name="Normal 4 7" xfId="12891"/>
    <cellStyle name="Normal 4 8" xfId="12892"/>
    <cellStyle name="Normal 4 9" xfId="12893"/>
    <cellStyle name="Normal 4_BreakdownDataInvoice Cussons Phase III&amp;IV Week 48 (2010-12-02)" xfId="12894"/>
    <cellStyle name="Normal 40" xfId="12895"/>
    <cellStyle name="Normal 40 2 2 4" xfId="12896"/>
    <cellStyle name="Normal 40 2 2 5" xfId="12897"/>
    <cellStyle name="Normal 40 2 3 4" xfId="12898"/>
    <cellStyle name="Normal 40 3 2 4" xfId="12899"/>
    <cellStyle name="Normal 40 3 2 5" xfId="12900"/>
    <cellStyle name="Normal 40 3 3 4" xfId="12901"/>
    <cellStyle name="Normal 40 4 2 4" xfId="12902"/>
    <cellStyle name="Normal 40 5 2 4" xfId="12903"/>
    <cellStyle name="Normal 41" xfId="12904"/>
    <cellStyle name="Normal 41 2 2" xfId="12905"/>
    <cellStyle name="Normal 41 2 2 2 2" xfId="12906"/>
    <cellStyle name="Normal 41 3 2" xfId="12907"/>
    <cellStyle name="Normal 41 8" xfId="12908"/>
    <cellStyle name="Normal 41 8 2" xfId="12909"/>
    <cellStyle name="Normal 41 8 3" xfId="12910"/>
    <cellStyle name="Normal 41 8 4" xfId="12911"/>
    <cellStyle name="Normal 41 9" xfId="12912"/>
    <cellStyle name="Normal 42" xfId="12913"/>
    <cellStyle name="Normal 42 11" xfId="12914"/>
    <cellStyle name="Normal 42 2 2" xfId="12915"/>
    <cellStyle name="Normal 42 2 2 4" xfId="12916"/>
    <cellStyle name="Normal 42 2 2 5" xfId="12917"/>
    <cellStyle name="Normal 42 3 2" xfId="12918"/>
    <cellStyle name="Normal 42 8" xfId="12919"/>
    <cellStyle name="Normal 42 9" xfId="12920"/>
    <cellStyle name="Normal 43" xfId="12921"/>
    <cellStyle name="Normal 43 2 2 4" xfId="12922"/>
    <cellStyle name="Normal 43 2 2 5" xfId="12923"/>
    <cellStyle name="Normal 44" xfId="12924"/>
    <cellStyle name="Normal 44 2 2 4" xfId="12925"/>
    <cellStyle name="Normal 45" xfId="12926"/>
    <cellStyle name="Normal 45 5" xfId="12927"/>
    <cellStyle name="Normal 45 6" xfId="12928"/>
    <cellStyle name="Normal 45 7" xfId="12929"/>
    <cellStyle name="Normal 45 8" xfId="12930"/>
    <cellStyle name="Normal 45 9" xfId="12931"/>
    <cellStyle name="Normal 46" xfId="12932"/>
    <cellStyle name="Normal 47" xfId="12933"/>
    <cellStyle name="Normal 47 2 2 4" xfId="12934"/>
    <cellStyle name="Normal 47 2 2 5" xfId="12935"/>
    <cellStyle name="Normal 47 3 2 4" xfId="12936"/>
    <cellStyle name="Normal 47 3 2 5" xfId="12937"/>
    <cellStyle name="Normal 48" xfId="12938"/>
    <cellStyle name="Normal 48 2" xfId="12939"/>
    <cellStyle name="Normal 48 3" xfId="12940"/>
    <cellStyle name="Normal 48 4" xfId="12941"/>
    <cellStyle name="Normal 48 5" xfId="12942"/>
    <cellStyle name="Normal 49" xfId="12943"/>
    <cellStyle name="Normal 49 2" xfId="12944"/>
    <cellStyle name="Normal 49 3" xfId="12945"/>
    <cellStyle name="Normal 49 4" xfId="12946"/>
    <cellStyle name="Normal 49 5" xfId="12947"/>
    <cellStyle name="Normal 5" xfId="12948"/>
    <cellStyle name="Normal 5 2" xfId="12949"/>
    <cellStyle name="Normal 5 2 10" xfId="12950"/>
    <cellStyle name="Normal 5 2 11" xfId="12951"/>
    <cellStyle name="Normal 5 2 12" xfId="12952"/>
    <cellStyle name="Normal 5 2 2" xfId="12953"/>
    <cellStyle name="Normal 5 2 3" xfId="12954"/>
    <cellStyle name="Normal 5 2 4" xfId="12955"/>
    <cellStyle name="Normal 5 2 5" xfId="12956"/>
    <cellStyle name="Normal 5 2 6" xfId="12957"/>
    <cellStyle name="Normal 5 2 7" xfId="12958"/>
    <cellStyle name="Normal 5 2 8" xfId="12959"/>
    <cellStyle name="Normal 5 2 9" xfId="12960"/>
    <cellStyle name="Normal 5 2_05. HMS Pda Okt (Wk 40-43)" xfId="12961"/>
    <cellStyle name="Normal 5 3" xfId="12962"/>
    <cellStyle name="Normal 5 3 2" xfId="12963"/>
    <cellStyle name="Normal 5 3 3" xfId="12964"/>
    <cellStyle name="Normal 5 3 4" xfId="12965"/>
    <cellStyle name="Normal 5 3 5" xfId="12966"/>
    <cellStyle name="Normal 5 3 6" xfId="12967"/>
    <cellStyle name="Normal 5 3 7" xfId="12968"/>
    <cellStyle name="Normal 5 3 8" xfId="12969"/>
    <cellStyle name="Normal 5 4" xfId="12970"/>
    <cellStyle name="Normal 5 4 2" xfId="12971"/>
    <cellStyle name="Normal 5 4 3" xfId="12972"/>
    <cellStyle name="Normal 5 4 4" xfId="12973"/>
    <cellStyle name="Normal 5 4 5" xfId="12974"/>
    <cellStyle name="Normal 5 4 6" xfId="12975"/>
    <cellStyle name="Normal 5 4 7" xfId="12976"/>
    <cellStyle name="Normal 5 4 8" xfId="12977"/>
    <cellStyle name="Normal 5 5" xfId="12978"/>
    <cellStyle name="Normal 5 6" xfId="12979"/>
    <cellStyle name="Normal 5 7" xfId="12980"/>
    <cellStyle name="Normal 5 8" xfId="12981"/>
    <cellStyle name="Normal 50" xfId="12982"/>
    <cellStyle name="Normal 51" xfId="12983"/>
    <cellStyle name="Normal 52" xfId="12984"/>
    <cellStyle name="Normal 53" xfId="12985"/>
    <cellStyle name="Normal 53 2" xfId="12986"/>
    <cellStyle name="Normal 53 3" xfId="12987"/>
    <cellStyle name="Normal 53 4" xfId="12988"/>
    <cellStyle name="Normal 53 5" xfId="12989"/>
    <cellStyle name="Normal 54" xfId="12990"/>
    <cellStyle name="Normal 54 2" xfId="12991"/>
    <cellStyle name="Normal 54 3" xfId="12992"/>
    <cellStyle name="Normal 54 4" xfId="12993"/>
    <cellStyle name="Normal 54 5" xfId="12994"/>
    <cellStyle name="Normal 55" xfId="12995"/>
    <cellStyle name="Normal 55 2" xfId="12996"/>
    <cellStyle name="Normal 55 3" xfId="12997"/>
    <cellStyle name="Normal 55 4" xfId="12998"/>
    <cellStyle name="Normal 55 5" xfId="12999"/>
    <cellStyle name="Normal 56" xfId="13000"/>
    <cellStyle name="Normal 57" xfId="13001"/>
    <cellStyle name="Normal 58" xfId="13002"/>
    <cellStyle name="Normal 59" xfId="13003"/>
    <cellStyle name="Normal 6" xfId="13004"/>
    <cellStyle name="Normal 6 10" xfId="13005"/>
    <cellStyle name="Normal 6 11" xfId="13006"/>
    <cellStyle name="Normal 6 12" xfId="13007"/>
    <cellStyle name="Normal 6 13" xfId="13008"/>
    <cellStyle name="Normal 6 14" xfId="13009"/>
    <cellStyle name="Normal 6 15" xfId="13010"/>
    <cellStyle name="Normal 6 16" xfId="13011"/>
    <cellStyle name="Normal 6 17" xfId="13012"/>
    <cellStyle name="Normal 6 2" xfId="13013"/>
    <cellStyle name="Normal 6 2 2" xfId="13014"/>
    <cellStyle name="Normal 6 2 2 10" xfId="13015"/>
    <cellStyle name="Normal 6 2 2 10 2" xfId="13016"/>
    <cellStyle name="Normal 6 2 2 11" xfId="13017"/>
    <cellStyle name="Normal 6 2 2 2" xfId="13018"/>
    <cellStyle name="Normal 6 2 2 2 2" xfId="13019"/>
    <cellStyle name="Normal 6 2 2 2 2 2" xfId="13020"/>
    <cellStyle name="Normal 6 2 2 2 3" xfId="13021"/>
    <cellStyle name="Normal 6 2 2 2 3 2" xfId="13022"/>
    <cellStyle name="Normal 6 2 2 2 4" xfId="13023"/>
    <cellStyle name="Normal 6 2 2 3" xfId="13024"/>
    <cellStyle name="Normal 6 2 2 3 2" xfId="13025"/>
    <cellStyle name="Normal 6 2 2 3 2 2" xfId="13026"/>
    <cellStyle name="Normal 6 2 2 3 3" xfId="13027"/>
    <cellStyle name="Normal 6 2 2 3 3 2" xfId="13028"/>
    <cellStyle name="Normal 6 2 2 3 4" xfId="13029"/>
    <cellStyle name="Normal 6 2 2 4" xfId="13030"/>
    <cellStyle name="Normal 6 2 2 4 2" xfId="13031"/>
    <cellStyle name="Normal 6 2 2 4 2 2" xfId="13032"/>
    <cellStyle name="Normal 6 2 2 4 3" xfId="13033"/>
    <cellStyle name="Normal 6 2 2 4 3 2" xfId="13034"/>
    <cellStyle name="Normal 6 2 2 4 4" xfId="13035"/>
    <cellStyle name="Normal 6 2 2 5" xfId="13036"/>
    <cellStyle name="Normal 6 2 2 5 2" xfId="13037"/>
    <cellStyle name="Normal 6 2 2 6" xfId="13038"/>
    <cellStyle name="Normal 6 2 2 6 2" xfId="13039"/>
    <cellStyle name="Normal 6 2 2 7" xfId="13040"/>
    <cellStyle name="Normal 6 2 2 7 2" xfId="13041"/>
    <cellStyle name="Normal 6 2 2 8" xfId="13042"/>
    <cellStyle name="Normal 6 2 2 8 2" xfId="13043"/>
    <cellStyle name="Normal 6 2 2 9" xfId="13044"/>
    <cellStyle name="Normal 6 2 2 9 2" xfId="13045"/>
    <cellStyle name="Normal 6 2 3" xfId="13046"/>
    <cellStyle name="Normal 6 2 4" xfId="13047"/>
    <cellStyle name="Normal 6 2 5" xfId="13048"/>
    <cellStyle name="Normal 6 2 6" xfId="13049"/>
    <cellStyle name="Normal 6 2 7" xfId="13050"/>
    <cellStyle name="Normal 6 2 8" xfId="13051"/>
    <cellStyle name="Normal 6 2 9" xfId="13052"/>
    <cellStyle name="Normal 6 2 9 2" xfId="13053"/>
    <cellStyle name="Normal 6 2 9 3" xfId="13054"/>
    <cellStyle name="Normal 6 2 9 4" xfId="13055"/>
    <cellStyle name="Normal 6 2 9 5" xfId="13056"/>
    <cellStyle name="Normal 6 3" xfId="13057"/>
    <cellStyle name="Normal 6 3 2" xfId="13058"/>
    <cellStyle name="Normal 6 3 2 2" xfId="13059"/>
    <cellStyle name="Normal 6 4" xfId="13060"/>
    <cellStyle name="Normal 6 5" xfId="13061"/>
    <cellStyle name="Normal 6 6" xfId="13062"/>
    <cellStyle name="Normal 6 7" xfId="13063"/>
    <cellStyle name="Normal 6 8" xfId="13064"/>
    <cellStyle name="Normal 6 9" xfId="13065"/>
    <cellStyle name="Normal 6_PL Oktober" xfId="13066"/>
    <cellStyle name="Normal 60" xfId="13067"/>
    <cellStyle name="Normal 61" xfId="13068"/>
    <cellStyle name="Normal 62" xfId="13069"/>
    <cellStyle name="Normal 63" xfId="13070"/>
    <cellStyle name="Normal 64" xfId="13071"/>
    <cellStyle name="Normal 65" xfId="13072"/>
    <cellStyle name="Normal 66" xfId="13073"/>
    <cellStyle name="Normal 67" xfId="13074"/>
    <cellStyle name="Normal 68" xfId="13075"/>
    <cellStyle name="Normal 69" xfId="13076"/>
    <cellStyle name="Normal 7" xfId="13077"/>
    <cellStyle name="Normal 7 10" xfId="13078"/>
    <cellStyle name="Normal 7 11" xfId="13079"/>
    <cellStyle name="Normal 7 2" xfId="13080"/>
    <cellStyle name="Normal 7 2 10" xfId="13081"/>
    <cellStyle name="Normal 7 2 11" xfId="13082"/>
    <cellStyle name="Normal 7 2 2" xfId="13083"/>
    <cellStyle name="Normal 7 2 3" xfId="13084"/>
    <cellStyle name="Normal 7 2 4" xfId="13085"/>
    <cellStyle name="Normal 7 2 5" xfId="13086"/>
    <cellStyle name="Normal 7 2 6" xfId="13087"/>
    <cellStyle name="Normal 7 2 7" xfId="13088"/>
    <cellStyle name="Normal 7 2 8" xfId="13089"/>
    <cellStyle name="Normal 7 2 9" xfId="13090"/>
    <cellStyle name="Normal 7 3" xfId="13091"/>
    <cellStyle name="Normal 7 3 2" xfId="13092"/>
    <cellStyle name="Normal 7 3 3" xfId="13093"/>
    <cellStyle name="Normal 7 3 4" xfId="13094"/>
    <cellStyle name="Normal 7 3 5" xfId="13095"/>
    <cellStyle name="Normal 7 3 6" xfId="13096"/>
    <cellStyle name="Normal 7 3 7" xfId="13097"/>
    <cellStyle name="Normal 7 3 8" xfId="13098"/>
    <cellStyle name="Normal 7 4" xfId="13099"/>
    <cellStyle name="Normal 7 4 2" xfId="13100"/>
    <cellStyle name="Normal 7 4 3" xfId="13101"/>
    <cellStyle name="Normal 7 4 4" xfId="13102"/>
    <cellStyle name="Normal 7 4 5" xfId="13103"/>
    <cellStyle name="Normal 7 4 6" xfId="13104"/>
    <cellStyle name="Normal 7 4 7" xfId="13105"/>
    <cellStyle name="Normal 7 4 8" xfId="13106"/>
    <cellStyle name="Normal 7 5" xfId="13107"/>
    <cellStyle name="Normal 7 6" xfId="13108"/>
    <cellStyle name="Normal 7 7" xfId="13109"/>
    <cellStyle name="Normal 7 8" xfId="13110"/>
    <cellStyle name="Normal 7 9" xfId="13111"/>
    <cellStyle name="Normal 7_PL Oktober" xfId="13112"/>
    <cellStyle name="Normal 70" xfId="13113"/>
    <cellStyle name="Normal 71" xfId="13114"/>
    <cellStyle name="Normal 72" xfId="13115"/>
    <cellStyle name="Normal 73" xfId="13116"/>
    <cellStyle name="Normal 74" xfId="13117"/>
    <cellStyle name="Normal 75" xfId="13118"/>
    <cellStyle name="Normal 76" xfId="13119"/>
    <cellStyle name="Normal 77" xfId="13120"/>
    <cellStyle name="Normal 78" xfId="13121"/>
    <cellStyle name="Normal 79" xfId="13122"/>
    <cellStyle name="Normal 8" xfId="13123"/>
    <cellStyle name="Normal 8 13 2" xfId="13124"/>
    <cellStyle name="Normal 8 13 3" xfId="13125"/>
    <cellStyle name="Normal 8 2" xfId="13126"/>
    <cellStyle name="Normal 8 2 4 2" xfId="13127"/>
    <cellStyle name="Normal 8 3" xfId="13128"/>
    <cellStyle name="Normal 8 4" xfId="13129"/>
    <cellStyle name="Normal 8 4 5 2 2" xfId="13130"/>
    <cellStyle name="Normal 8 5" xfId="13131"/>
    <cellStyle name="Normal 8 5 4 2 3" xfId="13132"/>
    <cellStyle name="Normal 8 5 4 2 4" xfId="13133"/>
    <cellStyle name="Normal 8 5 5 2 3" xfId="13134"/>
    <cellStyle name="Normal 8 5 5 2 4" xfId="13135"/>
    <cellStyle name="Normal 8 6" xfId="13136"/>
    <cellStyle name="Normal 8 7" xfId="13137"/>
    <cellStyle name="Normal 8 8" xfId="13138"/>
    <cellStyle name="Normal 8 8 2 2 2" xfId="13139"/>
    <cellStyle name="Normal 8 9" xfId="13140"/>
    <cellStyle name="Normal 80" xfId="13141"/>
    <cellStyle name="Normal 81" xfId="13142"/>
    <cellStyle name="Normal 82" xfId="13143"/>
    <cellStyle name="Normal 83" xfId="13144"/>
    <cellStyle name="Normal 84" xfId="13145"/>
    <cellStyle name="Normal 85" xfId="13146"/>
    <cellStyle name="Normal 86" xfId="13147"/>
    <cellStyle name="Normal 87" xfId="13148"/>
    <cellStyle name="Normal 88" xfId="13149"/>
    <cellStyle name="Normal 89" xfId="13150"/>
    <cellStyle name="Normal 9" xfId="13151"/>
    <cellStyle name="Normal 9 10" xfId="13152"/>
    <cellStyle name="Normal 9 10 2" xfId="13153"/>
    <cellStyle name="Normal 9 11" xfId="13154"/>
    <cellStyle name="Normal 9 11 2" xfId="13155"/>
    <cellStyle name="Normal 9 12" xfId="13156"/>
    <cellStyle name="Normal 9 12 2" xfId="13157"/>
    <cellStyle name="Normal 9 13" xfId="13158"/>
    <cellStyle name="Normal 9 13 2" xfId="13159"/>
    <cellStyle name="Normal 9 14" xfId="13160"/>
    <cellStyle name="Normal 9 14 2" xfId="13161"/>
    <cellStyle name="Normal 9 15" xfId="13162"/>
    <cellStyle name="Normal 9 15 2" xfId="13163"/>
    <cellStyle name="Normal 9 16" xfId="13164"/>
    <cellStyle name="Normal 9 2" xfId="13165"/>
    <cellStyle name="Normal 9 2 2" xfId="13166"/>
    <cellStyle name="Normal 9 2 3" xfId="13167"/>
    <cellStyle name="Normal 9 2 4" xfId="13168"/>
    <cellStyle name="Normal 9 2 5" xfId="13169"/>
    <cellStyle name="Normal 9 2 6" xfId="13170"/>
    <cellStyle name="Normal 9 2 7" xfId="13171"/>
    <cellStyle name="Normal 9 2 8" xfId="13172"/>
    <cellStyle name="Normal 9 3" xfId="13173"/>
    <cellStyle name="Normal 9 3 2" xfId="13174"/>
    <cellStyle name="Normal 9 3 3" xfId="13175"/>
    <cellStyle name="Normal 9 3 4" xfId="13176"/>
    <cellStyle name="Normal 9 3 5" xfId="13177"/>
    <cellStyle name="Normal 9 3 6" xfId="13178"/>
    <cellStyle name="Normal 9 3 7" xfId="13179"/>
    <cellStyle name="Normal 9 3 8" xfId="13180"/>
    <cellStyle name="Normal 9 4" xfId="13181"/>
    <cellStyle name="Normal 9 4 2" xfId="13182"/>
    <cellStyle name="Normal 9 4 3" xfId="13183"/>
    <cellStyle name="Normal 9 4 4" xfId="13184"/>
    <cellStyle name="Normal 9 4 5" xfId="13185"/>
    <cellStyle name="Normal 9 4 6" xfId="13186"/>
    <cellStyle name="Normal 9 4 7" xfId="13187"/>
    <cellStyle name="Normal 9 4 8" xfId="13188"/>
    <cellStyle name="Normal 9 5" xfId="13189"/>
    <cellStyle name="Normal 9 6" xfId="13190"/>
    <cellStyle name="Normal 9 6 10" xfId="13191"/>
    <cellStyle name="Normal 9 6 10 2" xfId="13192"/>
    <cellStyle name="Normal 9 6 11" xfId="13193"/>
    <cellStyle name="Normal 9 6 2" xfId="13194"/>
    <cellStyle name="Normal 9 6 2 2" xfId="13195"/>
    <cellStyle name="Normal 9 6 2 2 2" xfId="13196"/>
    <cellStyle name="Normal 9 6 2 3" xfId="13197"/>
    <cellStyle name="Normal 9 6 2 3 2" xfId="13198"/>
    <cellStyle name="Normal 9 6 2 4" xfId="13199"/>
    <cellStyle name="Normal 9 6 3" xfId="13200"/>
    <cellStyle name="Normal 9 6 3 2" xfId="13201"/>
    <cellStyle name="Normal 9 6 3 2 2" xfId="13202"/>
    <cellStyle name="Normal 9 6 3 3" xfId="13203"/>
    <cellStyle name="Normal 9 6 3 3 2" xfId="13204"/>
    <cellStyle name="Normal 9 6 3 4" xfId="13205"/>
    <cellStyle name="Normal 9 6 4" xfId="13206"/>
    <cellStyle name="Normal 9 6 4 2" xfId="13207"/>
    <cellStyle name="Normal 9 6 4 2 2" xfId="13208"/>
    <cellStyle name="Normal 9 6 4 3" xfId="13209"/>
    <cellStyle name="Normal 9 6 4 3 2" xfId="13210"/>
    <cellStyle name="Normal 9 6 4 4" xfId="13211"/>
    <cellStyle name="Normal 9 6 5" xfId="13212"/>
    <cellStyle name="Normal 9 6 5 2" xfId="13213"/>
    <cellStyle name="Normal 9 6 6" xfId="13214"/>
    <cellStyle name="Normal 9 6 6 2" xfId="13215"/>
    <cellStyle name="Normal 9 6 7" xfId="13216"/>
    <cellStyle name="Normal 9 6 7 2" xfId="13217"/>
    <cellStyle name="Normal 9 6 8" xfId="13218"/>
    <cellStyle name="Normal 9 6 8 2" xfId="13219"/>
    <cellStyle name="Normal 9 6 9" xfId="13220"/>
    <cellStyle name="Normal 9 6 9 2" xfId="13221"/>
    <cellStyle name="Normal 9 7" xfId="13222"/>
    <cellStyle name="Normal 9 7 2" xfId="13223"/>
    <cellStyle name="Normal 9 7 2 2" xfId="13224"/>
    <cellStyle name="Normal 9 7 3" xfId="13225"/>
    <cellStyle name="Normal 9 7 3 2" xfId="13226"/>
    <cellStyle name="Normal 9 7 4" xfId="13227"/>
    <cellStyle name="Normal 9 8" xfId="13228"/>
    <cellStyle name="Normal 9 8 2" xfId="13229"/>
    <cellStyle name="Normal 9 8 2 2" xfId="13230"/>
    <cellStyle name="Normal 9 8 3" xfId="13231"/>
    <cellStyle name="Normal 9 8 3 2" xfId="13232"/>
    <cellStyle name="Normal 9 8 4" xfId="13233"/>
    <cellStyle name="Normal 9 9" xfId="13234"/>
    <cellStyle name="Normal 9 9 2" xfId="13235"/>
    <cellStyle name="Normal 9 9 2 2" xfId="13236"/>
    <cellStyle name="Normal 9 9 3" xfId="13237"/>
    <cellStyle name="Normal 9 9 3 2" xfId="13238"/>
    <cellStyle name="Normal 9 9 4" xfId="13239"/>
    <cellStyle name="Normal 90" xfId="13240"/>
    <cellStyle name="Normal 91" xfId="13241"/>
    <cellStyle name="Normal 92" xfId="13242"/>
    <cellStyle name="Normal 93" xfId="13243"/>
    <cellStyle name="Normal 94" xfId="13244"/>
    <cellStyle name="Normal 95" xfId="13245"/>
    <cellStyle name="Normal 96" xfId="13246"/>
    <cellStyle name="Normal 97" xfId="13247"/>
    <cellStyle name="Normal 98" xfId="13248"/>
    <cellStyle name="Normal 99" xfId="13249"/>
    <cellStyle name="Normal1" xfId="13250"/>
    <cellStyle name="Note 1" xfId="13251"/>
    <cellStyle name="Note 10 2" xfId="13252"/>
    <cellStyle name="Note 10 2 2" xfId="13253"/>
    <cellStyle name="Note 10 2 3" xfId="13254"/>
    <cellStyle name="Note 10 2 4" xfId="13255"/>
    <cellStyle name="Note 10 2 5" xfId="13256"/>
    <cellStyle name="Note 10 2 6" xfId="13257"/>
    <cellStyle name="Note 10 2 7" xfId="13258"/>
    <cellStyle name="Note 10 2 8" xfId="13259"/>
    <cellStyle name="Note 10 3" xfId="13260"/>
    <cellStyle name="Note 10 3 2" xfId="13261"/>
    <cellStyle name="Note 10 3 3" xfId="13262"/>
    <cellStyle name="Note 10 3 4" xfId="13263"/>
    <cellStyle name="Note 10 3 5" xfId="13264"/>
    <cellStyle name="Note 10 3 6" xfId="13265"/>
    <cellStyle name="Note 10 3 7" xfId="13266"/>
    <cellStyle name="Note 10 3 8" xfId="13267"/>
    <cellStyle name="Note 10 4" xfId="13268"/>
    <cellStyle name="Note 10 4 2" xfId="13269"/>
    <cellStyle name="Note 10 4 3" xfId="13270"/>
    <cellStyle name="Note 10 4 4" xfId="13271"/>
    <cellStyle name="Note 10 4 5" xfId="13272"/>
    <cellStyle name="Note 10 4 6" xfId="13273"/>
    <cellStyle name="Note 10 4 7" xfId="13274"/>
    <cellStyle name="Note 10 4 8" xfId="13275"/>
    <cellStyle name="Note 11 2" xfId="13276"/>
    <cellStyle name="Note 11 2 2" xfId="13277"/>
    <cellStyle name="Note 11 2 3" xfId="13278"/>
    <cellStyle name="Note 11 2 4" xfId="13279"/>
    <cellStyle name="Note 11 2 5" xfId="13280"/>
    <cellStyle name="Note 11 2 6" xfId="13281"/>
    <cellStyle name="Note 11 2 7" xfId="13282"/>
    <cellStyle name="Note 11 2 8" xfId="13283"/>
    <cellStyle name="Note 11 3" xfId="13284"/>
    <cellStyle name="Note 11 3 2" xfId="13285"/>
    <cellStyle name="Note 11 3 3" xfId="13286"/>
    <cellStyle name="Note 11 3 4" xfId="13287"/>
    <cellStyle name="Note 11 3 5" xfId="13288"/>
    <cellStyle name="Note 11 3 6" xfId="13289"/>
    <cellStyle name="Note 11 3 7" xfId="13290"/>
    <cellStyle name="Note 11 3 8" xfId="13291"/>
    <cellStyle name="Note 11 4" xfId="13292"/>
    <cellStyle name="Note 11 4 2" xfId="13293"/>
    <cellStyle name="Note 11 4 3" xfId="13294"/>
    <cellStyle name="Note 11 4 4" xfId="13295"/>
    <cellStyle name="Note 11 4 5" xfId="13296"/>
    <cellStyle name="Note 11 4 6" xfId="13297"/>
    <cellStyle name="Note 11 4 7" xfId="13298"/>
    <cellStyle name="Note 11 4 8" xfId="13299"/>
    <cellStyle name="Note 12 2" xfId="13300"/>
    <cellStyle name="Note 12 2 2" xfId="13301"/>
    <cellStyle name="Note 12 2 3" xfId="13302"/>
    <cellStyle name="Note 12 2 4" xfId="13303"/>
    <cellStyle name="Note 12 2 5" xfId="13304"/>
    <cellStyle name="Note 12 2 6" xfId="13305"/>
    <cellStyle name="Note 12 2 7" xfId="13306"/>
    <cellStyle name="Note 12 2 8" xfId="13307"/>
    <cellStyle name="Note 12 3" xfId="13308"/>
    <cellStyle name="Note 12 3 2" xfId="13309"/>
    <cellStyle name="Note 12 3 3" xfId="13310"/>
    <cellStyle name="Note 12 3 4" xfId="13311"/>
    <cellStyle name="Note 12 3 5" xfId="13312"/>
    <cellStyle name="Note 12 3 6" xfId="13313"/>
    <cellStyle name="Note 12 3 7" xfId="13314"/>
    <cellStyle name="Note 12 3 8" xfId="13315"/>
    <cellStyle name="Note 12 4" xfId="13316"/>
    <cellStyle name="Note 12 4 2" xfId="13317"/>
    <cellStyle name="Note 12 4 3" xfId="13318"/>
    <cellStyle name="Note 12 4 4" xfId="13319"/>
    <cellStyle name="Note 12 4 5" xfId="13320"/>
    <cellStyle name="Note 12 4 6" xfId="13321"/>
    <cellStyle name="Note 12 4 7" xfId="13322"/>
    <cellStyle name="Note 12 4 8" xfId="13323"/>
    <cellStyle name="Note 13 2" xfId="13324"/>
    <cellStyle name="Note 13 2 2" xfId="13325"/>
    <cellStyle name="Note 13 2 3" xfId="13326"/>
    <cellStyle name="Note 13 2 4" xfId="13327"/>
    <cellStyle name="Note 13 2 5" xfId="13328"/>
    <cellStyle name="Note 13 2 6" xfId="13329"/>
    <cellStyle name="Note 13 2 7" xfId="13330"/>
    <cellStyle name="Note 13 2 8" xfId="13331"/>
    <cellStyle name="Note 13 3" xfId="13332"/>
    <cellStyle name="Note 13 3 2" xfId="13333"/>
    <cellStyle name="Note 13 3 3" xfId="13334"/>
    <cellStyle name="Note 13 3 4" xfId="13335"/>
    <cellStyle name="Note 13 3 5" xfId="13336"/>
    <cellStyle name="Note 13 3 6" xfId="13337"/>
    <cellStyle name="Note 13 3 7" xfId="13338"/>
    <cellStyle name="Note 13 3 8" xfId="13339"/>
    <cellStyle name="Note 13 4" xfId="13340"/>
    <cellStyle name="Note 13 4 2" xfId="13341"/>
    <cellStyle name="Note 13 4 3" xfId="13342"/>
    <cellStyle name="Note 13 4 4" xfId="13343"/>
    <cellStyle name="Note 13 4 5" xfId="13344"/>
    <cellStyle name="Note 13 4 6" xfId="13345"/>
    <cellStyle name="Note 13 4 7" xfId="13346"/>
    <cellStyle name="Note 13 4 8" xfId="13347"/>
    <cellStyle name="Note 14 2" xfId="13348"/>
    <cellStyle name="Note 14 2 2" xfId="13349"/>
    <cellStyle name="Note 14 2 3" xfId="13350"/>
    <cellStyle name="Note 14 2 4" xfId="13351"/>
    <cellStyle name="Note 14 2 5" xfId="13352"/>
    <cellStyle name="Note 14 2 6" xfId="13353"/>
    <cellStyle name="Note 14 2 7" xfId="13354"/>
    <cellStyle name="Note 14 2 8" xfId="13355"/>
    <cellStyle name="Note 14 3" xfId="13356"/>
    <cellStyle name="Note 14 3 2" xfId="13357"/>
    <cellStyle name="Note 14 3 3" xfId="13358"/>
    <cellStyle name="Note 14 3 4" xfId="13359"/>
    <cellStyle name="Note 14 3 5" xfId="13360"/>
    <cellStyle name="Note 14 3 6" xfId="13361"/>
    <cellStyle name="Note 14 3 7" xfId="13362"/>
    <cellStyle name="Note 14 3 8" xfId="13363"/>
    <cellStyle name="Note 14 4" xfId="13364"/>
    <cellStyle name="Note 14 4 2" xfId="13365"/>
    <cellStyle name="Note 14 4 3" xfId="13366"/>
    <cellStyle name="Note 14 4 4" xfId="13367"/>
    <cellStyle name="Note 14 4 5" xfId="13368"/>
    <cellStyle name="Note 14 4 6" xfId="13369"/>
    <cellStyle name="Note 14 4 7" xfId="13370"/>
    <cellStyle name="Note 14 4 8" xfId="13371"/>
    <cellStyle name="Note 15 2" xfId="13372"/>
    <cellStyle name="Note 15 2 2" xfId="13373"/>
    <cellStyle name="Note 15 2 3" xfId="13374"/>
    <cellStyle name="Note 15 2 4" xfId="13375"/>
    <cellStyle name="Note 15 2 5" xfId="13376"/>
    <cellStyle name="Note 15 2 6" xfId="13377"/>
    <cellStyle name="Note 15 2 7" xfId="13378"/>
    <cellStyle name="Note 15 2 8" xfId="13379"/>
    <cellStyle name="Note 15 3" xfId="13380"/>
    <cellStyle name="Note 15 3 2" xfId="13381"/>
    <cellStyle name="Note 15 3 3" xfId="13382"/>
    <cellStyle name="Note 15 3 4" xfId="13383"/>
    <cellStyle name="Note 15 3 5" xfId="13384"/>
    <cellStyle name="Note 15 3 6" xfId="13385"/>
    <cellStyle name="Note 15 3 7" xfId="13386"/>
    <cellStyle name="Note 15 3 8" xfId="13387"/>
    <cellStyle name="Note 15 4" xfId="13388"/>
    <cellStyle name="Note 15 4 2" xfId="13389"/>
    <cellStyle name="Note 15 4 3" xfId="13390"/>
    <cellStyle name="Note 15 4 4" xfId="13391"/>
    <cellStyle name="Note 15 4 5" xfId="13392"/>
    <cellStyle name="Note 15 4 6" xfId="13393"/>
    <cellStyle name="Note 15 4 7" xfId="13394"/>
    <cellStyle name="Note 15 4 8" xfId="13395"/>
    <cellStyle name="Note 16 2" xfId="13396"/>
    <cellStyle name="Note 16 2 2" xfId="13397"/>
    <cellStyle name="Note 16 2 3" xfId="13398"/>
    <cellStyle name="Note 16 2 4" xfId="13399"/>
    <cellStyle name="Note 16 2 5" xfId="13400"/>
    <cellStyle name="Note 16 2 6" xfId="13401"/>
    <cellStyle name="Note 16 2 7" xfId="13402"/>
    <cellStyle name="Note 16 2 8" xfId="13403"/>
    <cellStyle name="Note 16 3" xfId="13404"/>
    <cellStyle name="Note 16 3 2" xfId="13405"/>
    <cellStyle name="Note 16 3 3" xfId="13406"/>
    <cellStyle name="Note 16 3 4" xfId="13407"/>
    <cellStyle name="Note 16 3 5" xfId="13408"/>
    <cellStyle name="Note 16 3 6" xfId="13409"/>
    <cellStyle name="Note 16 3 7" xfId="13410"/>
    <cellStyle name="Note 16 3 8" xfId="13411"/>
    <cellStyle name="Note 16 4" xfId="13412"/>
    <cellStyle name="Note 16 4 2" xfId="13413"/>
    <cellStyle name="Note 16 4 3" xfId="13414"/>
    <cellStyle name="Note 16 4 4" xfId="13415"/>
    <cellStyle name="Note 16 4 5" xfId="13416"/>
    <cellStyle name="Note 16 4 6" xfId="13417"/>
    <cellStyle name="Note 16 4 7" xfId="13418"/>
    <cellStyle name="Note 16 4 8" xfId="13419"/>
    <cellStyle name="Note 17 2" xfId="13420"/>
    <cellStyle name="Note 17 2 2" xfId="13421"/>
    <cellStyle name="Note 17 2 3" xfId="13422"/>
    <cellStyle name="Note 17 2 4" xfId="13423"/>
    <cellStyle name="Note 17 2 5" xfId="13424"/>
    <cellStyle name="Note 17 2 6" xfId="13425"/>
    <cellStyle name="Note 17 2 7" xfId="13426"/>
    <cellStyle name="Note 17 2 8" xfId="13427"/>
    <cellStyle name="Note 17 3" xfId="13428"/>
    <cellStyle name="Note 17 3 2" xfId="13429"/>
    <cellStyle name="Note 17 3 3" xfId="13430"/>
    <cellStyle name="Note 17 3 4" xfId="13431"/>
    <cellStyle name="Note 17 3 5" xfId="13432"/>
    <cellStyle name="Note 17 3 6" xfId="13433"/>
    <cellStyle name="Note 17 3 7" xfId="13434"/>
    <cellStyle name="Note 17 3 8" xfId="13435"/>
    <cellStyle name="Note 17 4" xfId="13436"/>
    <cellStyle name="Note 17 4 2" xfId="13437"/>
    <cellStyle name="Note 17 4 3" xfId="13438"/>
    <cellStyle name="Note 17 4 4" xfId="13439"/>
    <cellStyle name="Note 17 4 5" xfId="13440"/>
    <cellStyle name="Note 17 4 6" xfId="13441"/>
    <cellStyle name="Note 17 4 7" xfId="13442"/>
    <cellStyle name="Note 17 4 8" xfId="13443"/>
    <cellStyle name="Note 2" xfId="13444"/>
    <cellStyle name="Note 2 2" xfId="13445"/>
    <cellStyle name="Note 2 2 2" xfId="13446"/>
    <cellStyle name="Note 2 2 3" xfId="13447"/>
    <cellStyle name="Note 2 2 4" xfId="13448"/>
    <cellStyle name="Note 2 2 5" xfId="13449"/>
    <cellStyle name="Note 2 2 6" xfId="13450"/>
    <cellStyle name="Note 2 2 7" xfId="13451"/>
    <cellStyle name="Note 2 2 8" xfId="13452"/>
    <cellStyle name="Note 2 3" xfId="13453"/>
    <cellStyle name="Note 2 3 2" xfId="13454"/>
    <cellStyle name="Note 2 3 3" xfId="13455"/>
    <cellStyle name="Note 2 3 4" xfId="13456"/>
    <cellStyle name="Note 2 3 5" xfId="13457"/>
    <cellStyle name="Note 2 3 6" xfId="13458"/>
    <cellStyle name="Note 2 3 7" xfId="13459"/>
    <cellStyle name="Note 2 3 8" xfId="13460"/>
    <cellStyle name="Note 2 4" xfId="13461"/>
    <cellStyle name="Note 2 4 2" xfId="13462"/>
    <cellStyle name="Note 2 4 3" xfId="13463"/>
    <cellStyle name="Note 2 4 4" xfId="13464"/>
    <cellStyle name="Note 2 4 5" xfId="13465"/>
    <cellStyle name="Note 2 4 6" xfId="13466"/>
    <cellStyle name="Note 2 4 7" xfId="13467"/>
    <cellStyle name="Note 2 4 8" xfId="13468"/>
    <cellStyle name="Note 3" xfId="13469"/>
    <cellStyle name="Note 3 2" xfId="13470"/>
    <cellStyle name="Note 3 2 2" xfId="13471"/>
    <cellStyle name="Note 3 2 3" xfId="13472"/>
    <cellStyle name="Note 3 2 4" xfId="13473"/>
    <cellStyle name="Note 3 2 5" xfId="13474"/>
    <cellStyle name="Note 3 2 6" xfId="13475"/>
    <cellStyle name="Note 3 2 7" xfId="13476"/>
    <cellStyle name="Note 3 2 8" xfId="13477"/>
    <cellStyle name="Note 3 3" xfId="13478"/>
    <cellStyle name="Note 3 3 2" xfId="13479"/>
    <cellStyle name="Note 3 3 3" xfId="13480"/>
    <cellStyle name="Note 3 3 4" xfId="13481"/>
    <cellStyle name="Note 3 3 5" xfId="13482"/>
    <cellStyle name="Note 3 3 6" xfId="13483"/>
    <cellStyle name="Note 3 3 7" xfId="13484"/>
    <cellStyle name="Note 3 3 8" xfId="13485"/>
    <cellStyle name="Note 3 4" xfId="13486"/>
    <cellStyle name="Note 3 4 2" xfId="13487"/>
    <cellStyle name="Note 3 4 3" xfId="13488"/>
    <cellStyle name="Note 3 4 4" xfId="13489"/>
    <cellStyle name="Note 3 4 5" xfId="13490"/>
    <cellStyle name="Note 3 4 6" xfId="13491"/>
    <cellStyle name="Note 3 4 7" xfId="13492"/>
    <cellStyle name="Note 3 4 8" xfId="13493"/>
    <cellStyle name="Note 4" xfId="13494"/>
    <cellStyle name="Note 4 2" xfId="13495"/>
    <cellStyle name="Note 4 2 2" xfId="13496"/>
    <cellStyle name="Note 4 2 3" xfId="13497"/>
    <cellStyle name="Note 4 2 4" xfId="13498"/>
    <cellStyle name="Note 4 2 5" xfId="13499"/>
    <cellStyle name="Note 4 2 6" xfId="13500"/>
    <cellStyle name="Note 4 2 7" xfId="13501"/>
    <cellStyle name="Note 4 2 8" xfId="13502"/>
    <cellStyle name="Note 4 3" xfId="13503"/>
    <cellStyle name="Note 4 3 2" xfId="13504"/>
    <cellStyle name="Note 4 3 3" xfId="13505"/>
    <cellStyle name="Note 4 3 4" xfId="13506"/>
    <cellStyle name="Note 4 3 5" xfId="13507"/>
    <cellStyle name="Note 4 3 6" xfId="13508"/>
    <cellStyle name="Note 4 3 7" xfId="13509"/>
    <cellStyle name="Note 4 3 8" xfId="13510"/>
    <cellStyle name="Note 4 4" xfId="13511"/>
    <cellStyle name="Note 4 4 2" xfId="13512"/>
    <cellStyle name="Note 4 4 3" xfId="13513"/>
    <cellStyle name="Note 4 4 4" xfId="13514"/>
    <cellStyle name="Note 4 4 5" xfId="13515"/>
    <cellStyle name="Note 4 4 6" xfId="13516"/>
    <cellStyle name="Note 4 4 7" xfId="13517"/>
    <cellStyle name="Note 4 4 8" xfId="13518"/>
    <cellStyle name="Note 5" xfId="13519"/>
    <cellStyle name="Note 5 2" xfId="13520"/>
    <cellStyle name="Note 5 2 2" xfId="13521"/>
    <cellStyle name="Note 5 2 3" xfId="13522"/>
    <cellStyle name="Note 5 2 4" xfId="13523"/>
    <cellStyle name="Note 5 2 5" xfId="13524"/>
    <cellStyle name="Note 5 2 6" xfId="13525"/>
    <cellStyle name="Note 5 2 7" xfId="13526"/>
    <cellStyle name="Note 5 2 8" xfId="13527"/>
    <cellStyle name="Note 5 3" xfId="13528"/>
    <cellStyle name="Note 5 3 2" xfId="13529"/>
    <cellStyle name="Note 5 3 3" xfId="13530"/>
    <cellStyle name="Note 5 3 4" xfId="13531"/>
    <cellStyle name="Note 5 3 5" xfId="13532"/>
    <cellStyle name="Note 5 3 6" xfId="13533"/>
    <cellStyle name="Note 5 3 7" xfId="13534"/>
    <cellStyle name="Note 5 3 8" xfId="13535"/>
    <cellStyle name="Note 5 4" xfId="13536"/>
    <cellStyle name="Note 5 4 2" xfId="13537"/>
    <cellStyle name="Note 5 4 3" xfId="13538"/>
    <cellStyle name="Note 5 4 4" xfId="13539"/>
    <cellStyle name="Note 5 4 5" xfId="13540"/>
    <cellStyle name="Note 5 4 6" xfId="13541"/>
    <cellStyle name="Note 5 4 7" xfId="13542"/>
    <cellStyle name="Note 5 4 8" xfId="13543"/>
    <cellStyle name="Note 6" xfId="13544"/>
    <cellStyle name="Note 6 2" xfId="13545"/>
    <cellStyle name="Note 6 2 2" xfId="13546"/>
    <cellStyle name="Note 6 2 3" xfId="13547"/>
    <cellStyle name="Note 6 2 4" xfId="13548"/>
    <cellStyle name="Note 6 2 5" xfId="13549"/>
    <cellStyle name="Note 6 2 6" xfId="13550"/>
    <cellStyle name="Note 6 2 7" xfId="13551"/>
    <cellStyle name="Note 6 2 8" xfId="13552"/>
    <cellStyle name="Note 6 3" xfId="13553"/>
    <cellStyle name="Note 6 3 2" xfId="13554"/>
    <cellStyle name="Note 6 3 3" xfId="13555"/>
    <cellStyle name="Note 6 3 4" xfId="13556"/>
    <cellStyle name="Note 6 3 5" xfId="13557"/>
    <cellStyle name="Note 6 3 6" xfId="13558"/>
    <cellStyle name="Note 6 3 7" xfId="13559"/>
    <cellStyle name="Note 6 3 8" xfId="13560"/>
    <cellStyle name="Note 6 4" xfId="13561"/>
    <cellStyle name="Note 6 4 2" xfId="13562"/>
    <cellStyle name="Note 6 4 3" xfId="13563"/>
    <cellStyle name="Note 6 4 4" xfId="13564"/>
    <cellStyle name="Note 6 4 5" xfId="13565"/>
    <cellStyle name="Note 6 4 6" xfId="13566"/>
    <cellStyle name="Note 6 4 7" xfId="13567"/>
    <cellStyle name="Note 6 4 8" xfId="13568"/>
    <cellStyle name="Note 7 2" xfId="13569"/>
    <cellStyle name="Note 7 2 2" xfId="13570"/>
    <cellStyle name="Note 7 2 3" xfId="13571"/>
    <cellStyle name="Note 7 2 4" xfId="13572"/>
    <cellStyle name="Note 7 2 5" xfId="13573"/>
    <cellStyle name="Note 7 2 6" xfId="13574"/>
    <cellStyle name="Note 7 2 7" xfId="13575"/>
    <cellStyle name="Note 7 2 8" xfId="13576"/>
    <cellStyle name="Note 7 3" xfId="13577"/>
    <cellStyle name="Note 7 3 2" xfId="13578"/>
    <cellStyle name="Note 7 3 3" xfId="13579"/>
    <cellStyle name="Note 7 3 4" xfId="13580"/>
    <cellStyle name="Note 7 3 5" xfId="13581"/>
    <cellStyle name="Note 7 3 6" xfId="13582"/>
    <cellStyle name="Note 7 3 7" xfId="13583"/>
    <cellStyle name="Note 7 3 8" xfId="13584"/>
    <cellStyle name="Note 7 4" xfId="13585"/>
    <cellStyle name="Note 7 4 2" xfId="13586"/>
    <cellStyle name="Note 7 4 3" xfId="13587"/>
    <cellStyle name="Note 7 4 4" xfId="13588"/>
    <cellStyle name="Note 7 4 5" xfId="13589"/>
    <cellStyle name="Note 7 4 6" xfId="13590"/>
    <cellStyle name="Note 7 4 7" xfId="13591"/>
    <cellStyle name="Note 7 4 8" xfId="13592"/>
    <cellStyle name="Note 8 2" xfId="13593"/>
    <cellStyle name="Note 8 2 2" xfId="13594"/>
    <cellStyle name="Note 8 2 3" xfId="13595"/>
    <cellStyle name="Note 8 2 4" xfId="13596"/>
    <cellStyle name="Note 8 2 5" xfId="13597"/>
    <cellStyle name="Note 8 2 6" xfId="13598"/>
    <cellStyle name="Note 8 2 7" xfId="13599"/>
    <cellStyle name="Note 8 2 8" xfId="13600"/>
    <cellStyle name="Note 8 3" xfId="13601"/>
    <cellStyle name="Note 8 3 2" xfId="13602"/>
    <cellStyle name="Note 8 3 3" xfId="13603"/>
    <cellStyle name="Note 8 3 4" xfId="13604"/>
    <cellStyle name="Note 8 3 5" xfId="13605"/>
    <cellStyle name="Note 8 3 6" xfId="13606"/>
    <cellStyle name="Note 8 3 7" xfId="13607"/>
    <cellStyle name="Note 8 3 8" xfId="13608"/>
    <cellStyle name="Note 8 4" xfId="13609"/>
    <cellStyle name="Note 8 4 2" xfId="13610"/>
    <cellStyle name="Note 8 4 3" xfId="13611"/>
    <cellStyle name="Note 8 4 4" xfId="13612"/>
    <cellStyle name="Note 8 4 5" xfId="13613"/>
    <cellStyle name="Note 8 4 6" xfId="13614"/>
    <cellStyle name="Note 8 4 7" xfId="13615"/>
    <cellStyle name="Note 8 4 8" xfId="13616"/>
    <cellStyle name="Note 9 2" xfId="13617"/>
    <cellStyle name="Note 9 2 2" xfId="13618"/>
    <cellStyle name="Note 9 2 3" xfId="13619"/>
    <cellStyle name="Note 9 2 4" xfId="13620"/>
    <cellStyle name="Note 9 2 5" xfId="13621"/>
    <cellStyle name="Note 9 2 6" xfId="13622"/>
    <cellStyle name="Note 9 2 7" xfId="13623"/>
    <cellStyle name="Note 9 2 8" xfId="13624"/>
    <cellStyle name="Note 9 3" xfId="13625"/>
    <cellStyle name="Note 9 3 2" xfId="13626"/>
    <cellStyle name="Note 9 3 3" xfId="13627"/>
    <cellStyle name="Note 9 3 4" xfId="13628"/>
    <cellStyle name="Note 9 3 5" xfId="13629"/>
    <cellStyle name="Note 9 3 6" xfId="13630"/>
    <cellStyle name="Note 9 3 7" xfId="13631"/>
    <cellStyle name="Note 9 3 8" xfId="13632"/>
    <cellStyle name="Note 9 4" xfId="13633"/>
    <cellStyle name="Note 9 4 2" xfId="13634"/>
    <cellStyle name="Note 9 4 3" xfId="13635"/>
    <cellStyle name="Note 9 4 4" xfId="13636"/>
    <cellStyle name="Note 9 4 5" xfId="13637"/>
    <cellStyle name="Note 9 4 6" xfId="13638"/>
    <cellStyle name="Note 9 4 7" xfId="13639"/>
    <cellStyle name="Note 9 4 8" xfId="13640"/>
    <cellStyle name="Œ…‹æØ‚è [0.00]_01MY Value Cost Study" xfId="13641"/>
    <cellStyle name="Œ…‹æØ‚è_01MY Value Cost Study" xfId="13642"/>
    <cellStyle name="omma [0]_Mktg Prog" xfId="13643"/>
    <cellStyle name="Option_Added_Cont_Desc" xfId="13644"/>
    <cellStyle name="ormal_Sheet1_1" xfId="13645"/>
    <cellStyle name="Output 1" xfId="13646"/>
    <cellStyle name="Output 10 2" xfId="13647"/>
    <cellStyle name="Output 10 3" xfId="13648"/>
    <cellStyle name="Output 10 4" xfId="13649"/>
    <cellStyle name="Output 11 2" xfId="13650"/>
    <cellStyle name="Output 11 3" xfId="13651"/>
    <cellStyle name="Output 11 4" xfId="13652"/>
    <cellStyle name="Output 12 2" xfId="13653"/>
    <cellStyle name="Output 12 3" xfId="13654"/>
    <cellStyle name="Output 12 4" xfId="13655"/>
    <cellStyle name="Output 13 2" xfId="13656"/>
    <cellStyle name="Output 13 3" xfId="13657"/>
    <cellStyle name="Output 13 4" xfId="13658"/>
    <cellStyle name="Output 14 2" xfId="13659"/>
    <cellStyle name="Output 14 3" xfId="13660"/>
    <cellStyle name="Output 14 4" xfId="13661"/>
    <cellStyle name="Output 15 2" xfId="13662"/>
    <cellStyle name="Output 15 3" xfId="13663"/>
    <cellStyle name="Output 15 4" xfId="13664"/>
    <cellStyle name="Output 16 2" xfId="13665"/>
    <cellStyle name="Output 16 3" xfId="13666"/>
    <cellStyle name="Output 16 4" xfId="13667"/>
    <cellStyle name="Output 17 2" xfId="13668"/>
    <cellStyle name="Output 17 3" xfId="13669"/>
    <cellStyle name="Output 17 4" xfId="13670"/>
    <cellStyle name="Output 2" xfId="13671"/>
    <cellStyle name="Output 2 2" xfId="13672"/>
    <cellStyle name="Output 2 3" xfId="13673"/>
    <cellStyle name="Output 2 4" xfId="13674"/>
    <cellStyle name="Output 3" xfId="13675"/>
    <cellStyle name="Output 3 2" xfId="13676"/>
    <cellStyle name="Output 3 3" xfId="13677"/>
    <cellStyle name="Output 3 4" xfId="13678"/>
    <cellStyle name="Output 4" xfId="13679"/>
    <cellStyle name="Output 4 2" xfId="13680"/>
    <cellStyle name="Output 4 3" xfId="13681"/>
    <cellStyle name="Output 4 4" xfId="13682"/>
    <cellStyle name="Output 5" xfId="13683"/>
    <cellStyle name="Output 5 2" xfId="13684"/>
    <cellStyle name="Output 5 3" xfId="13685"/>
    <cellStyle name="Output 5 4" xfId="13686"/>
    <cellStyle name="Output 6" xfId="13687"/>
    <cellStyle name="Output 6 2" xfId="13688"/>
    <cellStyle name="Output 6 3" xfId="13689"/>
    <cellStyle name="Output 6 4" xfId="13690"/>
    <cellStyle name="Output 7 2" xfId="13691"/>
    <cellStyle name="Output 7 3" xfId="13692"/>
    <cellStyle name="Output 7 4" xfId="13693"/>
    <cellStyle name="Output 8 2" xfId="13694"/>
    <cellStyle name="Output 8 3" xfId="13695"/>
    <cellStyle name="Output 8 4" xfId="13696"/>
    <cellStyle name="Output 9 2" xfId="13697"/>
    <cellStyle name="Output 9 3" xfId="13698"/>
    <cellStyle name="Output 9 4" xfId="13699"/>
    <cellStyle name="per.style" xfId="13700"/>
    <cellStyle name="Percen - Style2" xfId="13701"/>
    <cellStyle name="Percent [0]" xfId="13702"/>
    <cellStyle name="Percent [0] 2" xfId="13703"/>
    <cellStyle name="Percent [0] 3" xfId="13704"/>
    <cellStyle name="Percent [0] 4" xfId="13705"/>
    <cellStyle name="Percent [0] 5" xfId="13706"/>
    <cellStyle name="Percent [0] 6" xfId="13707"/>
    <cellStyle name="Percent [0] 7" xfId="13708"/>
    <cellStyle name="Percent [0] 8" xfId="13709"/>
    <cellStyle name="Percent [00]" xfId="13710"/>
    <cellStyle name="Percent [00] 2" xfId="13711"/>
    <cellStyle name="Percent [00] 3" xfId="13712"/>
    <cellStyle name="Percent [00] 4" xfId="13713"/>
    <cellStyle name="Percent [00] 5" xfId="13714"/>
    <cellStyle name="Percent [00] 6" xfId="13715"/>
    <cellStyle name="Percent [00] 7" xfId="13716"/>
    <cellStyle name="Percent [00] 8" xfId="13717"/>
    <cellStyle name="Percent [2]" xfId="13718"/>
    <cellStyle name="Percent [2] 2" xfId="13719"/>
    <cellStyle name="Percent [2] 3" xfId="13720"/>
    <cellStyle name="Percent [2] 4" xfId="13721"/>
    <cellStyle name="Percent [2] 5" xfId="13722"/>
    <cellStyle name="Percent [2] 6" xfId="13723"/>
    <cellStyle name="Percent [2] 7" xfId="13724"/>
    <cellStyle name="Percent [2] 8" xfId="13725"/>
    <cellStyle name="Percent [2] 9" xfId="13726"/>
    <cellStyle name="Percent 10" xfId="13727"/>
    <cellStyle name="Percent 11" xfId="13728"/>
    <cellStyle name="Percent 11 10" xfId="13729"/>
    <cellStyle name="Percent 11 2" xfId="13730"/>
    <cellStyle name="Percent 11 3" xfId="13731"/>
    <cellStyle name="Percent 11 4" xfId="13732"/>
    <cellStyle name="Percent 11 5" xfId="13733"/>
    <cellStyle name="Percent 11 6" xfId="13734"/>
    <cellStyle name="Percent 11 7" xfId="13735"/>
    <cellStyle name="Percent 11 8" xfId="13736"/>
    <cellStyle name="Percent 11 9" xfId="13737"/>
    <cellStyle name="Percent 12" xfId="13738"/>
    <cellStyle name="Percent 12 10" xfId="13739"/>
    <cellStyle name="Percent 12 10 2" xfId="13740"/>
    <cellStyle name="Percent 12 11" xfId="13741"/>
    <cellStyle name="Percent 12 2" xfId="13742"/>
    <cellStyle name="Percent 12 2 2" xfId="13743"/>
    <cellStyle name="Percent 12 2 2 2" xfId="13744"/>
    <cellStyle name="Percent 12 2 3" xfId="13745"/>
    <cellStyle name="Percent 12 2 3 2" xfId="13746"/>
    <cellStyle name="Percent 12 2 4" xfId="13747"/>
    <cellStyle name="Percent 12 3" xfId="13748"/>
    <cellStyle name="Percent 12 3 2" xfId="13749"/>
    <cellStyle name="Percent 12 3 2 2" xfId="13750"/>
    <cellStyle name="Percent 12 3 3" xfId="13751"/>
    <cellStyle name="Percent 12 3 3 2" xfId="13752"/>
    <cellStyle name="Percent 12 3 4" xfId="13753"/>
    <cellStyle name="Percent 12 4" xfId="13754"/>
    <cellStyle name="Percent 12 4 2" xfId="13755"/>
    <cellStyle name="Percent 12 4 2 2" xfId="13756"/>
    <cellStyle name="Percent 12 4 3" xfId="13757"/>
    <cellStyle name="Percent 12 4 3 2" xfId="13758"/>
    <cellStyle name="Percent 12 4 4" xfId="13759"/>
    <cellStyle name="Percent 12 5" xfId="13760"/>
    <cellStyle name="Percent 12 5 2" xfId="13761"/>
    <cellStyle name="Percent 12 6" xfId="13762"/>
    <cellStyle name="Percent 12 6 2" xfId="13763"/>
    <cellStyle name="Percent 12 7" xfId="13764"/>
    <cellStyle name="Percent 12 7 2" xfId="13765"/>
    <cellStyle name="Percent 12 8" xfId="13766"/>
    <cellStyle name="Percent 12 8 2" xfId="13767"/>
    <cellStyle name="Percent 12 9" xfId="13768"/>
    <cellStyle name="Percent 12 9 2" xfId="13769"/>
    <cellStyle name="Percent 13" xfId="13770"/>
    <cellStyle name="Percent 13 10" xfId="13771"/>
    <cellStyle name="Percent 13 10 2" xfId="13772"/>
    <cellStyle name="Percent 13 11" xfId="13773"/>
    <cellStyle name="Percent 13 2" xfId="13774"/>
    <cellStyle name="Percent 13 2 2" xfId="13775"/>
    <cellStyle name="Percent 13 2 2 2" xfId="13776"/>
    <cellStyle name="Percent 13 2 3" xfId="13777"/>
    <cellStyle name="Percent 13 2 3 2" xfId="13778"/>
    <cellStyle name="Percent 13 2 4" xfId="13779"/>
    <cellStyle name="Percent 13 3" xfId="13780"/>
    <cellStyle name="Percent 13 3 2" xfId="13781"/>
    <cellStyle name="Percent 13 3 2 2" xfId="13782"/>
    <cellStyle name="Percent 13 3 3" xfId="13783"/>
    <cellStyle name="Percent 13 3 3 2" xfId="13784"/>
    <cellStyle name="Percent 13 3 4" xfId="13785"/>
    <cellStyle name="Percent 13 4" xfId="13786"/>
    <cellStyle name="Percent 13 4 2" xfId="13787"/>
    <cellStyle name="Percent 13 4 2 2" xfId="13788"/>
    <cellStyle name="Percent 13 4 3" xfId="13789"/>
    <cellStyle name="Percent 13 4 3 2" xfId="13790"/>
    <cellStyle name="Percent 13 4 4" xfId="13791"/>
    <cellStyle name="Percent 13 5" xfId="13792"/>
    <cellStyle name="Percent 13 5 2" xfId="13793"/>
    <cellStyle name="Percent 13 6" xfId="13794"/>
    <cellStyle name="Percent 13 6 2" xfId="13795"/>
    <cellStyle name="Percent 13 7" xfId="13796"/>
    <cellStyle name="Percent 13 7 2" xfId="13797"/>
    <cellStyle name="Percent 13 8" xfId="13798"/>
    <cellStyle name="Percent 13 8 2" xfId="13799"/>
    <cellStyle name="Percent 13 9" xfId="13800"/>
    <cellStyle name="Percent 13 9 2" xfId="13801"/>
    <cellStyle name="Percent 14" xfId="13802"/>
    <cellStyle name="Percent 14 2" xfId="13803"/>
    <cellStyle name="Percent 14 2 2" xfId="13804"/>
    <cellStyle name="Percent 15" xfId="13805"/>
    <cellStyle name="Percent 16" xfId="13806"/>
    <cellStyle name="Percent 17" xfId="13807"/>
    <cellStyle name="Percent 18" xfId="13808"/>
    <cellStyle name="Percent 19" xfId="13809"/>
    <cellStyle name="Percent 2" xfId="13810"/>
    <cellStyle name="Percent 2 10" xfId="13811"/>
    <cellStyle name="Percent 2 10 2" xfId="13812"/>
    <cellStyle name="Percent 2 10 3" xfId="13813"/>
    <cellStyle name="Percent 2 10 4" xfId="13814"/>
    <cellStyle name="Percent 2 10 5" xfId="13815"/>
    <cellStyle name="Percent 2 10 6" xfId="13816"/>
    <cellStyle name="Percent 2 10 7" xfId="13817"/>
    <cellStyle name="Percent 2 10 8" xfId="13818"/>
    <cellStyle name="Percent 2 11" xfId="13819"/>
    <cellStyle name="Percent 2 11 2" xfId="13820"/>
    <cellStyle name="Percent 2 11 3" xfId="13821"/>
    <cellStyle name="Percent 2 11 4" xfId="13822"/>
    <cellStyle name="Percent 2 11 5" xfId="13823"/>
    <cellStyle name="Percent 2 11 6" xfId="13824"/>
    <cellStyle name="Percent 2 11 7" xfId="13825"/>
    <cellStyle name="Percent 2 11 8" xfId="13826"/>
    <cellStyle name="Percent 2 12" xfId="13827"/>
    <cellStyle name="Percent 2 12 2" xfId="13828"/>
    <cellStyle name="Percent 2 12 3" xfId="13829"/>
    <cellStyle name="Percent 2 12 4" xfId="13830"/>
    <cellStyle name="Percent 2 12 5" xfId="13831"/>
    <cellStyle name="Percent 2 12 6" xfId="13832"/>
    <cellStyle name="Percent 2 12 7" xfId="13833"/>
    <cellStyle name="Percent 2 12 8" xfId="13834"/>
    <cellStyle name="Percent 2 13" xfId="13835"/>
    <cellStyle name="Percent 2 13 2" xfId="13836"/>
    <cellStyle name="Percent 2 13 3" xfId="13837"/>
    <cellStyle name="Percent 2 13 4" xfId="13838"/>
    <cellStyle name="Percent 2 13 5" xfId="13839"/>
    <cellStyle name="Percent 2 13 6" xfId="13840"/>
    <cellStyle name="Percent 2 13 7" xfId="13841"/>
    <cellStyle name="Percent 2 13 8" xfId="13842"/>
    <cellStyle name="Percent 2 14" xfId="13843"/>
    <cellStyle name="Percent 2 14 2" xfId="13844"/>
    <cellStyle name="Percent 2 14 3" xfId="13845"/>
    <cellStyle name="Percent 2 14 4" xfId="13846"/>
    <cellStyle name="Percent 2 14 5" xfId="13847"/>
    <cellStyle name="Percent 2 14 6" xfId="13848"/>
    <cellStyle name="Percent 2 14 7" xfId="13849"/>
    <cellStyle name="Percent 2 14 8" xfId="13850"/>
    <cellStyle name="Percent 2 15" xfId="13851"/>
    <cellStyle name="Percent 2 15 2" xfId="13852"/>
    <cellStyle name="Percent 2 15 3" xfId="13853"/>
    <cellStyle name="Percent 2 15 4" xfId="13854"/>
    <cellStyle name="Percent 2 15 5" xfId="13855"/>
    <cellStyle name="Percent 2 15 6" xfId="13856"/>
    <cellStyle name="Percent 2 15 7" xfId="13857"/>
    <cellStyle name="Percent 2 15 8" xfId="13858"/>
    <cellStyle name="Percent 2 16" xfId="13859"/>
    <cellStyle name="Percent 2 16 2" xfId="13860"/>
    <cellStyle name="Percent 2 16 3" xfId="13861"/>
    <cellStyle name="Percent 2 16 4" xfId="13862"/>
    <cellStyle name="Percent 2 16 5" xfId="13863"/>
    <cellStyle name="Percent 2 16 6" xfId="13864"/>
    <cellStyle name="Percent 2 16 7" xfId="13865"/>
    <cellStyle name="Percent 2 16 8" xfId="13866"/>
    <cellStyle name="Percent 2 17" xfId="13867"/>
    <cellStyle name="Percent 2 17 2" xfId="13868"/>
    <cellStyle name="Percent 2 17 3" xfId="13869"/>
    <cellStyle name="Percent 2 17 4" xfId="13870"/>
    <cellStyle name="Percent 2 17 5" xfId="13871"/>
    <cellStyle name="Percent 2 17 6" xfId="13872"/>
    <cellStyle name="Percent 2 17 7" xfId="13873"/>
    <cellStyle name="Percent 2 17 8" xfId="13874"/>
    <cellStyle name="Percent 2 18" xfId="13875"/>
    <cellStyle name="Percent 2 18 2" xfId="13876"/>
    <cellStyle name="Percent 2 18 3" xfId="13877"/>
    <cellStyle name="Percent 2 18 4" xfId="13878"/>
    <cellStyle name="Percent 2 18 5" xfId="13879"/>
    <cellStyle name="Percent 2 18 6" xfId="13880"/>
    <cellStyle name="Percent 2 18 7" xfId="13881"/>
    <cellStyle name="Percent 2 18 8" xfId="13882"/>
    <cellStyle name="Percent 2 19" xfId="13883"/>
    <cellStyle name="Percent 2 19 2" xfId="13884"/>
    <cellStyle name="Percent 2 19 3" xfId="13885"/>
    <cellStyle name="Percent 2 19 4" xfId="13886"/>
    <cellStyle name="Percent 2 19 5" xfId="13887"/>
    <cellStyle name="Percent 2 19 6" xfId="13888"/>
    <cellStyle name="Percent 2 19 7" xfId="13889"/>
    <cellStyle name="Percent 2 19 8" xfId="13890"/>
    <cellStyle name="Percent 2 2" xfId="13891"/>
    <cellStyle name="Percent 2 2 2" xfId="13892"/>
    <cellStyle name="Percent 2 2 2 2" xfId="13893"/>
    <cellStyle name="Percent 2 2 2 2 2" xfId="13894"/>
    <cellStyle name="Percent 2 2 2 2 2 2" xfId="13895"/>
    <cellStyle name="Percent 2 2 2 3" xfId="13896"/>
    <cellStyle name="Percent 2 2 2 4" xfId="13897"/>
    <cellStyle name="Percent 2 2 3" xfId="13898"/>
    <cellStyle name="Percent 2 2 4" xfId="13899"/>
    <cellStyle name="Percent 2 2 5" xfId="13900"/>
    <cellStyle name="Percent 2 2 6" xfId="13901"/>
    <cellStyle name="Percent 2 2 7" xfId="13902"/>
    <cellStyle name="Percent 2 2 8" xfId="13903"/>
    <cellStyle name="Percent 2 2 9" xfId="13904"/>
    <cellStyle name="Percent 2 20" xfId="13905"/>
    <cellStyle name="Percent 2 20 2" xfId="13906"/>
    <cellStyle name="Percent 2 20 3" xfId="13907"/>
    <cellStyle name="Percent 2 20 4" xfId="13908"/>
    <cellStyle name="Percent 2 20 5" xfId="13909"/>
    <cellStyle name="Percent 2 20 6" xfId="13910"/>
    <cellStyle name="Percent 2 20 7" xfId="13911"/>
    <cellStyle name="Percent 2 20 8" xfId="13912"/>
    <cellStyle name="Percent 2 21" xfId="13913"/>
    <cellStyle name="Percent 2 21 2" xfId="13914"/>
    <cellStyle name="Percent 2 21 3" xfId="13915"/>
    <cellStyle name="Percent 2 21 4" xfId="13916"/>
    <cellStyle name="Percent 2 21 5" xfId="13917"/>
    <cellStyle name="Percent 2 21 6" xfId="13918"/>
    <cellStyle name="Percent 2 21 7" xfId="13919"/>
    <cellStyle name="Percent 2 21 8" xfId="13920"/>
    <cellStyle name="Percent 2 22" xfId="13921"/>
    <cellStyle name="Percent 2 22 2" xfId="13922"/>
    <cellStyle name="Percent 2 22 3" xfId="13923"/>
    <cellStyle name="Percent 2 22 4" xfId="13924"/>
    <cellStyle name="Percent 2 22 5" xfId="13925"/>
    <cellStyle name="Percent 2 22 6" xfId="13926"/>
    <cellStyle name="Percent 2 22 7" xfId="13927"/>
    <cellStyle name="Percent 2 22 8" xfId="13928"/>
    <cellStyle name="Percent 2 23" xfId="13929"/>
    <cellStyle name="Percent 2 23 2" xfId="13930"/>
    <cellStyle name="Percent 2 23 3" xfId="13931"/>
    <cellStyle name="Percent 2 23 4" xfId="13932"/>
    <cellStyle name="Percent 2 23 5" xfId="13933"/>
    <cellStyle name="Percent 2 23 6" xfId="13934"/>
    <cellStyle name="Percent 2 23 7" xfId="13935"/>
    <cellStyle name="Percent 2 23 8" xfId="13936"/>
    <cellStyle name="Percent 2 24" xfId="13937"/>
    <cellStyle name="Percent 2 24 2" xfId="13938"/>
    <cellStyle name="Percent 2 24 3" xfId="13939"/>
    <cellStyle name="Percent 2 24 4" xfId="13940"/>
    <cellStyle name="Percent 2 24 5" xfId="13941"/>
    <cellStyle name="Percent 2 24 6" xfId="13942"/>
    <cellStyle name="Percent 2 24 7" xfId="13943"/>
    <cellStyle name="Percent 2 24 8" xfId="13944"/>
    <cellStyle name="Percent 2 25" xfId="13945"/>
    <cellStyle name="Percent 2 25 2" xfId="13946"/>
    <cellStyle name="Percent 2 25 3" xfId="13947"/>
    <cellStyle name="Percent 2 25 4" xfId="13948"/>
    <cellStyle name="Percent 2 25 5" xfId="13949"/>
    <cellStyle name="Percent 2 25 6" xfId="13950"/>
    <cellStyle name="Percent 2 25 7" xfId="13951"/>
    <cellStyle name="Percent 2 25 8" xfId="13952"/>
    <cellStyle name="Percent 2 26" xfId="13953"/>
    <cellStyle name="Percent 2 26 2" xfId="13954"/>
    <cellStyle name="Percent 2 26 3" xfId="13955"/>
    <cellStyle name="Percent 2 26 4" xfId="13956"/>
    <cellStyle name="Percent 2 26 5" xfId="13957"/>
    <cellStyle name="Percent 2 26 6" xfId="13958"/>
    <cellStyle name="Percent 2 26 7" xfId="13959"/>
    <cellStyle name="Percent 2 26 8" xfId="13960"/>
    <cellStyle name="Percent 2 27" xfId="13961"/>
    <cellStyle name="Percent 2 27 2" xfId="13962"/>
    <cellStyle name="Percent 2 27 3" xfId="13963"/>
    <cellStyle name="Percent 2 27 4" xfId="13964"/>
    <cellStyle name="Percent 2 27 5" xfId="13965"/>
    <cellStyle name="Percent 2 27 6" xfId="13966"/>
    <cellStyle name="Percent 2 27 7" xfId="13967"/>
    <cellStyle name="Percent 2 27 8" xfId="13968"/>
    <cellStyle name="Percent 2 28" xfId="13969"/>
    <cellStyle name="Percent 2 28 2" xfId="13970"/>
    <cellStyle name="Percent 2 28 3" xfId="13971"/>
    <cellStyle name="Percent 2 28 4" xfId="13972"/>
    <cellStyle name="Percent 2 28 5" xfId="13973"/>
    <cellStyle name="Percent 2 28 6" xfId="13974"/>
    <cellStyle name="Percent 2 28 7" xfId="13975"/>
    <cellStyle name="Percent 2 28 8" xfId="13976"/>
    <cellStyle name="Percent 2 29" xfId="13977"/>
    <cellStyle name="Percent 2 29 2" xfId="13978"/>
    <cellStyle name="Percent 2 29 3" xfId="13979"/>
    <cellStyle name="Percent 2 29 4" xfId="13980"/>
    <cellStyle name="Percent 2 29 5" xfId="13981"/>
    <cellStyle name="Percent 2 29 6" xfId="13982"/>
    <cellStyle name="Percent 2 29 7" xfId="13983"/>
    <cellStyle name="Percent 2 29 8" xfId="13984"/>
    <cellStyle name="Percent 2 3" xfId="13985"/>
    <cellStyle name="Percent 2 3 2" xfId="13986"/>
    <cellStyle name="Percent 2 3 3" xfId="13987"/>
    <cellStyle name="Percent 2 3 4" xfId="13988"/>
    <cellStyle name="Percent 2 3 5" xfId="13989"/>
    <cellStyle name="Percent 2 3 6" xfId="13990"/>
    <cellStyle name="Percent 2 3 7" xfId="13991"/>
    <cellStyle name="Percent 2 3 8" xfId="13992"/>
    <cellStyle name="Percent 2 30" xfId="13993"/>
    <cellStyle name="Percent 2 30 2" xfId="13994"/>
    <cellStyle name="Percent 2 30 3" xfId="13995"/>
    <cellStyle name="Percent 2 30 4" xfId="13996"/>
    <cellStyle name="Percent 2 30 5" xfId="13997"/>
    <cellStyle name="Percent 2 30 6" xfId="13998"/>
    <cellStyle name="Percent 2 30 7" xfId="13999"/>
    <cellStyle name="Percent 2 30 8" xfId="14000"/>
    <cellStyle name="Percent 2 31" xfId="14001"/>
    <cellStyle name="Percent 2 31 2" xfId="14002"/>
    <cellStyle name="Percent 2 31 3" xfId="14003"/>
    <cellStyle name="Percent 2 31 4" xfId="14004"/>
    <cellStyle name="Percent 2 31 5" xfId="14005"/>
    <cellStyle name="Percent 2 31 6" xfId="14006"/>
    <cellStyle name="Percent 2 31 7" xfId="14007"/>
    <cellStyle name="Percent 2 31 8" xfId="14008"/>
    <cellStyle name="Percent 2 32" xfId="14009"/>
    <cellStyle name="Percent 2 32 2" xfId="14010"/>
    <cellStyle name="Percent 2 32 3" xfId="14011"/>
    <cellStyle name="Percent 2 32 4" xfId="14012"/>
    <cellStyle name="Percent 2 32 5" xfId="14013"/>
    <cellStyle name="Percent 2 32 6" xfId="14014"/>
    <cellStyle name="Percent 2 32 7" xfId="14015"/>
    <cellStyle name="Percent 2 32 8" xfId="14016"/>
    <cellStyle name="Percent 2 33" xfId="14017"/>
    <cellStyle name="Percent 2 33 2" xfId="14018"/>
    <cellStyle name="Percent 2 33 3" xfId="14019"/>
    <cellStyle name="Percent 2 33 4" xfId="14020"/>
    <cellStyle name="Percent 2 33 5" xfId="14021"/>
    <cellStyle name="Percent 2 33 6" xfId="14022"/>
    <cellStyle name="Percent 2 33 7" xfId="14023"/>
    <cellStyle name="Percent 2 33 8" xfId="14024"/>
    <cellStyle name="Percent 2 34" xfId="14025"/>
    <cellStyle name="Percent 2 4" xfId="14026"/>
    <cellStyle name="Percent 2 4 2" xfId="14027"/>
    <cellStyle name="Percent 2 4 3" xfId="14028"/>
    <cellStyle name="Percent 2 4 4" xfId="14029"/>
    <cellStyle name="Percent 2 4 5" xfId="14030"/>
    <cellStyle name="Percent 2 4 6" xfId="14031"/>
    <cellStyle name="Percent 2 4 7" xfId="14032"/>
    <cellStyle name="Percent 2 4 8" xfId="14033"/>
    <cellStyle name="Percent 2 5" xfId="14034"/>
    <cellStyle name="Percent 2 5 2" xfId="14035"/>
    <cellStyle name="Percent 2 5 3" xfId="14036"/>
    <cellStyle name="Percent 2 5 4" xfId="14037"/>
    <cellStyle name="Percent 2 5 5" xfId="14038"/>
    <cellStyle name="Percent 2 5 6" xfId="14039"/>
    <cellStyle name="Percent 2 5 7" xfId="14040"/>
    <cellStyle name="Percent 2 5 8" xfId="14041"/>
    <cellStyle name="Percent 2 6" xfId="14042"/>
    <cellStyle name="Percent 2 6 2" xfId="14043"/>
    <cellStyle name="Percent 2 6 3" xfId="14044"/>
    <cellStyle name="Percent 2 6 4" xfId="14045"/>
    <cellStyle name="Percent 2 6 5" xfId="14046"/>
    <cellStyle name="Percent 2 6 6" xfId="14047"/>
    <cellStyle name="Percent 2 6 7" xfId="14048"/>
    <cellStyle name="Percent 2 6 8" xfId="14049"/>
    <cellStyle name="Percent 2 7" xfId="14050"/>
    <cellStyle name="Percent 2 7 2" xfId="14051"/>
    <cellStyle name="Percent 2 7 3" xfId="14052"/>
    <cellStyle name="Percent 2 7 4" xfId="14053"/>
    <cellStyle name="Percent 2 7 5" xfId="14054"/>
    <cellStyle name="Percent 2 7 6" xfId="14055"/>
    <cellStyle name="Percent 2 7 7" xfId="14056"/>
    <cellStyle name="Percent 2 7 8" xfId="14057"/>
    <cellStyle name="Percent 2 8" xfId="14058"/>
    <cellStyle name="Percent 2 8 2" xfId="14059"/>
    <cellStyle name="Percent 2 8 3" xfId="14060"/>
    <cellStyle name="Percent 2 8 4" xfId="14061"/>
    <cellStyle name="Percent 2 8 5" xfId="14062"/>
    <cellStyle name="Percent 2 8 6" xfId="14063"/>
    <cellStyle name="Percent 2 8 7" xfId="14064"/>
    <cellStyle name="Percent 2 8 8" xfId="14065"/>
    <cellStyle name="Percent 2 9" xfId="14066"/>
    <cellStyle name="Percent 2 9 2" xfId="14067"/>
    <cellStyle name="Percent 2 9 3" xfId="14068"/>
    <cellStyle name="Percent 2 9 4" xfId="14069"/>
    <cellStyle name="Percent 2 9 5" xfId="14070"/>
    <cellStyle name="Percent 2 9 6" xfId="14071"/>
    <cellStyle name="Percent 2 9 7" xfId="14072"/>
    <cellStyle name="Percent 2 9 8" xfId="14073"/>
    <cellStyle name="Percent 2_Checked Assa Pricing Final." xfId="14074"/>
    <cellStyle name="Percent 20" xfId="14075"/>
    <cellStyle name="Percent 21" xfId="14076"/>
    <cellStyle name="Percent 22" xfId="14077"/>
    <cellStyle name="Percent 23" xfId="14078"/>
    <cellStyle name="Percent 24" xfId="14079"/>
    <cellStyle name="Percent 25" xfId="14080"/>
    <cellStyle name="Percent 26" xfId="14081"/>
    <cellStyle name="Percent 27" xfId="14082"/>
    <cellStyle name="Percent 28" xfId="14083"/>
    <cellStyle name="Percent 29" xfId="14084"/>
    <cellStyle name="Percent 3" xfId="14085"/>
    <cellStyle name="Percent 3 10" xfId="14086"/>
    <cellStyle name="Percent 3 11" xfId="14087"/>
    <cellStyle name="Percent 3 12" xfId="14088"/>
    <cellStyle name="Percent 3 13" xfId="14089"/>
    <cellStyle name="Percent 3 14" xfId="14090"/>
    <cellStyle name="Percent 3 15" xfId="14091"/>
    <cellStyle name="Percent 3 16" xfId="14092"/>
    <cellStyle name="Percent 3 2" xfId="14093"/>
    <cellStyle name="Percent 3 2 2" xfId="14094"/>
    <cellStyle name="Percent 3 2 3" xfId="14095"/>
    <cellStyle name="Percent 3 2 4" xfId="14096"/>
    <cellStyle name="Percent 3 2 5" xfId="14097"/>
    <cellStyle name="Percent 3 2 6" xfId="14098"/>
    <cellStyle name="Percent 3 2 7" xfId="14099"/>
    <cellStyle name="Percent 3 2 8" xfId="14100"/>
    <cellStyle name="Percent 3 3" xfId="14101"/>
    <cellStyle name="Percent 3 4" xfId="14102"/>
    <cellStyle name="Percent 3 5" xfId="14103"/>
    <cellStyle name="Percent 3 6" xfId="14104"/>
    <cellStyle name="Percent 3 7" xfId="14105"/>
    <cellStyle name="Percent 3 8" xfId="14106"/>
    <cellStyle name="Percent 3 9" xfId="14107"/>
    <cellStyle name="Percent 30" xfId="14108"/>
    <cellStyle name="Percent 31" xfId="14109"/>
    <cellStyle name="Percent 32" xfId="14110"/>
    <cellStyle name="Percent 33" xfId="14111"/>
    <cellStyle name="Percent 34" xfId="14112"/>
    <cellStyle name="Percent 35" xfId="14113"/>
    <cellStyle name="Percent 36" xfId="14114"/>
    <cellStyle name="Percent 37" xfId="14115"/>
    <cellStyle name="Percent 38" xfId="14116"/>
    <cellStyle name="Percent 39" xfId="14117"/>
    <cellStyle name="Percent 4" xfId="14118"/>
    <cellStyle name="Percent 4 2" xfId="14119"/>
    <cellStyle name="Percent 4 2 2" xfId="14120"/>
    <cellStyle name="Percent 4 2 3" xfId="14121"/>
    <cellStyle name="Percent 4 2 4" xfId="14122"/>
    <cellStyle name="Percent 4 2 5" xfId="14123"/>
    <cellStyle name="Percent 4 2 6" xfId="14124"/>
    <cellStyle name="Percent 4 2 7" xfId="14125"/>
    <cellStyle name="Percent 4 2 8" xfId="14126"/>
    <cellStyle name="Percent 4 3" xfId="14127"/>
    <cellStyle name="Percent 4 4" xfId="14128"/>
    <cellStyle name="Percent 4 5" xfId="14129"/>
    <cellStyle name="Percent 4 6" xfId="14130"/>
    <cellStyle name="Percent 4 7" xfId="14131"/>
    <cellStyle name="Percent 4 8" xfId="14132"/>
    <cellStyle name="Percent 4 9" xfId="14133"/>
    <cellStyle name="Percent 40" xfId="14134"/>
    <cellStyle name="Percent 41" xfId="14135"/>
    <cellStyle name="Percent 42" xfId="14136"/>
    <cellStyle name="Percent 43" xfId="14137"/>
    <cellStyle name="Percent 44" xfId="14138"/>
    <cellStyle name="Percent 45" xfId="14139"/>
    <cellStyle name="Percent 46" xfId="14140"/>
    <cellStyle name="Percent 47" xfId="14141"/>
    <cellStyle name="Percent 48" xfId="14142"/>
    <cellStyle name="Percent 49" xfId="14143"/>
    <cellStyle name="Percent 5" xfId="14144"/>
    <cellStyle name="Percent 5 10" xfId="14145"/>
    <cellStyle name="Percent 5 2" xfId="14146"/>
    <cellStyle name="Percent 5 3" xfId="14147"/>
    <cellStyle name="Percent 5 4" xfId="14148"/>
    <cellStyle name="Percent 5 5" xfId="14149"/>
    <cellStyle name="Percent 5 6" xfId="14150"/>
    <cellStyle name="Percent 5 7" xfId="14151"/>
    <cellStyle name="Percent 5 8" xfId="14152"/>
    <cellStyle name="Percent 5 9" xfId="14153"/>
    <cellStyle name="Percent 50" xfId="14154"/>
    <cellStyle name="Percent 50 2" xfId="14155"/>
    <cellStyle name="Percent 6" xfId="14156"/>
    <cellStyle name="Percent 6 2" xfId="14157"/>
    <cellStyle name="Percent 6 3" xfId="14158"/>
    <cellStyle name="Percent 6 4" xfId="14159"/>
    <cellStyle name="Percent 6 5" xfId="14160"/>
    <cellStyle name="Percent 6 6" xfId="14161"/>
    <cellStyle name="Percent 6 7" xfId="14162"/>
    <cellStyle name="Percent 6 8" xfId="14163"/>
    <cellStyle name="Percent 7" xfId="14164"/>
    <cellStyle name="Percent 8" xfId="14165"/>
    <cellStyle name="Percent 8 2" xfId="14166"/>
    <cellStyle name="Percent 8 3" xfId="14167"/>
    <cellStyle name="Percent 8 4" xfId="14168"/>
    <cellStyle name="Percent 8 5" xfId="14169"/>
    <cellStyle name="Percent 8 6" xfId="14170"/>
    <cellStyle name="Percent 8 7" xfId="14171"/>
    <cellStyle name="Percent 8 8" xfId="14172"/>
    <cellStyle name="Percent 8 9" xfId="14173"/>
    <cellStyle name="Percent 9" xfId="14174"/>
    <cellStyle name="PERCENTAGE" xfId="14175"/>
    <cellStyle name="Preliminary_Data" xfId="14176"/>
    <cellStyle name="PrePop Currency (0)" xfId="14177"/>
    <cellStyle name="PrePop Currency (0) 2" xfId="14178"/>
    <cellStyle name="PrePop Currency (0) 3" xfId="14179"/>
    <cellStyle name="PrePop Currency (0) 4" xfId="14180"/>
    <cellStyle name="PrePop Currency (0) 5" xfId="14181"/>
    <cellStyle name="PrePop Currency (0) 6" xfId="14182"/>
    <cellStyle name="PrePop Currency (0) 7" xfId="14183"/>
    <cellStyle name="PrePop Currency (0) 8" xfId="14184"/>
    <cellStyle name="PrePop Currency (2)" xfId="14185"/>
    <cellStyle name="PrePop Currency (2) 2" xfId="14186"/>
    <cellStyle name="PrePop Currency (2) 3" xfId="14187"/>
    <cellStyle name="PrePop Currency (2) 4" xfId="14188"/>
    <cellStyle name="PrePop Currency (2) 5" xfId="14189"/>
    <cellStyle name="PrePop Currency (2) 6" xfId="14190"/>
    <cellStyle name="PrePop Currency (2) 7" xfId="14191"/>
    <cellStyle name="PrePop Currency (2) 8" xfId="14192"/>
    <cellStyle name="PrePop Units (0)" xfId="14193"/>
    <cellStyle name="PrePop Units (0) 2" xfId="14194"/>
    <cellStyle name="PrePop Units (0) 3" xfId="14195"/>
    <cellStyle name="PrePop Units (0) 4" xfId="14196"/>
    <cellStyle name="PrePop Units (0) 5" xfId="14197"/>
    <cellStyle name="PrePop Units (0) 6" xfId="14198"/>
    <cellStyle name="PrePop Units (0) 7" xfId="14199"/>
    <cellStyle name="PrePop Units (0) 8" xfId="14200"/>
    <cellStyle name="PrePop Units (1)" xfId="14201"/>
    <cellStyle name="PrePop Units (1) 2" xfId="14202"/>
    <cellStyle name="PrePop Units (1) 3" xfId="14203"/>
    <cellStyle name="PrePop Units (1) 4" xfId="14204"/>
    <cellStyle name="PrePop Units (1) 5" xfId="14205"/>
    <cellStyle name="PrePop Units (1) 6" xfId="14206"/>
    <cellStyle name="PrePop Units (1) 7" xfId="14207"/>
    <cellStyle name="PrePop Units (1) 8" xfId="14208"/>
    <cellStyle name="PrePop Units (2)" xfId="14209"/>
    <cellStyle name="PrePop Units (2) 2" xfId="14210"/>
    <cellStyle name="PrePop Units (2) 3" xfId="14211"/>
    <cellStyle name="PrePop Units (2) 4" xfId="14212"/>
    <cellStyle name="PrePop Units (2) 5" xfId="14213"/>
    <cellStyle name="PrePop Units (2) 6" xfId="14214"/>
    <cellStyle name="PrePop Units (2) 7" xfId="14215"/>
    <cellStyle name="PrePop Units (2) 8" xfId="14216"/>
    <cellStyle name="Prices_Data" xfId="14217"/>
    <cellStyle name="PSChar" xfId="14218"/>
    <cellStyle name="PSDate" xfId="14219"/>
    <cellStyle name="Quantity" xfId="14220"/>
    <cellStyle name="Quantity 2" xfId="14221"/>
    <cellStyle name="Quantity 3" xfId="14222"/>
    <cellStyle name="Quantity 4" xfId="14223"/>
    <cellStyle name="Quantity 5" xfId="14224"/>
    <cellStyle name="Quantity 6" xfId="14225"/>
    <cellStyle name="Quantity 7" xfId="14226"/>
    <cellStyle name="Quantity 8" xfId="14227"/>
    <cellStyle name="S—_x0008_" xfId="14228"/>
    <cellStyle name="S—_x005f_x0008_" xfId="14229"/>
    <cellStyle name="Satisfaisant" xfId="14230"/>
    <cellStyle name="sbt2" xfId="14231"/>
    <cellStyle name="sbt2 2" xfId="14232"/>
    <cellStyle name="sbt2 3" xfId="14233"/>
    <cellStyle name="sbt2 4" xfId="14234"/>
    <cellStyle name="sbt2 5" xfId="14235"/>
    <cellStyle name="sbt2 6" xfId="14236"/>
    <cellStyle name="sbt2 7" xfId="14237"/>
    <cellStyle name="sbt2 8" xfId="14238"/>
    <cellStyle name="Sortie" xfId="14239"/>
    <cellStyle name="Standard 2" xfId="14240"/>
    <cellStyle name="Star" xfId="14241"/>
    <cellStyle name="Style 1" xfId="14242"/>
    <cellStyle name="Style 1 10" xfId="14243"/>
    <cellStyle name="Style 1 11" xfId="14244"/>
    <cellStyle name="Style 1 12" xfId="14245"/>
    <cellStyle name="Style 1 13" xfId="14246"/>
    <cellStyle name="Style 1 14" xfId="14247"/>
    <cellStyle name="Style 1 15" xfId="14248"/>
    <cellStyle name="Style 1 16" xfId="14249"/>
    <cellStyle name="Style 1 2" xfId="14250"/>
    <cellStyle name="Style 1 2 2" xfId="14251"/>
    <cellStyle name="Style 1 2 3" xfId="14252"/>
    <cellStyle name="Style 1 2 4" xfId="14253"/>
    <cellStyle name="Style 1 2 5" xfId="14254"/>
    <cellStyle name="Style 1 2 6" xfId="14255"/>
    <cellStyle name="Style 1 2 7" xfId="14256"/>
    <cellStyle name="Style 1 2 8" xfId="14257"/>
    <cellStyle name="Style 1 2 9" xfId="14258"/>
    <cellStyle name="Style 1 3" xfId="14259"/>
    <cellStyle name="Style 1 3 2" xfId="14260"/>
    <cellStyle name="Style 1 4" xfId="14261"/>
    <cellStyle name="Style 1 5" xfId="14262"/>
    <cellStyle name="Style 1 6" xfId="14263"/>
    <cellStyle name="Style 1 7" xfId="14264"/>
    <cellStyle name="Style 1 8" xfId="14265"/>
    <cellStyle name="Style 1 9" xfId="14266"/>
    <cellStyle name="Style 1_AP Logistic 2009 Konsolidasi (Optimist - Annual Plan)" xfId="14267"/>
    <cellStyle name="Style 10" xfId="14268"/>
    <cellStyle name="Style 11" xfId="14269"/>
    <cellStyle name="Style 12" xfId="14270"/>
    <cellStyle name="Style 13" xfId="14271"/>
    <cellStyle name="Style 14" xfId="14272"/>
    <cellStyle name="Style 15" xfId="14273"/>
    <cellStyle name="Style 16" xfId="14274"/>
    <cellStyle name="Style 17" xfId="14275"/>
    <cellStyle name="Style 18" xfId="14276"/>
    <cellStyle name="Style 19" xfId="14277"/>
    <cellStyle name="Style 2" xfId="14278"/>
    <cellStyle name="Style 20" xfId="14279"/>
    <cellStyle name="Style 21" xfId="14280"/>
    <cellStyle name="Style 22" xfId="14281"/>
    <cellStyle name="Style 23" xfId="14282"/>
    <cellStyle name="Style 24" xfId="14283"/>
    <cellStyle name="Style 25" xfId="14284"/>
    <cellStyle name="Style 26" xfId="14285"/>
    <cellStyle name="Style 27" xfId="14286"/>
    <cellStyle name="Style 28" xfId="14287"/>
    <cellStyle name="Style 29" xfId="14288"/>
    <cellStyle name="Style 3" xfId="14289"/>
    <cellStyle name="Style 30" xfId="14290"/>
    <cellStyle name="Style 31" xfId="14291"/>
    <cellStyle name="Style 32" xfId="14292"/>
    <cellStyle name="Style 33" xfId="14293"/>
    <cellStyle name="Style 34" xfId="14294"/>
    <cellStyle name="Style 35" xfId="14295"/>
    <cellStyle name="Style 36" xfId="14296"/>
    <cellStyle name="Style 37" xfId="14297"/>
    <cellStyle name="Style 38" xfId="14298"/>
    <cellStyle name="Style 39" xfId="14299"/>
    <cellStyle name="Style 4" xfId="14300"/>
    <cellStyle name="Style 40" xfId="14301"/>
    <cellStyle name="Style 41" xfId="14302"/>
    <cellStyle name="Style 42" xfId="14303"/>
    <cellStyle name="Style 43" xfId="14304"/>
    <cellStyle name="Style 44" xfId="14305"/>
    <cellStyle name="Style 45" xfId="14306"/>
    <cellStyle name="Style 46" xfId="14307"/>
    <cellStyle name="Style 47" xfId="14308"/>
    <cellStyle name="Style 48" xfId="14309"/>
    <cellStyle name="Style 49" xfId="14310"/>
    <cellStyle name="Style 5" xfId="14311"/>
    <cellStyle name="Style 50" xfId="14312"/>
    <cellStyle name="Style 51" xfId="14313"/>
    <cellStyle name="Style 52" xfId="14314"/>
    <cellStyle name="Style 53" xfId="14315"/>
    <cellStyle name="Style 54" xfId="14316"/>
    <cellStyle name="Style 55" xfId="14317"/>
    <cellStyle name="Style 56" xfId="14318"/>
    <cellStyle name="Style 57" xfId="14319"/>
    <cellStyle name="Style 58" xfId="14320"/>
    <cellStyle name="Style 59" xfId="14321"/>
    <cellStyle name="Style 6" xfId="14322"/>
    <cellStyle name="Style 60" xfId="14323"/>
    <cellStyle name="Style 61" xfId="14324"/>
    <cellStyle name="Style 62" xfId="14325"/>
    <cellStyle name="Style 63" xfId="14326"/>
    <cellStyle name="Style 64" xfId="14327"/>
    <cellStyle name="Style 65" xfId="14328"/>
    <cellStyle name="Style 66" xfId="14329"/>
    <cellStyle name="Style 67" xfId="14330"/>
    <cellStyle name="Style 68" xfId="14331"/>
    <cellStyle name="Style 69" xfId="14332"/>
    <cellStyle name="Style 7" xfId="14333"/>
    <cellStyle name="Style 70" xfId="14334"/>
    <cellStyle name="Style 71" xfId="14335"/>
    <cellStyle name="Style 72" xfId="14336"/>
    <cellStyle name="Style 73" xfId="14337"/>
    <cellStyle name="Style 74" xfId="14338"/>
    <cellStyle name="Style 75" xfId="14339"/>
    <cellStyle name="Style 76" xfId="14340"/>
    <cellStyle name="Style 77" xfId="14341"/>
    <cellStyle name="Style 78" xfId="14342"/>
    <cellStyle name="Style 79" xfId="14343"/>
    <cellStyle name="Style 8" xfId="14344"/>
    <cellStyle name="Style 80" xfId="14345"/>
    <cellStyle name="Style 81" xfId="14346"/>
    <cellStyle name="Style 82" xfId="14347"/>
    <cellStyle name="Style 83" xfId="14348"/>
    <cellStyle name="Style 9" xfId="14349"/>
    <cellStyle name="style_1" xfId="14350"/>
    <cellStyle name="Style1" xfId="14351"/>
    <cellStyle name="subhead" xfId="14352"/>
    <cellStyle name="subt1" xfId="14353"/>
    <cellStyle name="subt1 2" xfId="14354"/>
    <cellStyle name="subt1 3" xfId="14355"/>
    <cellStyle name="subt1 4" xfId="14356"/>
    <cellStyle name="subt1 5" xfId="14357"/>
    <cellStyle name="subt1 6" xfId="14358"/>
    <cellStyle name="subt1 7" xfId="14359"/>
    <cellStyle name="subt1 8" xfId="14360"/>
    <cellStyle name="T" xfId="14361"/>
    <cellStyle name="T_Book1" xfId="14362"/>
    <cellStyle name="T_Book1_1" xfId="14363"/>
    <cellStyle name="T_Cashflow QPR3" xfId="14364"/>
    <cellStyle name="T_Copy of BC nhanh TCT -2008" xfId="14365"/>
    <cellStyle name="T_Intimex-2007" xfId="14366"/>
    <cellStyle name="Table" xfId="14367"/>
    <cellStyle name="Table 2" xfId="14368"/>
    <cellStyle name="Table 2 2" xfId="14369"/>
    <cellStyle name="Table 2 3" xfId="14370"/>
    <cellStyle name="Table 3" xfId="14371"/>
    <cellStyle name="Table 4" xfId="14372"/>
    <cellStyle name="Table 5" xfId="14373"/>
    <cellStyle name="Table 6" xfId="14374"/>
    <cellStyle name="Table 7" xfId="14375"/>
    <cellStyle name="Table 8" xfId="14376"/>
    <cellStyle name="Table 9" xfId="14377"/>
    <cellStyle name="Text Indent A" xfId="14378"/>
    <cellStyle name="Text Indent A 2" xfId="14379"/>
    <cellStyle name="Text Indent A 3" xfId="14380"/>
    <cellStyle name="Text Indent A 4" xfId="14381"/>
    <cellStyle name="Text Indent A 5" xfId="14382"/>
    <cellStyle name="Text Indent A 6" xfId="14383"/>
    <cellStyle name="Text Indent A 7" xfId="14384"/>
    <cellStyle name="Text Indent A 8" xfId="14385"/>
    <cellStyle name="Text Indent A 9" xfId="14386"/>
    <cellStyle name="Text Indent B" xfId="14387"/>
    <cellStyle name="Text Indent B 2" xfId="14388"/>
    <cellStyle name="Text Indent B 3" xfId="14389"/>
    <cellStyle name="Text Indent B 4" xfId="14390"/>
    <cellStyle name="Text Indent B 5" xfId="14391"/>
    <cellStyle name="Text Indent B 6" xfId="14392"/>
    <cellStyle name="Text Indent B 7" xfId="14393"/>
    <cellStyle name="Text Indent B 8" xfId="14394"/>
    <cellStyle name="Text Indent C" xfId="14395"/>
    <cellStyle name="Text Indent C 2" xfId="14396"/>
    <cellStyle name="Text Indent C 3" xfId="14397"/>
    <cellStyle name="Text Indent C 4" xfId="14398"/>
    <cellStyle name="Text Indent C 5" xfId="14399"/>
    <cellStyle name="Text Indent C 6" xfId="14400"/>
    <cellStyle name="Text Indent C 7" xfId="14401"/>
    <cellStyle name="Text Indent C 8" xfId="14402"/>
    <cellStyle name="Texte explicatif" xfId="14403"/>
    <cellStyle name="th" xfId="14404"/>
    <cellStyle name="Thousands" xfId="14405"/>
    <cellStyle name="Tickmark" xfId="14406"/>
    <cellStyle name="Times New Roman" xfId="14407"/>
    <cellStyle name="Times New Roman 2" xfId="14408"/>
    <cellStyle name="Times New Roman 3" xfId="14409"/>
    <cellStyle name="Times New Roman 4" xfId="14410"/>
    <cellStyle name="Times New Roman 5" xfId="14411"/>
    <cellStyle name="Times New Roman 6" xfId="14412"/>
    <cellStyle name="Times New Roman 7" xfId="14413"/>
    <cellStyle name="Times New Roman 8" xfId="14414"/>
    <cellStyle name="Title 1" xfId="14415"/>
    <cellStyle name="Title 10 2" xfId="14416"/>
    <cellStyle name="Title 10 3" xfId="14417"/>
    <cellStyle name="Title 10 4" xfId="14418"/>
    <cellStyle name="Title 11 2" xfId="14419"/>
    <cellStyle name="Title 11 3" xfId="14420"/>
    <cellStyle name="Title 11 4" xfId="14421"/>
    <cellStyle name="Title 12 2" xfId="14422"/>
    <cellStyle name="Title 12 3" xfId="14423"/>
    <cellStyle name="Title 12 4" xfId="14424"/>
    <cellStyle name="Title 13 2" xfId="14425"/>
    <cellStyle name="Title 13 3" xfId="14426"/>
    <cellStyle name="Title 13 4" xfId="14427"/>
    <cellStyle name="Title 14 2" xfId="14428"/>
    <cellStyle name="Title 14 3" xfId="14429"/>
    <cellStyle name="Title 14 4" xfId="14430"/>
    <cellStyle name="Title 15 2" xfId="14431"/>
    <cellStyle name="Title 15 3" xfId="14432"/>
    <cellStyle name="Title 15 4" xfId="14433"/>
    <cellStyle name="Title 16 2" xfId="14434"/>
    <cellStyle name="Title 16 3" xfId="14435"/>
    <cellStyle name="Title 16 4" xfId="14436"/>
    <cellStyle name="Title 17 2" xfId="14437"/>
    <cellStyle name="Title 17 3" xfId="14438"/>
    <cellStyle name="Title 17 4" xfId="14439"/>
    <cellStyle name="Title 2" xfId="14440"/>
    <cellStyle name="Title 2 2" xfId="14441"/>
    <cellStyle name="Title 2 3" xfId="14442"/>
    <cellStyle name="Title 2 4" xfId="14443"/>
    <cellStyle name="Title 3" xfId="14444"/>
    <cellStyle name="Title 3 2" xfId="14445"/>
    <cellStyle name="Title 3 3" xfId="14446"/>
    <cellStyle name="Title 3 4" xfId="14447"/>
    <cellStyle name="Title 4" xfId="14448"/>
    <cellStyle name="Title 4 2" xfId="14449"/>
    <cellStyle name="Title 4 3" xfId="14450"/>
    <cellStyle name="Title 4 4" xfId="14451"/>
    <cellStyle name="Title 5" xfId="14452"/>
    <cellStyle name="Title 5 2" xfId="14453"/>
    <cellStyle name="Title 5 3" xfId="14454"/>
    <cellStyle name="Title 5 4" xfId="14455"/>
    <cellStyle name="Title 6" xfId="14456"/>
    <cellStyle name="Title 6 2" xfId="14457"/>
    <cellStyle name="Title 6 3" xfId="14458"/>
    <cellStyle name="Title 6 4" xfId="14459"/>
    <cellStyle name="Title 7 2" xfId="14460"/>
    <cellStyle name="Title 7 3" xfId="14461"/>
    <cellStyle name="Title 7 4" xfId="14462"/>
    <cellStyle name="Title 8 2" xfId="14463"/>
    <cellStyle name="Title 8 3" xfId="14464"/>
    <cellStyle name="Title 8 4" xfId="14465"/>
    <cellStyle name="Title 9 2" xfId="14466"/>
    <cellStyle name="Title 9 3" xfId="14467"/>
    <cellStyle name="Title 9 4" xfId="14468"/>
    <cellStyle name="Titre" xfId="14469"/>
    <cellStyle name="Titre 1" xfId="14470"/>
    <cellStyle name="Titre 2" xfId="14471"/>
    <cellStyle name="Titre 3" xfId="14472"/>
    <cellStyle name="Titre 4" xfId="14473"/>
    <cellStyle name="Total 1" xfId="14474"/>
    <cellStyle name="Total 10 2" xfId="14475"/>
    <cellStyle name="Total 10 3" xfId="14476"/>
    <cellStyle name="Total 10 4" xfId="14477"/>
    <cellStyle name="Total 11 2" xfId="14478"/>
    <cellStyle name="Total 11 3" xfId="14479"/>
    <cellStyle name="Total 11 4" xfId="14480"/>
    <cellStyle name="Total 12 2" xfId="14481"/>
    <cellStyle name="Total 12 3" xfId="14482"/>
    <cellStyle name="Total 12 4" xfId="14483"/>
    <cellStyle name="Total 13 2" xfId="14484"/>
    <cellStyle name="Total 13 3" xfId="14485"/>
    <cellStyle name="Total 13 4" xfId="14486"/>
    <cellStyle name="Total 14 2" xfId="14487"/>
    <cellStyle name="Total 14 3" xfId="14488"/>
    <cellStyle name="Total 14 4" xfId="14489"/>
    <cellStyle name="Total 15 2" xfId="14490"/>
    <cellStyle name="Total 15 3" xfId="14491"/>
    <cellStyle name="Total 15 4" xfId="14492"/>
    <cellStyle name="Total 16 2" xfId="14493"/>
    <cellStyle name="Total 16 3" xfId="14494"/>
    <cellStyle name="Total 16 4" xfId="14495"/>
    <cellStyle name="Total 17 2" xfId="14496"/>
    <cellStyle name="Total 17 3" xfId="14497"/>
    <cellStyle name="Total 17 4" xfId="14498"/>
    <cellStyle name="Total 2" xfId="14499"/>
    <cellStyle name="Total 2 2" xfId="14500"/>
    <cellStyle name="Total 2 3" xfId="14501"/>
    <cellStyle name="Total 2 4" xfId="14502"/>
    <cellStyle name="Total 3" xfId="14503"/>
    <cellStyle name="Total 3 2" xfId="14504"/>
    <cellStyle name="Total 3 3" xfId="14505"/>
    <cellStyle name="Total 3 4" xfId="14506"/>
    <cellStyle name="Total 4" xfId="14507"/>
    <cellStyle name="Total 4 2" xfId="14508"/>
    <cellStyle name="Total 4 3" xfId="14509"/>
    <cellStyle name="Total 4 4" xfId="14510"/>
    <cellStyle name="Total 5" xfId="14511"/>
    <cellStyle name="Total 5 2" xfId="14512"/>
    <cellStyle name="Total 5 3" xfId="14513"/>
    <cellStyle name="Total 5 4" xfId="14514"/>
    <cellStyle name="Total 6" xfId="14515"/>
    <cellStyle name="Total 6 2" xfId="14516"/>
    <cellStyle name="Total 6 3" xfId="14517"/>
    <cellStyle name="Total 6 4" xfId="14518"/>
    <cellStyle name="Total 7 2" xfId="14519"/>
    <cellStyle name="Total 7 3" xfId="14520"/>
    <cellStyle name="Total 7 4" xfId="14521"/>
    <cellStyle name="Total 8 2" xfId="14522"/>
    <cellStyle name="Total 8 3" xfId="14523"/>
    <cellStyle name="Total 8 4" xfId="14524"/>
    <cellStyle name="Total 9 2" xfId="14525"/>
    <cellStyle name="Total 9 3" xfId="14526"/>
    <cellStyle name="Total 9 4" xfId="14527"/>
    <cellStyle name="Tusental (0)_laroux" xfId="14528"/>
    <cellStyle name="Tusental_laroux" xfId="14529"/>
    <cellStyle name="Valuta (0)_laroux" xfId="14530"/>
    <cellStyle name="Valuta_laroux" xfId="14531"/>
    <cellStyle name="Vehicle_Benchmark" xfId="14532"/>
    <cellStyle name="Vérification" xfId="14533"/>
    <cellStyle name="Version_Header" xfId="14534"/>
    <cellStyle name="viet" xfId="14535"/>
    <cellStyle name="viet2" xfId="14536"/>
    <cellStyle name="VN new romanNormal" xfId="14537"/>
    <cellStyle name="VN time new roman" xfId="14538"/>
    <cellStyle name="vnhead1" xfId="14539"/>
    <cellStyle name="vnhead3" xfId="14540"/>
    <cellStyle name="vntxt1" xfId="14541"/>
    <cellStyle name="vntxt2" xfId="14542"/>
    <cellStyle name="Volumes_Data" xfId="14543"/>
    <cellStyle name="Währung [0]_UXO VII" xfId="14544"/>
    <cellStyle name="Währung_UXO VII" xfId="14545"/>
    <cellStyle name="Warning Text 1" xfId="14546"/>
    <cellStyle name="Warning Text 10 2" xfId="14547"/>
    <cellStyle name="Warning Text 10 3" xfId="14548"/>
    <cellStyle name="Warning Text 10 4" xfId="14549"/>
    <cellStyle name="Warning Text 11 2" xfId="14550"/>
    <cellStyle name="Warning Text 11 3" xfId="14551"/>
    <cellStyle name="Warning Text 11 4" xfId="14552"/>
    <cellStyle name="Warning Text 12 2" xfId="14553"/>
    <cellStyle name="Warning Text 12 3" xfId="14554"/>
    <cellStyle name="Warning Text 12 4" xfId="14555"/>
    <cellStyle name="Warning Text 13 2" xfId="14556"/>
    <cellStyle name="Warning Text 13 3" xfId="14557"/>
    <cellStyle name="Warning Text 13 4" xfId="14558"/>
    <cellStyle name="Warning Text 14 2" xfId="14559"/>
    <cellStyle name="Warning Text 14 3" xfId="14560"/>
    <cellStyle name="Warning Text 14 4" xfId="14561"/>
    <cellStyle name="Warning Text 15 2" xfId="14562"/>
    <cellStyle name="Warning Text 15 3" xfId="14563"/>
    <cellStyle name="Warning Text 15 4" xfId="14564"/>
    <cellStyle name="Warning Text 16 2" xfId="14565"/>
    <cellStyle name="Warning Text 16 3" xfId="14566"/>
    <cellStyle name="Warning Text 16 4" xfId="14567"/>
    <cellStyle name="Warning Text 17 2" xfId="14568"/>
    <cellStyle name="Warning Text 17 3" xfId="14569"/>
    <cellStyle name="Warning Text 17 4" xfId="14570"/>
    <cellStyle name="Warning Text 2" xfId="14571"/>
    <cellStyle name="Warning Text 2 2" xfId="14572"/>
    <cellStyle name="Warning Text 2 3" xfId="14573"/>
    <cellStyle name="Warning Text 2 4" xfId="14574"/>
    <cellStyle name="Warning Text 3" xfId="14575"/>
    <cellStyle name="Warning Text 3 2" xfId="14576"/>
    <cellStyle name="Warning Text 3 3" xfId="14577"/>
    <cellStyle name="Warning Text 3 4" xfId="14578"/>
    <cellStyle name="Warning Text 4" xfId="14579"/>
    <cellStyle name="Warning Text 4 2" xfId="14580"/>
    <cellStyle name="Warning Text 4 3" xfId="14581"/>
    <cellStyle name="Warning Text 4 4" xfId="14582"/>
    <cellStyle name="Warning Text 5" xfId="14583"/>
    <cellStyle name="Warning Text 5 2" xfId="14584"/>
    <cellStyle name="Warning Text 5 3" xfId="14585"/>
    <cellStyle name="Warning Text 5 4" xfId="14586"/>
    <cellStyle name="Warning Text 6" xfId="14587"/>
    <cellStyle name="Warning Text 6 2" xfId="14588"/>
    <cellStyle name="Warning Text 6 3" xfId="14589"/>
    <cellStyle name="Warning Text 6 4" xfId="14590"/>
    <cellStyle name="Warning Text 7 2" xfId="14591"/>
    <cellStyle name="Warning Text 7 3" xfId="14592"/>
    <cellStyle name="Warning Text 7 4" xfId="14593"/>
    <cellStyle name="Warning Text 8 2" xfId="14594"/>
    <cellStyle name="Warning Text 8 3" xfId="14595"/>
    <cellStyle name="Warning Text 8 4" xfId="14596"/>
    <cellStyle name="Warning Text 9 2" xfId="14597"/>
    <cellStyle name="Warning Text 9 3" xfId="14598"/>
    <cellStyle name="Warning Text 9 4" xfId="14599"/>
    <cellStyle name="WHead - Style2" xfId="14600"/>
    <cellStyle name="ｳfｹ・[0]_Cefiro" xfId="14601"/>
    <cellStyle name="ｳfｹCefiro" xfId="14602"/>
    <cellStyle name="ｳfｹCefiro 2" xfId="14603"/>
    <cellStyle name="ｳfｹCefiro 3" xfId="14604"/>
    <cellStyle name="ｳfｹM segment" xfId="14605"/>
    <cellStyle name="ｳfｹM segment 2" xfId="14606"/>
    <cellStyle name="ｳfｹM segment 3" xfId="14607"/>
    <cellStyle name="ｳfｹS segment" xfId="14608"/>
    <cellStyle name="ｳfｹS segment 2" xfId="14609"/>
    <cellStyle name="ｳfｹS segment 3" xfId="14610"/>
    <cellStyle name="ｹ鮗ﾐﾀｲ_ｰ豼ｵﾁ･" xfId="14611"/>
    <cellStyle name="ﾄﾞｸｶ [0]_ｰ霾ｹ" xfId="14612"/>
    <cellStyle name="ﾄﾞｸｶ_ｰ霾ｹ" xfId="14613"/>
    <cellStyle name="ﾅ・ｭ [0]_ｰ霾ｹ" xfId="14614"/>
    <cellStyle name="ﾅ・ｭ_ｰ霾ｹ" xfId="14615"/>
    <cellStyle name="ﾇ･ﾁﾘ_ｰ霾ｹ" xfId="14616"/>
    <cellStyle name="ハイパー??ク" xfId="14617"/>
    <cellStyle name="ハイパーリンクuscodes" xfId="14618"/>
    <cellStyle name="ハイパーリンクXterra " xfId="14619"/>
    <cellStyle name="เครื่องหมายจุลภาค [0]_N1222H#" xfId="14620"/>
    <cellStyle name="เครื่องหมายจุลภาค_N1222H#" xfId="14621"/>
    <cellStyle name="เครื่องหมายสกุลเงิน [0]_FTC_OFFER" xfId="14622"/>
    <cellStyle name="เครื่องหมายสกุลเงิน_FTC_OFFER" xfId="14623"/>
    <cellStyle name="น้บะภฒ_95" xfId="14624"/>
    <cellStyle name="ปกติ_Customer of jorong TO Oracleaaaa" xfId="14625"/>
    <cellStyle name="ฤธถ [0]_95" xfId="14626"/>
    <cellStyle name="ฤธถ_95" xfId="14627"/>
    <cellStyle name="ล๋ศญ [0]_95" xfId="14628"/>
    <cellStyle name="ล๋ศญ_95" xfId="14629"/>
    <cellStyle name="วฅมุ_4ฟ๙ฝวภ๛" xfId="14630"/>
    <cellStyle name=" [0.00]_ Att. 1- Cover" xfId="14631"/>
    <cellStyle name="_ Att. 1- Cover" xfId="14632"/>
    <cellStyle name="?_ Att. 1- Cover" xfId="14633"/>
    <cellStyle name="똿뗦먛귟 [0.00]_PRODUCT DETAIL Q1" xfId="14634"/>
    <cellStyle name="똿뗦먛귟_PRODUCT DETAIL Q1" xfId="14635"/>
    <cellStyle name="믅됞 [0.00]_PRODUCT DETAIL Q1" xfId="14636"/>
    <cellStyle name="믅됞_PRODUCT DETAIL Q1" xfId="14637"/>
    <cellStyle name="백분율_95" xfId="14638"/>
    <cellStyle name="뷭?_BOOKSHIP" xfId="14639"/>
    <cellStyle name="콤마 [0]_ 비목별 월별기술 " xfId="14640"/>
    <cellStyle name="콤마_ 비목별 월별기술 " xfId="14641"/>
    <cellStyle name="통화 [0]_1202" xfId="14642"/>
    <cellStyle name="통화_1202" xfId="14643"/>
    <cellStyle name="표준_(정보부문)월별인원계획" xfId="14644"/>
    <cellStyle name="하이퍼링크" xfId="14645"/>
    <cellStyle name="하이퍼링크 2" xfId="14646"/>
    <cellStyle name="하이퍼링크 3" xfId="14647"/>
    <cellStyle name="하이퍼링크 4" xfId="14648"/>
    <cellStyle name="하이퍼링크 5" xfId="14649"/>
    <cellStyle name="하이퍼링크 6" xfId="14650"/>
    <cellStyle name="하이퍼링크 7" xfId="14651"/>
    <cellStyle name="하이퍼링크 8" xfId="14652"/>
    <cellStyle name="一般_00Q3902REV.1" xfId="14653"/>
    <cellStyle name="千分位[0]_00Q3902REV.1" xfId="14654"/>
    <cellStyle name="千分位_00Q3902REV.1" xfId="14655"/>
    <cellStyle name="未定義" xfId="14656"/>
    <cellStyle name="桁区切り [0.00]_List-dwg瑩畳䵜楡" xfId="14657"/>
    <cellStyle name="桁区切り 2" xfId="14658"/>
    <cellStyle name="桁区切り_List-dwgist-" xfId="14659"/>
    <cellStyle name="桁蟻唇Ｆ [0.00]_11th Dec. (2)" xfId="14660"/>
    <cellStyle name="桁蟻唇Ｆ_11th Dec. (2)" xfId="14661"/>
    <cellStyle name="標?_Read me first" xfId="14662"/>
    <cellStyle name="標準 2" xfId="14663"/>
    <cellStyle name="標準 3" xfId="14664"/>
    <cellStyle name="標準_List-dwgis" xfId="14665"/>
    <cellStyle name="脱?Y [0.00]_Ladder Report" xfId="14666"/>
    <cellStyle name="脱?Y_Ladder Report" xfId="14667"/>
    <cellStyle name="脱浦 [0.00]_11th Dec. (2)" xfId="14668"/>
    <cellStyle name="脱浦_11th Dec. (2)" xfId="14669"/>
    <cellStyle name="表示済みのハイパー??ク" xfId="14670"/>
    <cellStyle name="表示済みのハイパーリンク" xfId="14671"/>
    <cellStyle name="表示済みのハイパーリンクa PRG MY02 (" xfId="14672"/>
    <cellStyle name="表示済みのハイパーリンクes_Book2akdo" xfId="14673"/>
    <cellStyle name="貨幣 [0]_00Q3902REV.1" xfId="14674"/>
    <cellStyle name="貨幣[0]_BRE" xfId="14675"/>
    <cellStyle name="貨幣_00Q3902REV.1" xfId="14676"/>
    <cellStyle name="通貨 [0.00]_List-dwgwg" xfId="14677"/>
    <cellStyle name="通貨_List-dwgis" xfId="1467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382409</xdr:colOff>
      <xdr:row>3</xdr:row>
      <xdr:rowOff>158460</xdr:rowOff>
    </xdr:from>
    <xdr:to>
      <xdr:col>7</xdr:col>
      <xdr:colOff>1308936</xdr:colOff>
      <xdr:row>7</xdr:row>
      <xdr:rowOff>152208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97445" y="977265"/>
          <a:ext cx="927735" cy="67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435429</xdr:colOff>
      <xdr:row>3</xdr:row>
      <xdr:rowOff>165884</xdr:rowOff>
    </xdr:from>
    <xdr:to>
      <xdr:col>7</xdr:col>
      <xdr:colOff>1041279</xdr:colOff>
      <xdr:row>7</xdr:row>
      <xdr:rowOff>117575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2050" y="889635"/>
          <a:ext cx="612775" cy="647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402351</xdr:colOff>
      <xdr:row>0</xdr:row>
      <xdr:rowOff>123265</xdr:rowOff>
    </xdr:from>
    <xdr:to>
      <xdr:col>5</xdr:col>
      <xdr:colOff>450137</xdr:colOff>
      <xdr:row>2</xdr:row>
      <xdr:rowOff>132790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88130" y="123190"/>
          <a:ext cx="83121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1122590</xdr:colOff>
      <xdr:row>3</xdr:row>
      <xdr:rowOff>73480</xdr:rowOff>
    </xdr:from>
    <xdr:to>
      <xdr:col>5</xdr:col>
      <xdr:colOff>1819275</xdr:colOff>
      <xdr:row>6</xdr:row>
      <xdr:rowOff>6804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46420" y="1006475"/>
          <a:ext cx="7048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Lenovo-pc\kumpulan%20pt\FILE%20SHARING\DINI%20RUBIYANI\2021\0.8%20DATABASE%20AGUSTU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S-KARAWANG "/>
      <sheetName val="AOP - CIBITUNG "/>
      <sheetName val="CK"/>
      <sheetName val="NIRWANA LESTARI-NAROGONG"/>
      <sheetName val=" CIREBON-ANTERAJA "/>
      <sheetName val=" BEKASI -ANTERAJA "/>
      <sheetName val="BANDUNG-ANTERAJA"/>
      <sheetName val="ANTERAJA GARUT "/>
      <sheetName val="ANTERAJA SUBANG"/>
      <sheetName val="ANTERAJA CIAMIS"/>
      <sheetName val="CIANJUR ANTERAJA"/>
      <sheetName val="ANTERAJA -TASIK KOTA"/>
      <sheetName val="ANTERAJA -TASIK"/>
      <sheetName val="SUMEDANG ANTERAJA"/>
      <sheetName val="BANJAR ANTERAJA"/>
      <sheetName val="PANGANDARAN ANTERAJA"/>
      <sheetName val="AOP BANDUNG"/>
      <sheetName val="TAMBUN-HO"/>
      <sheetName val="KAWAN LAMA -JABABEKA"/>
      <sheetName val="YMZ-TANGERANG"/>
      <sheetName val="YMZ- BEKASI"/>
      <sheetName val="APL- CIKARANG "/>
      <sheetName val="ANTERAJA PEKANBARU "/>
      <sheetName val="ANTERAJA PADANG"/>
      <sheetName val="MEDAN"/>
      <sheetName val="ANTERAJA - MEDAN "/>
      <sheetName val="BATAM"/>
      <sheetName val="ANTERAJA BATAM"/>
      <sheetName val="ANTERAJA ACEH"/>
      <sheetName val="IN AGUSTUS 21"/>
      <sheetName val="OUT AGUSTUS 21"/>
      <sheetName val="SUMMARY"/>
      <sheetName val="Sheet4"/>
      <sheetName val="REPORT HARIAN"/>
      <sheetName val="BAT MALANG 1"/>
      <sheetName val="BAT MALANG 2"/>
      <sheetName val="YAMAZAKI JEMBER "/>
      <sheetName val="YAMAZAKI MALANG"/>
      <sheetName val="MADIUN - ANTERAJA "/>
      <sheetName val="JEMBER-ANTERAJA "/>
      <sheetName val="ANTERAJA BANYUWANGI "/>
      <sheetName val="ANTERAJA MADURA"/>
      <sheetName val="ANTERAJA LAMONGAN"/>
      <sheetName val="ANTERAJA TUBAN"/>
      <sheetName val="SURABAYA ANTERAJA"/>
      <sheetName val="MALANG - ANTERAJA "/>
      <sheetName val="PROBOLINGGO -ANTERAJA"/>
      <sheetName val="JOMBANG - ANTERAJA "/>
      <sheetName val="BALI CK"/>
      <sheetName val="AOP-BALI "/>
      <sheetName val="ANTERAJA BALI "/>
      <sheetName val="ANTERAJA MATARAM "/>
      <sheetName val="ANTERAJA SUMBAWA"/>
      <sheetName val="ANTERAJA BIMA "/>
      <sheetName val=" REMBANG SAT"/>
      <sheetName val="AOP SEMARANG "/>
      <sheetName val="SEMARANG ANTERAJA"/>
      <sheetName val="AOP PURWOKERTO "/>
      <sheetName val="PURWOKERTO ANTERAJA"/>
      <sheetName val="YOGYA-ANTERAJA"/>
      <sheetName val="TEGAL ANTERAJA "/>
      <sheetName val="ANTERAJA - CILACAP "/>
      <sheetName val="ANTERAJA PEMALANG "/>
      <sheetName val="KUDUS ANTERAJA "/>
      <sheetName val="SOLO "/>
      <sheetName val="FICO"/>
      <sheetName val="BANJARMASIN SAT"/>
      <sheetName val="pontianak"/>
      <sheetName val="HALIM-ANTERAJA"/>
      <sheetName val="ANTERAJA DRIVER LEADER"/>
      <sheetName val="TIPAR CAKUNG "/>
      <sheetName val="RAWABUAYA-ANTERAJA"/>
      <sheetName val="ANTERAJA TAMAN TEKNO "/>
      <sheetName val="ANTERAJA BOGOR"/>
      <sheetName val="ANTERAJA SUNTER"/>
      <sheetName val="MARUNDA"/>
      <sheetName val="MAKASSAR "/>
      <sheetName val="PARE-PARE"/>
      <sheetName val="KOLAKA ATJ"/>
      <sheetName val="MANADO"/>
      <sheetName val="ANTERAJA MANADO"/>
      <sheetName val="ANTERAJA BENGKULU"/>
      <sheetName val="GORONTALO"/>
      <sheetName val="ANTERAJA PALEMBANG "/>
      <sheetName val="ANTERAJA LAMPUNG "/>
      <sheetName val="ANTERAJA JAMBI "/>
      <sheetName val="ANTERAJA PONTIANAK    "/>
      <sheetName val="ANTERAJA PANGKAL PINANG "/>
      <sheetName val="ANTERAJA BANGKABELITUNG"/>
      <sheetName val="ATJ BANJARMASIN"/>
      <sheetName val="ATJ PALANGKARAYA"/>
      <sheetName val="Sheet9"/>
      <sheetName val="ANTERAJA BALIKPAPAN"/>
      <sheetName val="ANTERAJA SAMARINDA"/>
      <sheetName val="KEDAI SAYUR - PONDOK PINANG"/>
      <sheetName val="SYNCRUM MOJOKERTO"/>
      <sheetName val="CIMAHI ANTERAJA "/>
      <sheetName val="POS SEMARANG "/>
      <sheetName val="POS PURWOKERTO "/>
      <sheetName val="POS PURBALINGGA "/>
      <sheetName val="BREBES ANTERAJA"/>
      <sheetName val="ANTERAJA PATI "/>
      <sheetName val="BANYUMAS -ANTERAJA"/>
      <sheetName val="REMBANG ANTERAJA"/>
      <sheetName val="ANTERAJA-KARAWANG "/>
      <sheetName val="POS JOGJA "/>
      <sheetName val="IN JUNI 21"/>
      <sheetName val="OUT JUNI 21"/>
      <sheetName val="OUT MEI 21"/>
      <sheetName val="IN MEI 21"/>
      <sheetName val="OUT APRIL 2021"/>
      <sheetName val="IN APRIL 2021"/>
      <sheetName val="OUT MARET 2021"/>
      <sheetName val="IN MARET 2021"/>
      <sheetName val="IN FEBRUARI 2021"/>
      <sheetName val="OUT FEBRUARI 2021"/>
      <sheetName val="Sheet3"/>
      <sheetName val="IN JANUARI 2021"/>
      <sheetName val="OUT JANUARI 2021"/>
      <sheetName val="OUT NOVEMBER "/>
      <sheetName val="IN NOVEMBER "/>
      <sheetName val="HERO- CIBITUNG "/>
      <sheetName val="DAIDO-CIBITUNG "/>
      <sheetName val="YMZ- CIREBON"/>
      <sheetName val="PT BERLINA "/>
      <sheetName val="GABUNGAN"/>
      <sheetName val="GABUNGAN JANUARI "/>
      <sheetName val="PBI"/>
      <sheetName val="TUNGGAKAN BPJS"/>
      <sheetName val="BPJS TUNGGAKAN"/>
      <sheetName val="GABUNGAN (2)"/>
      <sheetName val="Sheet1"/>
      <sheetName val="non driver take over mulai agus"/>
      <sheetName val="PBI NOVEMBER"/>
      <sheetName val="IN"/>
      <sheetName val="OUT "/>
      <sheetName val="IN-JANUARI "/>
      <sheetName val="OUT-JANUARI "/>
      <sheetName val="IN-FEBRUARI "/>
      <sheetName val="OUT-FEBRUARI "/>
      <sheetName val="IN-MARET"/>
      <sheetName val="OUT-MARET"/>
      <sheetName val="Sheet2"/>
      <sheetName val="IN-APRIL "/>
      <sheetName val="OUT-APRIL "/>
      <sheetName val="IN MEI "/>
      <sheetName val="OUT MEI "/>
      <sheetName val="IN JUNI"/>
      <sheetName val="OUT JUNI"/>
      <sheetName val="IN JULI "/>
      <sheetName val="OUT JULI "/>
      <sheetName val="IN AGUSTUS "/>
      <sheetName val="OUT AGUSTUS "/>
      <sheetName val="IN SEPTEMBER "/>
      <sheetName val="OUT SEPTEMBER "/>
      <sheetName val="IN OKTOBER "/>
      <sheetName val="OUT OKTOBER"/>
      <sheetName val="IN DESEMBER "/>
      <sheetName val="AOP PURBALINGGA "/>
      <sheetName val="ANTERAJA SUKABUMI"/>
      <sheetName val="OUT MEI 2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7">
          <cell r="C7" t="str">
            <v>0636</v>
          </cell>
          <cell r="D7" t="str">
            <v>LUKMAN PODUNGGE</v>
          </cell>
          <cell r="E7" t="str">
            <v>MBK</v>
          </cell>
          <cell r="F7" t="str">
            <v>0823 4909 8478</v>
          </cell>
          <cell r="G7" t="str">
            <v>DRIVER</v>
          </cell>
          <cell r="K7" t="str">
            <v>GORONTALO</v>
          </cell>
          <cell r="L7" t="str">
            <v xml:space="preserve">PT.SUMBER ALFARIA TRIJAYA TBK </v>
          </cell>
          <cell r="M7" t="str">
            <v>JAKARTA 2</v>
          </cell>
          <cell r="N7">
            <v>43042</v>
          </cell>
          <cell r="O7" t="str">
            <v>JL. CENDRAWASIH RT. 003 RW. 005 KEL/DESA MOODU KEC. KOTA TIMUR KOTA GORONTALO PROVINSI GORONTALO</v>
          </cell>
          <cell r="P7" t="str">
            <v>L</v>
          </cell>
          <cell r="Q7" t="str">
            <v>ISLAM</v>
          </cell>
          <cell r="R7" t="str">
            <v>L</v>
          </cell>
          <cell r="S7" t="str">
            <v>SMA</v>
          </cell>
          <cell r="T7" t="str">
            <v>GORONTALO</v>
          </cell>
          <cell r="U7">
            <v>33201</v>
          </cell>
          <cell r="V7">
            <v>44378</v>
          </cell>
          <cell r="W7">
            <v>44469</v>
          </cell>
          <cell r="X7" t="str">
            <v>PKWT 1</v>
          </cell>
          <cell r="Z7" t="str">
            <v xml:space="preserve">3 Tahun  9 Bulan 17 Hari </v>
          </cell>
          <cell r="AA7" t="str">
            <v>B1 UMUM</v>
          </cell>
          <cell r="AB7" t="str">
            <v>901120190071</v>
          </cell>
          <cell r="AC7">
            <v>44159</v>
          </cell>
        </row>
        <row r="8">
          <cell r="C8" t="str">
            <v>0637</v>
          </cell>
          <cell r="D8" t="str">
            <v>DEDI SAPUTRA MUSTAMIN</v>
          </cell>
          <cell r="E8" t="str">
            <v>MBK</v>
          </cell>
          <cell r="F8">
            <v>85146480060</v>
          </cell>
          <cell r="J8" t="str">
            <v>UC</v>
          </cell>
          <cell r="K8" t="str">
            <v>GORONTALO</v>
          </cell>
          <cell r="L8" t="str">
            <v xml:space="preserve">PT.SUMBER ALFARIA TRIJAYA TBK </v>
          </cell>
          <cell r="M8" t="str">
            <v>JAKARTA 2</v>
          </cell>
          <cell r="N8">
            <v>43229</v>
          </cell>
          <cell r="O8" t="str">
            <v>Dusun II RT. - RW. - Kel/Desa Tinelo Kec. Telaga Biru Kab. Gorontalo Provinsi Gorontalo</v>
          </cell>
          <cell r="P8" t="str">
            <v>L</v>
          </cell>
          <cell r="Q8" t="str">
            <v>ISLAM</v>
          </cell>
          <cell r="R8" t="str">
            <v>L</v>
          </cell>
          <cell r="S8" t="str">
            <v>SMA</v>
          </cell>
          <cell r="T8" t="str">
            <v>ULAPATO A</v>
          </cell>
          <cell r="U8">
            <v>33231</v>
          </cell>
          <cell r="V8">
            <v>44378</v>
          </cell>
          <cell r="W8">
            <v>44469</v>
          </cell>
          <cell r="X8" t="str">
            <v>PKWT 1</v>
          </cell>
          <cell r="Z8" t="str">
            <v xml:space="preserve">3 Tahun  3 Bulan 11 Hari </v>
          </cell>
          <cell r="AA8" t="str">
            <v>BI</v>
          </cell>
          <cell r="AB8" t="str">
            <v>901220200231</v>
          </cell>
          <cell r="AC8">
            <v>44554</v>
          </cell>
        </row>
        <row r="9">
          <cell r="C9" t="str">
            <v>0639</v>
          </cell>
          <cell r="D9" t="str">
            <v>LIONG WAWORUNTU</v>
          </cell>
          <cell r="E9" t="str">
            <v>MBK</v>
          </cell>
          <cell r="F9">
            <v>85398032185</v>
          </cell>
          <cell r="G9" t="str">
            <v>DRIVER</v>
          </cell>
          <cell r="K9" t="str">
            <v>GORONTALO</v>
          </cell>
          <cell r="L9" t="str">
            <v xml:space="preserve">PT.SUMBER ALFARIA TRIJAYA TBK </v>
          </cell>
          <cell r="M9" t="str">
            <v>JAKARTA 2</v>
          </cell>
          <cell r="N9">
            <v>43223</v>
          </cell>
          <cell r="O9" t="str">
            <v>Jl. Kasuari Dusun III RT. - RW. - Kel/Desa Luwoo Kec. Talaga Jaya Kab. Gorontalo Provinsi Gorontalo</v>
          </cell>
          <cell r="P9" t="str">
            <v>K3</v>
          </cell>
          <cell r="Q9" t="str">
            <v>ISLAM</v>
          </cell>
          <cell r="R9" t="str">
            <v>L</v>
          </cell>
          <cell r="S9" t="str">
            <v>SMA</v>
          </cell>
          <cell r="T9" t="str">
            <v>BUNGGALO</v>
          </cell>
          <cell r="U9">
            <v>30081</v>
          </cell>
          <cell r="V9">
            <v>44378</v>
          </cell>
          <cell r="W9">
            <v>44469</v>
          </cell>
          <cell r="X9" t="str">
            <v>PKWT 1</v>
          </cell>
          <cell r="Z9" t="str">
            <v xml:space="preserve">3 Tahun  3 Bulan 17 Hari </v>
          </cell>
          <cell r="AA9" t="str">
            <v>B1</v>
          </cell>
          <cell r="AB9" t="str">
            <v>820520190254</v>
          </cell>
          <cell r="AC9">
            <v>44691</v>
          </cell>
        </row>
        <row r="10">
          <cell r="C10" t="str">
            <v>0641</v>
          </cell>
          <cell r="D10" t="str">
            <v>ILHAM MAHADJANI</v>
          </cell>
          <cell r="E10" t="str">
            <v>MBK</v>
          </cell>
          <cell r="F10">
            <v>81244581497</v>
          </cell>
          <cell r="G10" t="str">
            <v>DRIVER</v>
          </cell>
          <cell r="K10" t="str">
            <v>GORONTALO</v>
          </cell>
          <cell r="L10" t="str">
            <v xml:space="preserve">PT.SUMBER ALFARIA TRIJAYA TBK </v>
          </cell>
          <cell r="M10" t="str">
            <v>JAKARTA 2</v>
          </cell>
          <cell r="N10">
            <v>43283</v>
          </cell>
          <cell r="O10" t="str">
            <v>Dusun II RT. 000 RW. 000 Kel/Desa Tuladenggi Kec. Telaga Biru Kab. Gorontalo Provinsi Gorontalo</v>
          </cell>
          <cell r="P10" t="str">
            <v>L</v>
          </cell>
          <cell r="Q10" t="str">
            <v>ISLAM</v>
          </cell>
          <cell r="R10" t="str">
            <v>L</v>
          </cell>
          <cell r="S10" t="str">
            <v>SMK</v>
          </cell>
          <cell r="T10" t="str">
            <v>KAB. GORONTALO</v>
          </cell>
          <cell r="U10">
            <v>35638</v>
          </cell>
          <cell r="V10">
            <v>44378</v>
          </cell>
          <cell r="W10">
            <v>44469</v>
          </cell>
          <cell r="X10" t="str">
            <v>PKWT 1</v>
          </cell>
          <cell r="Z10" t="str">
            <v xml:space="preserve">3 Tahun  1 Bulan 18 Hari </v>
          </cell>
          <cell r="AA10" t="str">
            <v>B I UMUM</v>
          </cell>
          <cell r="AB10" t="str">
            <v>2019180600545</v>
          </cell>
          <cell r="AC10">
            <v>45134</v>
          </cell>
        </row>
        <row r="11">
          <cell r="C11" t="str">
            <v>0642</v>
          </cell>
          <cell r="D11" t="str">
            <v>HAMSA ISMAIL</v>
          </cell>
          <cell r="E11" t="str">
            <v>MBK</v>
          </cell>
          <cell r="F11">
            <v>82344693487</v>
          </cell>
          <cell r="G11" t="str">
            <v>DRIVER</v>
          </cell>
          <cell r="K11" t="str">
            <v>GORONTALO</v>
          </cell>
          <cell r="L11" t="str">
            <v xml:space="preserve">PT.SUMBER ALFARIA TRIJAYA TBK </v>
          </cell>
          <cell r="M11" t="str">
            <v>JAKARTA 2</v>
          </cell>
          <cell r="N11">
            <v>43471</v>
          </cell>
          <cell r="O11" t="str">
            <v>Dusun III Hilingo RT. 000 RW. 000 Kel/Desa Ulapatoa Kec. Telaga Biru Kab. Gorontalo Provinsi Gorontalo</v>
          </cell>
          <cell r="P11" t="str">
            <v>K2</v>
          </cell>
          <cell r="Q11" t="str">
            <v>ISLAM</v>
          </cell>
          <cell r="R11" t="str">
            <v>L</v>
          </cell>
          <cell r="S11" t="str">
            <v>SMK</v>
          </cell>
          <cell r="T11" t="str">
            <v>ULAPATO</v>
          </cell>
          <cell r="U11">
            <v>31975</v>
          </cell>
          <cell r="V11">
            <v>44378</v>
          </cell>
          <cell r="W11">
            <v>44469</v>
          </cell>
          <cell r="X11" t="str">
            <v>PKWT 1</v>
          </cell>
          <cell r="Z11" t="str">
            <v xml:space="preserve">2 Tahun  7 Bulan 14 Hari </v>
          </cell>
          <cell r="AA11" t="str">
            <v>B I UMUM</v>
          </cell>
          <cell r="AB11" t="str">
            <v>870720200168</v>
          </cell>
          <cell r="AC11">
            <v>44394</v>
          </cell>
        </row>
        <row r="12">
          <cell r="C12" t="str">
            <v>0828</v>
          </cell>
          <cell r="D12" t="str">
            <v>SANCHAI PRAYAMARK</v>
          </cell>
          <cell r="E12" t="str">
            <v>MBK</v>
          </cell>
          <cell r="F12">
            <v>85342580899</v>
          </cell>
          <cell r="J12" t="str">
            <v>DISPATCHER</v>
          </cell>
          <cell r="K12" t="str">
            <v>GORONTALO</v>
          </cell>
          <cell r="L12" t="str">
            <v xml:space="preserve">PT.SUMBER ALFARIA TRIJAYA TBK </v>
          </cell>
          <cell r="M12" t="str">
            <v>JAKARTA 2</v>
          </cell>
          <cell r="N12">
            <v>42856</v>
          </cell>
          <cell r="O12" t="str">
            <v>Jl. Bali RT. 002 RW. 003 Kel/Desa Paguyaman Kec. Kota Tengah Kota Gorontalo Provinsi Gorontalo</v>
          </cell>
          <cell r="P12" t="str">
            <v>K1</v>
          </cell>
          <cell r="Q12" t="str">
            <v>ISLAM</v>
          </cell>
          <cell r="R12" t="str">
            <v>L</v>
          </cell>
          <cell r="S12" t="str">
            <v>SMA</v>
          </cell>
          <cell r="T12" t="str">
            <v>PADANG</v>
          </cell>
          <cell r="U12">
            <v>29722</v>
          </cell>
          <cell r="V12">
            <v>44409</v>
          </cell>
          <cell r="W12">
            <v>44500</v>
          </cell>
          <cell r="X12" t="str">
            <v>PKWT 1</v>
          </cell>
          <cell r="Z12" t="str">
            <v xml:space="preserve">4 Tahun  3 Bulan 19 Hari </v>
          </cell>
          <cell r="AA12" t="str">
            <v>B 1 Umum</v>
          </cell>
          <cell r="AB12" t="str">
            <v>810520190019</v>
          </cell>
          <cell r="AC12">
            <v>45062</v>
          </cell>
        </row>
        <row r="13">
          <cell r="C13" t="str">
            <v>1007</v>
          </cell>
          <cell r="D13" t="str">
            <v>RIMAN PARIS</v>
          </cell>
          <cell r="E13" t="str">
            <v>MBK</v>
          </cell>
          <cell r="F13" t="str">
            <v>085746435080</v>
          </cell>
          <cell r="G13" t="str">
            <v>DRIVER</v>
          </cell>
          <cell r="K13" t="str">
            <v>GORONTALO</v>
          </cell>
          <cell r="L13" t="str">
            <v xml:space="preserve">PT.SUMBER ALFARIA TRIJAYA TBK </v>
          </cell>
          <cell r="M13" t="str">
            <v>JAKARTA 2</v>
          </cell>
          <cell r="N13">
            <v>43803</v>
          </cell>
          <cell r="O13" t="str">
            <v xml:space="preserve">DUSUN I RT. 000/000 KEL. PILOHAYANGA KEC. TELAGA </v>
          </cell>
          <cell r="P13" t="str">
            <v>K</v>
          </cell>
          <cell r="Q13" t="str">
            <v>ISLAM</v>
          </cell>
          <cell r="R13" t="str">
            <v>L</v>
          </cell>
          <cell r="S13" t="str">
            <v>SMK</v>
          </cell>
          <cell r="T13" t="str">
            <v>GORONTALO</v>
          </cell>
          <cell r="U13">
            <v>34673</v>
          </cell>
          <cell r="V13">
            <v>44409</v>
          </cell>
          <cell r="W13">
            <v>44439</v>
          </cell>
          <cell r="X13" t="str">
            <v xml:space="preserve">PHL </v>
          </cell>
          <cell r="Z13" t="str">
            <v xml:space="preserve">1 Tahun  8 Bulan 16 Hari </v>
          </cell>
          <cell r="AA13" t="str">
            <v>BI UMUM</v>
          </cell>
          <cell r="AB13" t="str">
            <v>941220200189</v>
          </cell>
        </row>
        <row r="14">
          <cell r="C14" t="str">
            <v>1367</v>
          </cell>
          <cell r="D14" t="str">
            <v xml:space="preserve">JOHAN LAKORU </v>
          </cell>
          <cell r="E14" t="str">
            <v>MBK</v>
          </cell>
          <cell r="F14" t="str">
            <v>085240704807</v>
          </cell>
          <cell r="G14" t="str">
            <v>DRIVER</v>
          </cell>
          <cell r="K14" t="str">
            <v>GORONTALO</v>
          </cell>
          <cell r="L14" t="str">
            <v xml:space="preserve">PT.SUMBER ALFARIA TRIJAYA TBK </v>
          </cell>
          <cell r="M14" t="str">
            <v>JAKARTA 2</v>
          </cell>
          <cell r="N14">
            <v>44116</v>
          </cell>
          <cell r="O14" t="str">
            <v xml:space="preserve">JL. BERINGIN RT. 003/003 BULADU KOTA GORONTALO </v>
          </cell>
          <cell r="P14" t="str">
            <v>K1</v>
          </cell>
          <cell r="Q14" t="str">
            <v>ISLAM</v>
          </cell>
          <cell r="R14" t="str">
            <v>L</v>
          </cell>
          <cell r="S14" t="str">
            <v>SMA</v>
          </cell>
          <cell r="T14" t="str">
            <v xml:space="preserve">GORONTALO </v>
          </cell>
          <cell r="U14">
            <v>32928</v>
          </cell>
          <cell r="V14">
            <v>44378</v>
          </cell>
          <cell r="W14">
            <v>44469</v>
          </cell>
          <cell r="X14" t="str">
            <v>PKWT 2</v>
          </cell>
          <cell r="Z14" t="str">
            <v xml:space="preserve">0 Tahun  10 Bulan 8 Hari </v>
          </cell>
          <cell r="AA14" t="str">
            <v>BI</v>
          </cell>
          <cell r="AB14" t="str">
            <v>2019160200170</v>
          </cell>
          <cell r="AC14">
            <v>44251</v>
          </cell>
        </row>
        <row r="15">
          <cell r="C15" t="str">
            <v>1368</v>
          </cell>
          <cell r="D15" t="str">
            <v xml:space="preserve">RISZKY RINALDI SABA </v>
          </cell>
          <cell r="E15" t="str">
            <v>MBK</v>
          </cell>
          <cell r="F15" t="str">
            <v>082192400627</v>
          </cell>
          <cell r="G15" t="str">
            <v>DRIVER</v>
          </cell>
          <cell r="K15" t="str">
            <v>GORONTALO</v>
          </cell>
          <cell r="L15" t="str">
            <v xml:space="preserve">PT.SUMBER ALFARIA TRIJAYA TBK </v>
          </cell>
          <cell r="M15" t="str">
            <v>JAKARTA 2</v>
          </cell>
          <cell r="N15">
            <v>44116</v>
          </cell>
          <cell r="O15" t="str">
            <v xml:space="preserve">JL. TAHIR MANYO DESA TINELO KEC. TELAGA BIRU KAB. GORONTALO </v>
          </cell>
          <cell r="P15" t="str">
            <v>L/DUDA</v>
          </cell>
          <cell r="Q15" t="str">
            <v>ISLAM</v>
          </cell>
          <cell r="R15" t="str">
            <v>L</v>
          </cell>
          <cell r="S15" t="str">
            <v>SMA</v>
          </cell>
          <cell r="T15" t="str">
            <v xml:space="preserve">GORONTALO </v>
          </cell>
          <cell r="U15">
            <v>36578</v>
          </cell>
          <cell r="V15">
            <v>44378</v>
          </cell>
          <cell r="W15">
            <v>44469</v>
          </cell>
          <cell r="X15" t="str">
            <v>PKWT 2</v>
          </cell>
          <cell r="Z15" t="str">
            <v xml:space="preserve">0 Tahun  10 Bulan 8 Hari </v>
          </cell>
          <cell r="AA15" t="str">
            <v>BI</v>
          </cell>
          <cell r="AB15" t="str">
            <v>940220200221</v>
          </cell>
          <cell r="AC15">
            <v>44984</v>
          </cell>
        </row>
        <row r="16">
          <cell r="C16">
            <v>1807</v>
          </cell>
          <cell r="D16" t="str">
            <v>ZULKIFLI ISHAK</v>
          </cell>
          <cell r="E16" t="str">
            <v>MBK</v>
          </cell>
          <cell r="F16">
            <v>81293956417</v>
          </cell>
          <cell r="G16" t="str">
            <v>DRIVER</v>
          </cell>
          <cell r="K16" t="str">
            <v>GORONTALO</v>
          </cell>
          <cell r="L16" t="str">
            <v>PT.SUMBER ALFARIA TRIJAYA TBK</v>
          </cell>
          <cell r="M16" t="str">
            <v>JAKARTA 2</v>
          </cell>
          <cell r="N16">
            <v>44232</v>
          </cell>
          <cell r="O16" t="str">
            <v>LINGKUNGAN IV RT 032/010 KEL. HUNGGALUWA KEC. LIMBOTO KAB GORONTALO</v>
          </cell>
          <cell r="P16" t="str">
            <v>L</v>
          </cell>
          <cell r="Q16" t="str">
            <v>ISLAM</v>
          </cell>
          <cell r="R16" t="str">
            <v>L</v>
          </cell>
          <cell r="S16" t="str">
            <v>SMA</v>
          </cell>
          <cell r="T16" t="str">
            <v>LIMBOTO</v>
          </cell>
          <cell r="U16">
            <v>35861</v>
          </cell>
          <cell r="V16">
            <v>44409</v>
          </cell>
          <cell r="W16">
            <v>44439</v>
          </cell>
          <cell r="X16" t="str">
            <v xml:space="preserve">PHL </v>
          </cell>
          <cell r="Z16" t="str">
            <v xml:space="preserve">0 Tahun  6 Bulan 15 Hari </v>
          </cell>
          <cell r="AA16" t="str">
            <v>BI</v>
          </cell>
          <cell r="AB16" t="str">
            <v>20209803000048</v>
          </cell>
          <cell r="AC16">
            <v>45963</v>
          </cell>
        </row>
        <row r="17">
          <cell r="C17" t="str">
            <v>1907</v>
          </cell>
          <cell r="D17" t="str">
            <v>ABDUL RAHMAN ANDRI TAHIR</v>
          </cell>
          <cell r="E17" t="str">
            <v>MBK</v>
          </cell>
          <cell r="F17" t="str">
            <v>082349633332</v>
          </cell>
          <cell r="G17" t="str">
            <v>DRIVER</v>
          </cell>
          <cell r="K17" t="str">
            <v>GORONTALO</v>
          </cell>
          <cell r="L17" t="str">
            <v>PT.SUMBER ALFARIA TRIJAYA TBK</v>
          </cell>
          <cell r="M17" t="str">
            <v>JAKARTA 2</v>
          </cell>
          <cell r="N17">
            <v>44313</v>
          </cell>
          <cell r="O17" t="str">
            <v>JL. PADJAJARAN RT 001/002 KEL. TAMALATE KEC. KOTA TIMUR KOTA GORONTALO</v>
          </cell>
          <cell r="P17" t="str">
            <v>K3</v>
          </cell>
          <cell r="Q17" t="str">
            <v>ISLAM</v>
          </cell>
          <cell r="R17" t="str">
            <v>L</v>
          </cell>
          <cell r="S17" t="str">
            <v>SMA</v>
          </cell>
          <cell r="T17" t="str">
            <v>GORONTALO</v>
          </cell>
          <cell r="U17">
            <v>33724</v>
          </cell>
          <cell r="V17">
            <v>44409</v>
          </cell>
          <cell r="W17">
            <v>44500</v>
          </cell>
          <cell r="X17" t="str">
            <v>PKWT 2</v>
          </cell>
          <cell r="Z17" t="str">
            <v xml:space="preserve">0 Tahun  3 Bulan 24 Hari </v>
          </cell>
          <cell r="AA17" t="str">
            <v>BI UMUM</v>
          </cell>
          <cell r="AB17" t="str">
            <v>20199204000068</v>
          </cell>
          <cell r="AC17">
            <v>46096</v>
          </cell>
        </row>
        <row r="18">
          <cell r="C18" t="str">
            <v>2359</v>
          </cell>
          <cell r="D18" t="str">
            <v>OKTAFIANUS F SAGENA</v>
          </cell>
          <cell r="E18" t="str">
            <v>MBK</v>
          </cell>
          <cell r="F18" t="str">
            <v>085248094120</v>
          </cell>
          <cell r="I18" t="str">
            <v>CHECKER</v>
          </cell>
          <cell r="K18" t="str">
            <v>GORONTALO</v>
          </cell>
          <cell r="L18" t="str">
            <v xml:space="preserve">PT.SUMBER ALFARIA TRIJAYA TBK </v>
          </cell>
          <cell r="M18" t="str">
            <v>JAKARTA 2</v>
          </cell>
          <cell r="N18">
            <v>44336</v>
          </cell>
          <cell r="O18" t="str">
            <v>JL. RAYA TOLANGOHULA LINGKUNGAN II RT -/- KEL. KAYU MERAH KEC. LIMBOTO KAB. GORONTALO</v>
          </cell>
          <cell r="P18" t="str">
            <v>L</v>
          </cell>
          <cell r="Q18" t="str">
            <v>KRISTEN</v>
          </cell>
          <cell r="R18" t="str">
            <v>L</v>
          </cell>
          <cell r="S18" t="str">
            <v>SMA</v>
          </cell>
          <cell r="T18" t="str">
            <v>POPAYATO</v>
          </cell>
          <cell r="U18">
            <v>35712</v>
          </cell>
          <cell r="V18">
            <v>44336</v>
          </cell>
          <cell r="W18">
            <v>44439</v>
          </cell>
          <cell r="X18" t="str">
            <v>PKWT 1</v>
          </cell>
          <cell r="Z18" t="str">
            <v xml:space="preserve">0 Tahun  3 Bulan 0 Hari </v>
          </cell>
          <cell r="AA18" t="str">
            <v>NON DRIVER</v>
          </cell>
          <cell r="AB18" t="str">
            <v>NON DRIVER</v>
          </cell>
          <cell r="AC18" t="str">
            <v>NON DRIVER</v>
          </cell>
        </row>
        <row r="19">
          <cell r="C19" t="str">
            <v>2447</v>
          </cell>
          <cell r="D19" t="str">
            <v>MARTHO PAKAYA</v>
          </cell>
          <cell r="E19" t="str">
            <v>MBK</v>
          </cell>
          <cell r="F19" t="str">
            <v>082271199399</v>
          </cell>
          <cell r="G19" t="str">
            <v>DRIVER</v>
          </cell>
          <cell r="K19" t="str">
            <v>GORONTALO</v>
          </cell>
          <cell r="L19" t="str">
            <v>PT.SUMBER ALFARIA TRIJAYA TBK</v>
          </cell>
          <cell r="M19" t="str">
            <v>JAKARTA 2</v>
          </cell>
          <cell r="N19">
            <v>44350</v>
          </cell>
          <cell r="O19" t="str">
            <v>DUSUN II RT-/- KEL. HUTABOHU KEC. LIMBOTO BARAT KAB. GORONTALO</v>
          </cell>
          <cell r="P19" t="str">
            <v>K</v>
          </cell>
          <cell r="Q19" t="str">
            <v>ISLAM</v>
          </cell>
          <cell r="R19" t="str">
            <v>L</v>
          </cell>
          <cell r="S19" t="str">
            <v>SMA</v>
          </cell>
          <cell r="T19" t="str">
            <v>TAHELE</v>
          </cell>
          <cell r="U19">
            <v>31859</v>
          </cell>
          <cell r="V19">
            <v>44350</v>
          </cell>
          <cell r="W19">
            <v>44439</v>
          </cell>
          <cell r="X19" t="str">
            <v>PKWT 1</v>
          </cell>
          <cell r="Z19" t="str">
            <v xml:space="preserve">0 Tahun  2 Bulan 17 Hari </v>
          </cell>
          <cell r="AA19" t="str">
            <v>BII UMUM</v>
          </cell>
          <cell r="AB19" t="str">
            <v>20198703000012</v>
          </cell>
          <cell r="AC19">
            <v>45707</v>
          </cell>
        </row>
        <row r="20">
          <cell r="C20" t="str">
            <v>2584</v>
          </cell>
          <cell r="D20" t="str">
            <v>ZULKIFLI BAKARI</v>
          </cell>
          <cell r="E20" t="str">
            <v>MBK</v>
          </cell>
          <cell r="F20" t="str">
            <v>085215845067</v>
          </cell>
          <cell r="G20" t="str">
            <v>DRIVER</v>
          </cell>
          <cell r="K20" t="str">
            <v>GORONTALO</v>
          </cell>
          <cell r="L20" t="str">
            <v>PT. SUMBER ALFARIA TRIJAYA TBK</v>
          </cell>
          <cell r="M20" t="str">
            <v>JAKARTA 2</v>
          </cell>
          <cell r="N20">
            <v>44382</v>
          </cell>
          <cell r="O20" t="str">
            <v>JL. TAMAN BUNGA RT 001/005 KEL. MOODU KEC. KOTA TIMUR GORONTALO</v>
          </cell>
          <cell r="P20" t="str">
            <v>K2</v>
          </cell>
          <cell r="Q20" t="str">
            <v>ISLAM</v>
          </cell>
          <cell r="R20" t="str">
            <v>L</v>
          </cell>
          <cell r="S20" t="str">
            <v>SMA</v>
          </cell>
          <cell r="T20" t="str">
            <v>PAGIMANA</v>
          </cell>
          <cell r="U20">
            <v>31256</v>
          </cell>
          <cell r="V20">
            <v>44382</v>
          </cell>
          <cell r="W20">
            <v>44469</v>
          </cell>
          <cell r="X20" t="str">
            <v>PKWT 1</v>
          </cell>
          <cell r="Z20" t="str">
            <v xml:space="preserve">0 Tahun  1 Bulan 15 Hari </v>
          </cell>
          <cell r="AA20" t="str">
            <v>BI</v>
          </cell>
          <cell r="AB20" t="str">
            <v>20198007000038</v>
          </cell>
          <cell r="AC20">
            <v>46075</v>
          </cell>
        </row>
        <row r="21">
          <cell r="C21" t="str">
            <v>643</v>
          </cell>
          <cell r="D21" t="str">
            <v>ANDIKA BILONDATU</v>
          </cell>
          <cell r="E21" t="str">
            <v>MBK</v>
          </cell>
          <cell r="F21">
            <v>85396924884</v>
          </cell>
          <cell r="G21" t="str">
            <v>DRIVER</v>
          </cell>
          <cell r="K21" t="str">
            <v>GORONTALO</v>
          </cell>
          <cell r="L21" t="str">
            <v xml:space="preserve">PT.SUMBER ALFARIA TRIJAYA TBK </v>
          </cell>
          <cell r="M21" t="str">
            <v>JAKARTA 2</v>
          </cell>
          <cell r="N21">
            <v>44412</v>
          </cell>
          <cell r="O21" t="str">
            <v>Dusun II RT. 000 RW. 000 Kel/Desa Tuladenggi Kec. Telaga Biru Kab. Gorontalo Provinsi Gorontalo</v>
          </cell>
          <cell r="P21" t="str">
            <v>K1</v>
          </cell>
          <cell r="Q21" t="str">
            <v>ISLAM</v>
          </cell>
          <cell r="R21" t="str">
            <v>L</v>
          </cell>
          <cell r="S21" t="str">
            <v>SMA</v>
          </cell>
          <cell r="T21" t="str">
            <v>TULADENGGI</v>
          </cell>
          <cell r="U21">
            <v>34802</v>
          </cell>
          <cell r="V21">
            <v>44412</v>
          </cell>
          <cell r="W21">
            <v>44500</v>
          </cell>
          <cell r="X21" t="str">
            <v>PKWT 1</v>
          </cell>
          <cell r="Z21" t="str">
            <v xml:space="preserve">0 Tahun  0 Bulan 16 Hari </v>
          </cell>
          <cell r="AA21" t="str">
            <v>B I</v>
          </cell>
          <cell r="AB21" t="str">
            <v>950420200266</v>
          </cell>
          <cell r="AC21">
            <v>45029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11.xml.rels><?xml version="1.0" encoding="UTF-8" standalone="yes"?>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6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_rels/sheet3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40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tabColor theme="4" tint="-0.499984740745262"/>
  </sheetPr>
  <dimension ref="A1:BP129"/>
  <sheetViews>
    <sheetView zoomScale="85" zoomScaleNormal="85" workbookViewId="0">
      <pane xSplit="7" ySplit="6" topLeftCell="H91" activePane="bottomRight" state="frozen"/>
      <selection pane="topRight"/>
      <selection pane="bottomLeft"/>
      <selection pane="bottomRight" sqref="A1:XFD1048576"/>
    </sheetView>
  </sheetViews>
  <sheetFormatPr defaultColWidth="9" defaultRowHeight="12"/>
  <cols>
    <col min="1" max="1" width="4.85546875" customWidth="1" style="182"/>
    <col min="2" max="2" width="7" customWidth="1" style="183"/>
    <col min="3" max="3" width="24.85546875" customWidth="1" style="184"/>
    <col min="4" max="4" width="15.85546875" customWidth="1" style="183"/>
    <col min="5" max="5" hidden="1" width="15.42578125" customWidth="1" style="183"/>
    <col min="6" max="6" hidden="1" width="7.7109375" customWidth="1" style="183"/>
    <col min="7" max="7" width="13.7109375" customWidth="1" style="185"/>
    <col min="8" max="8" width="11.85546875" customWidth="1" style="185"/>
    <col min="9" max="9" width="13.7109375" customWidth="1" style="182"/>
    <col min="10" max="12" width="11" customWidth="1" style="182"/>
    <col min="13" max="13" width="11.85546875" customWidth="1" style="185"/>
    <col min="14" max="15" width="13.28515625" customWidth="1" style="182"/>
    <col min="16" max="16" width="11" customWidth="1" style="182"/>
    <col min="17" max="17" width="9.42578125" customWidth="1" style="182"/>
    <col min="18" max="18" width="12" customWidth="1" style="182"/>
    <col min="19" max="19" width="11" customWidth="1" style="182"/>
    <col min="20" max="20" width="14.5703125" customWidth="1" style="182"/>
    <col min="21" max="21" width="11.7109375" customWidth="1" style="183"/>
    <col min="22" max="22" width="12.42578125" customWidth="1" style="183"/>
    <col min="23" max="24" width="8.7109375" customWidth="1" style="181"/>
    <col min="25" max="25" width="9.85546875" customWidth="1" style="876"/>
    <col min="26" max="26" width="9" customWidth="1" style="188"/>
    <col min="27" max="68" width="9" customWidth="1" style="181"/>
    <col min="69" max="16384" width="9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792"/>
      <c r="N1" s="792"/>
      <c r="O1" s="792"/>
      <c r="P1" s="792"/>
      <c r="U1" s="189"/>
      <c r="V1" s="187"/>
      <c r="Y1" s="925"/>
      <c r="Z1" s="242"/>
    </row>
    <row r="2" ht="12.75" s="178" customFormat="1">
      <c r="A2" s="186" t="s">
        <v>239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791"/>
      <c r="N2" s="791"/>
      <c r="O2" s="791"/>
      <c r="P2" s="791"/>
      <c r="Q2" s="194"/>
      <c r="R2" s="194"/>
      <c r="S2" s="194"/>
      <c r="T2" s="194"/>
      <c r="U2" s="191"/>
      <c r="V2" s="191"/>
      <c r="Y2" s="925"/>
      <c r="Z2" s="242"/>
    </row>
    <row r="3" ht="12.75" s="178" customFormat="1">
      <c r="A3" s="186" t="s">
        <v>240</v>
      </c>
      <c r="B3" s="187"/>
      <c r="C3" s="188"/>
      <c r="D3" s="189"/>
      <c r="E3" s="189"/>
      <c r="F3" s="191"/>
      <c r="G3" s="193"/>
      <c r="H3" s="193"/>
      <c r="I3" s="502"/>
      <c r="J3" s="502"/>
      <c r="M3" s="792"/>
      <c r="N3" s="792"/>
      <c r="O3" s="792"/>
      <c r="P3" s="792"/>
      <c r="R3" s="190"/>
      <c r="U3" s="189"/>
      <c r="V3" s="187"/>
      <c r="Y3" s="925"/>
      <c r="Z3" s="242"/>
    </row>
    <row r="4" s="178" customFormat="1">
      <c r="A4" s="195"/>
      <c r="B4" s="187"/>
      <c r="C4" s="188"/>
      <c r="D4" s="189"/>
      <c r="E4" s="189"/>
      <c r="F4" s="191"/>
      <c r="G4" s="877">
        <v>2877448</v>
      </c>
      <c r="H4" s="877"/>
      <c r="I4" s="502"/>
      <c r="J4" s="502"/>
      <c r="M4" s="792"/>
      <c r="N4" s="792"/>
      <c r="O4" s="792"/>
      <c r="P4" s="792"/>
      <c r="U4" s="189"/>
      <c r="V4" s="187"/>
      <c r="Y4" s="925"/>
      <c r="Z4" s="242"/>
    </row>
    <row r="5" s="178" customFormat="1">
      <c r="A5" s="195"/>
      <c r="B5" s="187"/>
      <c r="C5" s="188"/>
      <c r="D5" s="189"/>
      <c r="E5" s="189"/>
      <c r="F5" s="191"/>
      <c r="G5" s="662"/>
      <c r="H5" s="662"/>
      <c r="I5" s="502"/>
      <c r="J5" s="502"/>
      <c r="M5" s="792"/>
      <c r="N5" s="792"/>
      <c r="O5" s="792"/>
      <c r="P5" s="792"/>
      <c r="U5" s="189"/>
      <c r="V5" s="187"/>
      <c r="Y5" s="925"/>
      <c r="Z5" s="242"/>
    </row>
    <row r="6" ht="33.75" customHeight="1" s="179" customFormat="1">
      <c r="A6" s="429" t="s">
        <v>36</v>
      </c>
      <c r="B6" s="430" t="s">
        <v>37</v>
      </c>
      <c r="C6" s="430" t="s">
        <v>38</v>
      </c>
      <c r="D6" s="430" t="s">
        <v>39</v>
      </c>
      <c r="E6" s="430" t="s">
        <v>40</v>
      </c>
      <c r="F6" s="431" t="s">
        <v>41</v>
      </c>
      <c r="G6" s="432" t="s">
        <v>42</v>
      </c>
      <c r="H6" s="432" t="s">
        <v>43</v>
      </c>
      <c r="I6" s="433" t="s">
        <v>44</v>
      </c>
      <c r="J6" s="219" t="s">
        <v>45</v>
      </c>
      <c r="K6" s="219" t="s">
        <v>46</v>
      </c>
      <c r="L6" s="453" t="s">
        <v>241</v>
      </c>
      <c r="M6" s="453" t="s">
        <v>48</v>
      </c>
      <c r="N6" s="221" t="s">
        <v>49</v>
      </c>
      <c r="O6" s="794" t="s">
        <v>50</v>
      </c>
      <c r="P6" s="801" t="s">
        <v>52</v>
      </c>
      <c r="Q6" s="221" t="s">
        <v>53</v>
      </c>
      <c r="R6" s="462" t="s">
        <v>54</v>
      </c>
      <c r="S6" s="463" t="s">
        <v>55</v>
      </c>
      <c r="T6" s="463" t="s">
        <v>56</v>
      </c>
      <c r="U6" s="463" t="s">
        <v>57</v>
      </c>
      <c r="V6" s="464" t="s">
        <v>58</v>
      </c>
      <c r="W6" s="822"/>
      <c r="X6" s="822"/>
      <c r="Y6" s="926"/>
      <c r="Z6" s="927"/>
      <c r="AA6" s="822"/>
      <c r="AB6" s="822"/>
      <c r="AC6" s="822"/>
      <c r="AD6" s="822"/>
      <c r="AE6" s="822"/>
      <c r="AF6" s="822"/>
      <c r="AG6" s="822"/>
      <c r="AH6" s="822"/>
      <c r="AI6" s="822"/>
      <c r="AJ6" s="822"/>
      <c r="AK6" s="822"/>
      <c r="AL6" s="822"/>
      <c r="AM6" s="822"/>
      <c r="AN6" s="822"/>
      <c r="AO6" s="822"/>
      <c r="AP6" s="822"/>
      <c r="AQ6" s="822"/>
      <c r="AR6" s="822"/>
      <c r="AS6" s="822"/>
      <c r="AT6" s="822"/>
      <c r="AU6" s="822"/>
      <c r="AV6" s="822"/>
      <c r="AW6" s="822"/>
      <c r="AX6" s="822"/>
      <c r="AY6" s="822"/>
      <c r="AZ6" s="822"/>
      <c r="BA6" s="822"/>
      <c r="BB6" s="822"/>
      <c r="BC6" s="822"/>
      <c r="BD6" s="822"/>
      <c r="BE6" s="822"/>
      <c r="BF6" s="822"/>
      <c r="BG6" s="822"/>
      <c r="BH6" s="822"/>
      <c r="BI6" s="822"/>
      <c r="BJ6" s="822"/>
      <c r="BK6" s="822"/>
      <c r="BL6" s="822"/>
      <c r="BM6" s="822"/>
      <c r="BN6" s="822"/>
      <c r="BO6" s="822"/>
      <c r="BP6" s="822"/>
    </row>
    <row r="7" ht="18" customHeight="1" s="181" customFormat="1">
      <c r="A7" s="878" t="s">
        <v>59</v>
      </c>
      <c r="B7" s="960" t="s">
        <v>242</v>
      </c>
      <c r="C7" s="879" t="s">
        <v>20</v>
      </c>
      <c r="D7" s="1017" t="s">
        <v>61</v>
      </c>
      <c r="E7" s="772" t="s">
        <v>243</v>
      </c>
      <c r="F7" s="772" t="s">
        <v>63</v>
      </c>
      <c r="G7" s="771">
        <f>2877448</f>
        <v>2877448</v>
      </c>
      <c r="H7" s="771"/>
      <c r="I7" s="224">
        <f>+$G$4*4.89%</f>
        <v>140707.2072</v>
      </c>
      <c r="J7" s="224">
        <f>+$G$4*4%</f>
        <v>115097.92</v>
      </c>
      <c r="K7" s="224">
        <f>+$G$4*2%</f>
        <v>57548.96</v>
      </c>
      <c r="L7" s="224">
        <v>1667</v>
      </c>
      <c r="M7" s="304">
        <f>SUM(G7:L7)</f>
        <v>3192469.0872</v>
      </c>
      <c r="N7" s="304">
        <f ref="N7:N15" t="shared" si="0">+M7*8%</f>
        <v>255397.526976</v>
      </c>
      <c r="O7" s="304"/>
      <c r="P7" s="394">
        <f>25*10000</f>
        <v>250000</v>
      </c>
      <c r="Q7" s="632">
        <f>+$G$4/173*60</f>
        <v>997958.843930636</v>
      </c>
      <c r="R7" s="309">
        <f ref="R7:R15" t="shared" si="1">SUM(M7:Q7)</f>
        <v>4695825.45810664</v>
      </c>
      <c r="S7" s="309">
        <f ref="S7:S15" t="shared" si="2">N7*0.1</f>
        <v>25539.7526976</v>
      </c>
      <c r="T7" s="310">
        <f ref="T7:T15" t="shared" si="3">R7+S7</f>
        <v>4721365.21080424</v>
      </c>
      <c r="U7" s="904">
        <v>44409</v>
      </c>
      <c r="V7" s="905">
        <v>44439</v>
      </c>
      <c r="X7" s="906"/>
      <c r="Y7" s="906"/>
      <c r="Z7" s="188"/>
    </row>
    <row r="8" ht="18" customHeight="1" s="181" customFormat="1">
      <c r="A8" s="878" t="s">
        <v>59</v>
      </c>
      <c r="B8" s="960" t="s">
        <v>244</v>
      </c>
      <c r="C8" s="879" t="s">
        <v>22</v>
      </c>
      <c r="D8" s="1017" t="s">
        <v>245</v>
      </c>
      <c r="E8" s="772" t="s">
        <v>243</v>
      </c>
      <c r="F8" s="772" t="s">
        <v>63</v>
      </c>
      <c r="G8" s="771">
        <f ref="G8:G14" t="shared" si="4">2877448</f>
        <v>2877448</v>
      </c>
      <c r="H8" s="771"/>
      <c r="I8" s="224">
        <f ref="I8:I13" t="shared" si="5">+$G$4*4.89%</f>
        <v>140707.2072</v>
      </c>
      <c r="J8" s="224">
        <f ref="J8:J13" t="shared" si="6">+$G$4*4%</f>
        <v>115097.92</v>
      </c>
      <c r="K8" s="224">
        <f ref="K8:K13" t="shared" si="7">+$G$4*2%</f>
        <v>57548.96</v>
      </c>
      <c r="L8" s="224">
        <v>1667</v>
      </c>
      <c r="M8" s="304">
        <f ref="M8:M15" t="shared" si="8">SUM(G8:L8)</f>
        <v>3192469.0872</v>
      </c>
      <c r="N8" s="304">
        <f t="shared" si="0"/>
        <v>255397.526976</v>
      </c>
      <c r="O8" s="304"/>
      <c r="P8" s="394">
        <f>25*10000</f>
        <v>250000</v>
      </c>
      <c r="Q8" s="632">
        <f>+$G$4/173*45</f>
        <v>748469.132947977</v>
      </c>
      <c r="R8" s="309">
        <f t="shared" si="1"/>
        <v>4446335.74712398</v>
      </c>
      <c r="S8" s="309">
        <f t="shared" si="2"/>
        <v>25539.7526976</v>
      </c>
      <c r="T8" s="310">
        <f t="shared" si="3"/>
        <v>4471875.49982158</v>
      </c>
      <c r="U8" s="904">
        <v>44409</v>
      </c>
      <c r="V8" s="905">
        <v>44500</v>
      </c>
      <c r="X8" s="906"/>
      <c r="Y8" s="906"/>
      <c r="Z8" s="188"/>
    </row>
    <row r="9" ht="18" customHeight="1" s="181" customFormat="1">
      <c r="A9" s="878" t="s">
        <v>59</v>
      </c>
      <c r="B9" s="960" t="s">
        <v>246</v>
      </c>
      <c r="C9" s="880" t="s">
        <v>32</v>
      </c>
      <c r="D9" s="1017" t="s">
        <v>69</v>
      </c>
      <c r="E9" s="772" t="s">
        <v>243</v>
      </c>
      <c r="F9" s="772" t="s">
        <v>63</v>
      </c>
      <c r="G9" s="771">
        <f t="shared" si="4"/>
        <v>2877448</v>
      </c>
      <c r="H9" s="771"/>
      <c r="I9" s="224">
        <f t="shared" si="5"/>
        <v>140707.2072</v>
      </c>
      <c r="J9" s="224">
        <f t="shared" si="6"/>
        <v>115097.92</v>
      </c>
      <c r="K9" s="224">
        <f t="shared" si="7"/>
        <v>57548.96</v>
      </c>
      <c r="L9" s="224">
        <v>1667</v>
      </c>
      <c r="M9" s="304">
        <f t="shared" si="8"/>
        <v>3192469.0872</v>
      </c>
      <c r="N9" s="304">
        <f t="shared" si="0"/>
        <v>255397.526976</v>
      </c>
      <c r="O9" s="304"/>
      <c r="P9" s="394">
        <f>26*12000</f>
        <v>312000</v>
      </c>
      <c r="Q9" s="632">
        <f>+$G$4/173*52</f>
        <v>864897.664739884</v>
      </c>
      <c r="R9" s="309">
        <f t="shared" si="1"/>
        <v>4624764.27891588</v>
      </c>
      <c r="S9" s="309">
        <f t="shared" si="2"/>
        <v>25539.7526976</v>
      </c>
      <c r="T9" s="310">
        <f t="shared" si="3"/>
        <v>4650304.03161348</v>
      </c>
      <c r="U9" s="904">
        <v>44378</v>
      </c>
      <c r="V9" s="905">
        <v>44469</v>
      </c>
      <c r="X9" s="906"/>
      <c r="Y9" s="906"/>
      <c r="Z9" s="188"/>
    </row>
    <row r="10" ht="18" customHeight="1" s="181" customFormat="1">
      <c r="A10" s="878" t="s">
        <v>59</v>
      </c>
      <c r="B10" s="960" t="s">
        <v>247</v>
      </c>
      <c r="C10" s="880" t="s">
        <v>248</v>
      </c>
      <c r="D10" s="1017" t="s">
        <v>69</v>
      </c>
      <c r="E10" s="772" t="s">
        <v>243</v>
      </c>
      <c r="F10" s="772" t="s">
        <v>63</v>
      </c>
      <c r="G10" s="771">
        <f t="shared" si="4"/>
        <v>2877448</v>
      </c>
      <c r="H10" s="771"/>
      <c r="I10" s="224">
        <f t="shared" si="5"/>
        <v>140707.2072</v>
      </c>
      <c r="J10" s="224">
        <f t="shared" si="6"/>
        <v>115097.92</v>
      </c>
      <c r="K10" s="224">
        <f t="shared" si="7"/>
        <v>57548.96</v>
      </c>
      <c r="L10" s="224">
        <v>1667</v>
      </c>
      <c r="M10" s="304">
        <f t="shared" si="8"/>
        <v>3192469.0872</v>
      </c>
      <c r="N10" s="304">
        <f t="shared" si="0"/>
        <v>255397.526976</v>
      </c>
      <c r="O10" s="304"/>
      <c r="P10" s="394">
        <f>26*12000</f>
        <v>312000</v>
      </c>
      <c r="Q10" s="632">
        <f>+$G$4/173*52.5</f>
        <v>873213.988439306</v>
      </c>
      <c r="R10" s="309">
        <f t="shared" si="1"/>
        <v>4633080.60261531</v>
      </c>
      <c r="S10" s="309">
        <f t="shared" si="2"/>
        <v>25539.7526976</v>
      </c>
      <c r="T10" s="310">
        <f t="shared" si="3"/>
        <v>4658620.35531291</v>
      </c>
      <c r="U10" s="904">
        <v>44378</v>
      </c>
      <c r="V10" s="905">
        <v>44469</v>
      </c>
      <c r="X10" s="906"/>
      <c r="Y10" s="906"/>
      <c r="Z10" s="188"/>
    </row>
    <row r="11" ht="18" customHeight="1" s="181" customFormat="1">
      <c r="A11" s="878" t="s">
        <v>59</v>
      </c>
      <c r="B11" s="960" t="s">
        <v>249</v>
      </c>
      <c r="C11" s="879" t="s">
        <v>250</v>
      </c>
      <c r="D11" s="1017" t="s">
        <v>78</v>
      </c>
      <c r="E11" s="772" t="s">
        <v>243</v>
      </c>
      <c r="F11" s="772" t="s">
        <v>63</v>
      </c>
      <c r="G11" s="771">
        <f t="shared" si="4"/>
        <v>2877448</v>
      </c>
      <c r="H11" s="771"/>
      <c r="I11" s="224">
        <f t="shared" si="5"/>
        <v>140707.2072</v>
      </c>
      <c r="J11" s="224">
        <f t="shared" si="6"/>
        <v>115097.92</v>
      </c>
      <c r="K11" s="224">
        <f t="shared" si="7"/>
        <v>57548.96</v>
      </c>
      <c r="L11" s="224">
        <v>1667</v>
      </c>
      <c r="M11" s="304">
        <f t="shared" si="8"/>
        <v>3192469.0872</v>
      </c>
      <c r="N11" s="304">
        <f t="shared" si="0"/>
        <v>255397.526976</v>
      </c>
      <c r="O11" s="304"/>
      <c r="P11" s="394">
        <f>24*10000</f>
        <v>240000</v>
      </c>
      <c r="Q11" s="632">
        <f>+$G$4/173*35.5</f>
        <v>590458.98265896</v>
      </c>
      <c r="R11" s="309">
        <f t="shared" si="1"/>
        <v>4278325.59683496</v>
      </c>
      <c r="S11" s="309">
        <f t="shared" si="2"/>
        <v>25539.7526976</v>
      </c>
      <c r="T11" s="310">
        <f t="shared" si="3"/>
        <v>4303865.34953256</v>
      </c>
      <c r="U11" s="904">
        <v>44378</v>
      </c>
      <c r="V11" s="905">
        <v>44469</v>
      </c>
      <c r="X11" s="906"/>
      <c r="Y11" s="906"/>
      <c r="Z11" s="188"/>
    </row>
    <row r="12" ht="18" customHeight="1" s="181" customFormat="1">
      <c r="A12" s="878" t="s">
        <v>59</v>
      </c>
      <c r="B12" s="960" t="s">
        <v>251</v>
      </c>
      <c r="C12" s="880" t="s">
        <v>252</v>
      </c>
      <c r="D12" s="1017" t="s">
        <v>253</v>
      </c>
      <c r="E12" s="772" t="s">
        <v>243</v>
      </c>
      <c r="F12" s="772" t="s">
        <v>63</v>
      </c>
      <c r="G12" s="771">
        <f t="shared" si="4"/>
        <v>2877448</v>
      </c>
      <c r="H12" s="893"/>
      <c r="I12" s="224">
        <f t="shared" si="5"/>
        <v>140707.2072</v>
      </c>
      <c r="J12" s="224">
        <f t="shared" si="6"/>
        <v>115097.92</v>
      </c>
      <c r="K12" s="224">
        <f t="shared" si="7"/>
        <v>57548.96</v>
      </c>
      <c r="L12" s="224">
        <v>1667</v>
      </c>
      <c r="M12" s="304">
        <f t="shared" si="8"/>
        <v>3192469.0872</v>
      </c>
      <c r="N12" s="304">
        <f t="shared" si="0"/>
        <v>255397.526976</v>
      </c>
      <c r="O12" s="304"/>
      <c r="P12" s="394">
        <f>24*10000</f>
        <v>240000</v>
      </c>
      <c r="Q12" s="632">
        <f>+$G$4/173*44</f>
        <v>731836.485549133</v>
      </c>
      <c r="R12" s="309">
        <f t="shared" si="1"/>
        <v>4419703.099725133</v>
      </c>
      <c r="S12" s="309">
        <f t="shared" si="2"/>
        <v>25539.7526976</v>
      </c>
      <c r="T12" s="310">
        <f t="shared" si="3"/>
        <v>4445242.852422733</v>
      </c>
      <c r="U12" s="904">
        <v>44348</v>
      </c>
      <c r="V12" s="905">
        <v>44439</v>
      </c>
      <c r="X12" s="906"/>
      <c r="Y12" s="906"/>
      <c r="Z12" s="188"/>
    </row>
    <row r="13" ht="18" customHeight="1" s="181" customFormat="1">
      <c r="A13" s="878" t="s">
        <v>59</v>
      </c>
      <c r="B13" s="380" t="s">
        <v>254</v>
      </c>
      <c r="C13" s="769" t="s">
        <v>255</v>
      </c>
      <c r="D13" s="331" t="s">
        <v>256</v>
      </c>
      <c r="E13" s="380" t="s">
        <v>243</v>
      </c>
      <c r="F13" s="380" t="s">
        <v>63</v>
      </c>
      <c r="G13" s="771">
        <f t="shared" si="4"/>
        <v>2877448</v>
      </c>
      <c r="H13" s="771"/>
      <c r="I13" s="224">
        <f t="shared" si="5"/>
        <v>140707.2072</v>
      </c>
      <c r="J13" s="224">
        <f t="shared" si="6"/>
        <v>115097.92</v>
      </c>
      <c r="K13" s="224">
        <f t="shared" si="7"/>
        <v>57548.96</v>
      </c>
      <c r="L13" s="224">
        <v>1667</v>
      </c>
      <c r="M13" s="304">
        <f t="shared" si="8"/>
        <v>3192469.0872</v>
      </c>
      <c r="N13" s="715">
        <f t="shared" si="0"/>
        <v>255397.526976</v>
      </c>
      <c r="O13" s="304"/>
      <c r="P13" s="394">
        <f>25*10000</f>
        <v>250000</v>
      </c>
      <c r="Q13" s="632">
        <f>+$G$4/173*35</f>
        <v>582142.658959538</v>
      </c>
      <c r="R13" s="236">
        <f t="shared" si="1"/>
        <v>4280009.27313554</v>
      </c>
      <c r="S13" s="309">
        <f t="shared" si="2"/>
        <v>25539.7526976</v>
      </c>
      <c r="T13" s="237">
        <f t="shared" si="3"/>
        <v>4305549.02583314</v>
      </c>
      <c r="U13" s="904">
        <v>44378</v>
      </c>
      <c r="V13" s="905">
        <v>44469</v>
      </c>
      <c r="X13" s="906"/>
      <c r="Y13" s="906"/>
      <c r="Z13" s="188"/>
    </row>
    <row r="14" ht="18" customHeight="1" s="181" customFormat="1">
      <c r="A14" s="878" t="s">
        <v>59</v>
      </c>
      <c r="B14" s="380" t="s">
        <v>257</v>
      </c>
      <c r="C14" s="769" t="s">
        <v>258</v>
      </c>
      <c r="D14" s="331" t="s">
        <v>256</v>
      </c>
      <c r="E14" s="380" t="s">
        <v>243</v>
      </c>
      <c r="F14" s="380" t="s">
        <v>63</v>
      </c>
      <c r="G14" s="881">
        <f t="shared" si="4"/>
        <v>2877448</v>
      </c>
      <c r="H14" s="882"/>
      <c r="I14" s="332">
        <f ref="I14:I88" t="shared" si="11">+$G$4*4.89%</f>
        <v>140707.2072</v>
      </c>
      <c r="J14" s="332">
        <f ref="J14:J88" t="shared" si="12">+$G$4*4%</f>
        <v>115097.92</v>
      </c>
      <c r="K14" s="332">
        <f ref="K14:K88" t="shared" si="13">+$G$4*2%</f>
        <v>57548.96</v>
      </c>
      <c r="L14" s="224">
        <v>15000</v>
      </c>
      <c r="M14" s="715">
        <f t="shared" si="8"/>
        <v>3205802.0872</v>
      </c>
      <c r="N14" s="304">
        <f t="shared" si="0"/>
        <v>256464.166976</v>
      </c>
      <c r="O14" s="225"/>
      <c r="P14" s="490">
        <f>26*12000</f>
        <v>312000</v>
      </c>
      <c r="Q14" s="632">
        <f>+$G$4/173*35</f>
        <v>582142.658959538</v>
      </c>
      <c r="R14" s="236">
        <f t="shared" si="1"/>
        <v>4356408.91313554</v>
      </c>
      <c r="S14" s="309">
        <f t="shared" si="2"/>
        <v>25646.4166976</v>
      </c>
      <c r="T14" s="237">
        <f t="shared" si="3"/>
        <v>4382055.32983314</v>
      </c>
      <c r="U14" s="907">
        <v>44352</v>
      </c>
      <c r="V14" s="905">
        <v>44439</v>
      </c>
      <c r="W14" s="908"/>
      <c r="X14" s="906"/>
      <c r="Y14" s="906"/>
      <c r="Z14" s="188"/>
    </row>
    <row r="15" ht="18" customHeight="1" s="875" customFormat="1">
      <c r="A15" s="883" t="s">
        <v>87</v>
      </c>
      <c r="B15" s="1175"/>
      <c r="C15" s="884" t="s">
        <v>259</v>
      </c>
      <c r="D15" s="1018" t="s">
        <v>256</v>
      </c>
      <c r="E15" s="709" t="s">
        <v>243</v>
      </c>
      <c r="F15" s="709" t="s">
        <v>63</v>
      </c>
      <c r="G15" s="885">
        <f>2877448/31*15</f>
        <v>1392313.5483871</v>
      </c>
      <c r="H15" s="886"/>
      <c r="I15" s="741">
        <f t="shared" si="11"/>
        <v>140707.2072</v>
      </c>
      <c r="J15" s="741">
        <f t="shared" si="12"/>
        <v>115097.92</v>
      </c>
      <c r="K15" s="741">
        <f t="shared" si="13"/>
        <v>57548.96</v>
      </c>
      <c r="L15" s="712">
        <v>15000</v>
      </c>
      <c r="M15" s="897">
        <f t="shared" si="8"/>
        <v>1720667.6355871</v>
      </c>
      <c r="N15" s="718">
        <f t="shared" si="0"/>
        <v>137653.410846968</v>
      </c>
      <c r="O15" s="742"/>
      <c r="P15" s="742"/>
      <c r="Q15" s="909"/>
      <c r="R15" s="745">
        <f t="shared" si="1"/>
        <v>1858321.04643406</v>
      </c>
      <c r="S15" s="729">
        <f t="shared" si="2"/>
        <v>13765.3410846968</v>
      </c>
      <c r="T15" s="746">
        <f t="shared" si="3"/>
        <v>1872086.38751876</v>
      </c>
      <c r="U15" s="910">
        <v>44424</v>
      </c>
      <c r="V15" s="911">
        <v>44530</v>
      </c>
      <c r="W15" s="912"/>
      <c r="X15" s="913"/>
      <c r="Y15" s="913"/>
      <c r="Z15" s="928"/>
    </row>
    <row r="16" ht="18" customHeight="1" s="1010" customFormat="1">
      <c r="A16" s="991" t="s">
        <v>87</v>
      </c>
      <c r="B16" s="1176"/>
      <c r="C16" s="993" t="s">
        <v>260</v>
      </c>
      <c r="D16" s="1019" t="s">
        <v>256</v>
      </c>
      <c r="E16" s="992" t="s">
        <v>243</v>
      </c>
      <c r="F16" s="992" t="s">
        <v>63</v>
      </c>
      <c r="G16" s="994">
        <f>2877448/31*3</f>
        <v>278462.7096774194</v>
      </c>
      <c r="H16" s="995"/>
      <c r="I16" s="996"/>
      <c r="J16" s="996"/>
      <c r="K16" s="996"/>
      <c r="L16" s="997"/>
      <c r="M16" s="998">
        <f>SUM(G16:L16)</f>
        <v>278462.7096774194</v>
      </c>
      <c r="N16" s="999">
        <f>+M16*8%</f>
        <v>22277.01677419355</v>
      </c>
      <c r="O16" s="1000"/>
      <c r="P16" s="1000"/>
      <c r="Q16" s="1001"/>
      <c r="R16" s="1002">
        <f>SUM(M16:Q16)</f>
        <v>300739.72645161295</v>
      </c>
      <c r="S16" s="1003">
        <f>N16*0.1</f>
        <v>2227.7016774193553</v>
      </c>
      <c r="T16" s="1004">
        <f>R16+S16</f>
        <v>302967.4281290323</v>
      </c>
      <c r="U16" s="1005">
        <v>44424</v>
      </c>
      <c r="V16" s="1006">
        <v>44427</v>
      </c>
      <c r="W16" s="1007"/>
      <c r="X16" s="1008"/>
      <c r="Y16" s="1008"/>
      <c r="Z16" s="1009"/>
    </row>
    <row r="17" ht="18" customHeight="1" s="180" customFormat="1">
      <c r="A17" s="1057" t="s">
        <v>87</v>
      </c>
      <c r="B17" s="1177"/>
      <c r="C17" s="1058"/>
      <c r="D17" s="1058"/>
      <c r="E17" s="1058"/>
      <c r="F17" s="1058"/>
      <c r="G17" s="390">
        <f ref="G17:S17" t="shared" si="21">SUM(G7:G16)</f>
        <v>24690360.25806452</v>
      </c>
      <c r="H17" s="390"/>
      <c r="I17" s="390">
        <f t="shared" si="21"/>
        <v>1266364.8648000003</v>
      </c>
      <c r="J17" s="390">
        <f t="shared" si="21"/>
        <v>1035881.2800000001</v>
      </c>
      <c r="K17" s="390">
        <f t="shared" si="21"/>
        <v>517940.6400000001</v>
      </c>
      <c r="L17" s="390">
        <f t="shared" si="21"/>
        <v>41669</v>
      </c>
      <c r="M17" s="390">
        <f t="shared" si="21"/>
        <v>27552216.042864524</v>
      </c>
      <c r="N17" s="390">
        <f t="shared" si="21"/>
        <v>2204177.2834291616</v>
      </c>
      <c r="O17" s="390">
        <f t="shared" si="21"/>
        <v>0</v>
      </c>
      <c r="P17" s="390">
        <f t="shared" si="21"/>
        <v>2166000</v>
      </c>
      <c r="Q17" s="390">
        <f t="shared" si="21"/>
        <v>5971120.41618497</v>
      </c>
      <c r="R17" s="914">
        <f t="shared" si="21"/>
        <v>37893513.742478654</v>
      </c>
      <c r="S17" s="390">
        <f t="shared" si="21"/>
        <v>220417.72834291615</v>
      </c>
      <c r="T17" s="914">
        <f>SUM(T7:T16)</f>
        <v>38113931.47082158</v>
      </c>
      <c r="U17" s="240"/>
      <c r="V17" s="241"/>
      <c r="W17" s="178"/>
      <c r="X17" s="178"/>
      <c r="Y17" s="925"/>
      <c r="Z17" s="242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178"/>
      <c r="BN17" s="178"/>
      <c r="BO17" s="178"/>
      <c r="BP17" s="178"/>
    </row>
    <row r="18" ht="16.5" customHeight="1" s="180" customFormat="1">
      <c r="A18" s="210" t="s">
        <v>87</v>
      </c>
      <c r="B18" s="1178"/>
      <c r="C18" s="184"/>
      <c r="D18" s="212"/>
      <c r="E18" s="212"/>
      <c r="F18" s="780"/>
      <c r="G18" s="781">
        <v>2877448</v>
      </c>
      <c r="H18" s="781"/>
      <c r="I18" s="797"/>
      <c r="M18" s="228"/>
      <c r="P18" s="407"/>
      <c r="U18" s="212"/>
      <c r="V18" s="211"/>
      <c r="W18" s="178"/>
      <c r="X18" s="178"/>
      <c r="Y18" s="925"/>
      <c r="Z18" s="242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</row>
    <row r="19" ht="33.75" customHeight="1" s="179" customFormat="1">
      <c r="A19" s="887" t="s">
        <v>64</v>
      </c>
      <c r="B19" s="1179" t="s">
        <v>37</v>
      </c>
      <c r="C19" s="1179" t="s">
        <v>38</v>
      </c>
      <c r="D19" s="888" t="s">
        <v>39</v>
      </c>
      <c r="E19" s="888" t="s">
        <v>40</v>
      </c>
      <c r="F19" s="889" t="s">
        <v>41</v>
      </c>
      <c r="G19" s="890" t="s">
        <v>42</v>
      </c>
      <c r="H19" s="432" t="s">
        <v>43</v>
      </c>
      <c r="I19" s="898" t="s">
        <v>44</v>
      </c>
      <c r="J19" s="899" t="s">
        <v>45</v>
      </c>
      <c r="K19" s="899" t="s">
        <v>46</v>
      </c>
      <c r="L19" s="900" t="s">
        <v>47</v>
      </c>
      <c r="M19" s="900" t="s">
        <v>48</v>
      </c>
      <c r="N19" s="901" t="s">
        <v>49</v>
      </c>
      <c r="O19" s="902" t="s">
        <v>50</v>
      </c>
      <c r="P19" s="903" t="s">
        <v>52</v>
      </c>
      <c r="Q19" s="901" t="s">
        <v>53</v>
      </c>
      <c r="R19" s="915" t="s">
        <v>54</v>
      </c>
      <c r="S19" s="916" t="s">
        <v>55</v>
      </c>
      <c r="T19" s="916" t="s">
        <v>56</v>
      </c>
      <c r="U19" s="463" t="s">
        <v>57</v>
      </c>
      <c r="V19" s="464" t="s">
        <v>58</v>
      </c>
      <c r="W19" s="822"/>
      <c r="X19" s="822"/>
      <c r="Y19" s="926"/>
      <c r="Z19" s="927"/>
      <c r="AA19" s="822"/>
      <c r="AB19" s="822"/>
      <c r="AC19" s="822"/>
      <c r="AD19" s="822"/>
      <c r="AE19" s="822"/>
      <c r="AF19" s="822"/>
      <c r="AG19" s="822"/>
      <c r="AH19" s="822"/>
      <c r="AI19" s="822"/>
      <c r="AJ19" s="822"/>
      <c r="AK19" s="822"/>
      <c r="AL19" s="822"/>
      <c r="AM19" s="822"/>
      <c r="AN19" s="822"/>
      <c r="AO19" s="822"/>
      <c r="AP19" s="822"/>
      <c r="AQ19" s="822"/>
      <c r="AR19" s="822"/>
      <c r="AS19" s="822"/>
      <c r="AT19" s="822"/>
      <c r="AU19" s="822"/>
      <c r="AV19" s="822"/>
      <c r="AW19" s="822"/>
      <c r="AX19" s="822"/>
      <c r="AY19" s="822"/>
      <c r="AZ19" s="822"/>
      <c r="BA19" s="822"/>
      <c r="BB19" s="822"/>
      <c r="BC19" s="822"/>
      <c r="BD19" s="822"/>
      <c r="BE19" s="822"/>
      <c r="BF19" s="822"/>
      <c r="BG19" s="822"/>
      <c r="BH19" s="822"/>
      <c r="BI19" s="822"/>
      <c r="BJ19" s="822"/>
      <c r="BK19" s="822"/>
      <c r="BL19" s="822"/>
      <c r="BM19" s="822"/>
      <c r="BN19" s="822"/>
      <c r="BO19" s="822"/>
      <c r="BP19" s="822"/>
    </row>
    <row r="20" ht="18" customHeight="1" s="762" customFormat="1">
      <c r="A20" s="557" t="s">
        <v>59</v>
      </c>
      <c r="B20" s="961" t="s">
        <v>261</v>
      </c>
      <c r="C20" s="892" t="s">
        <v>262</v>
      </c>
      <c r="D20" s="891" t="s">
        <v>84</v>
      </c>
      <c r="E20" s="891" t="s">
        <v>243</v>
      </c>
      <c r="F20" s="891" t="s">
        <v>63</v>
      </c>
      <c r="G20" s="771">
        <f ref="G20:G80" t="shared" si="22">2877448</f>
        <v>2877448</v>
      </c>
      <c r="H20" s="893"/>
      <c r="I20" s="332">
        <f ref="I20:I50" t="shared" si="23">+$G$4*4.89%</f>
        <v>140707.2072</v>
      </c>
      <c r="J20" s="332">
        <f ref="J20:J50" t="shared" si="24">+$G$4*4%</f>
        <v>115097.92</v>
      </c>
      <c r="K20" s="332">
        <f ref="K20:K50" t="shared" si="25">+$G$4*2%</f>
        <v>57548.96</v>
      </c>
      <c r="L20" s="626">
        <v>15000</v>
      </c>
      <c r="M20" s="494">
        <f ref="M20:M80" t="shared" si="26">SUM(G20:L20)</f>
        <v>3205802.0872</v>
      </c>
      <c r="N20" s="225">
        <f ref="N20:N80" t="shared" si="27">+M20*8%</f>
        <v>256464.166976</v>
      </c>
      <c r="O20" s="490">
        <v>988000</v>
      </c>
      <c r="P20" s="225"/>
      <c r="Q20" s="494"/>
      <c r="R20" s="236">
        <f ref="R20:R80" t="shared" si="28">SUM(M20:Q20)</f>
        <v>4450266.254176</v>
      </c>
      <c r="S20" s="496">
        <f ref="S20:S80" t="shared" si="29">N20*0.1</f>
        <v>25646.4166976</v>
      </c>
      <c r="T20" s="237">
        <f ref="T20:T80" t="shared" si="30">R20+S20</f>
        <v>4475912.6708736</v>
      </c>
      <c r="U20" s="917">
        <v>44348</v>
      </c>
      <c r="V20" s="918">
        <v>44439</v>
      </c>
      <c r="W20" s="181"/>
      <c r="X20" s="906"/>
      <c r="Y20" s="906"/>
      <c r="Z20" s="188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</row>
    <row r="21" ht="18" customHeight="1" s="762" customFormat="1">
      <c r="A21" s="377" t="s">
        <v>59</v>
      </c>
      <c r="B21" s="962" t="s">
        <v>263</v>
      </c>
      <c r="C21" s="879" t="s">
        <v>264</v>
      </c>
      <c r="D21" s="894" t="s">
        <v>84</v>
      </c>
      <c r="E21" s="894" t="s">
        <v>243</v>
      </c>
      <c r="F21" s="894" t="s">
        <v>63</v>
      </c>
      <c r="G21" s="771">
        <f t="shared" si="22"/>
        <v>2877448</v>
      </c>
      <c r="H21" s="893"/>
      <c r="I21" s="332">
        <f t="shared" si="23"/>
        <v>140707.2072</v>
      </c>
      <c r="J21" s="332">
        <f t="shared" si="24"/>
        <v>115097.92</v>
      </c>
      <c r="K21" s="332">
        <f t="shared" si="25"/>
        <v>57548.96</v>
      </c>
      <c r="L21" s="626">
        <v>15000</v>
      </c>
      <c r="M21" s="631">
        <f t="shared" si="26"/>
        <v>3205802.0872</v>
      </c>
      <c r="N21" s="304">
        <f t="shared" si="27"/>
        <v>256464.166976</v>
      </c>
      <c r="O21" s="490">
        <v>1047000</v>
      </c>
      <c r="P21" s="225"/>
      <c r="Q21" s="631"/>
      <c r="R21" s="236">
        <f t="shared" si="28"/>
        <v>4509266.254176</v>
      </c>
      <c r="S21" s="725">
        <f t="shared" si="29"/>
        <v>25646.4166976</v>
      </c>
      <c r="T21" s="237">
        <f t="shared" si="30"/>
        <v>4534912.6708736</v>
      </c>
      <c r="U21" s="917">
        <v>44348</v>
      </c>
      <c r="V21" s="918">
        <v>44439</v>
      </c>
      <c r="W21" s="181"/>
      <c r="X21" s="906"/>
      <c r="Y21" s="906"/>
      <c r="Z21" s="188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81"/>
      <c r="BO21" s="181"/>
      <c r="BP21" s="181"/>
    </row>
    <row r="22" ht="18" customHeight="1" s="762" customFormat="1">
      <c r="A22" s="377" t="s">
        <v>59</v>
      </c>
      <c r="B22" s="962" t="s">
        <v>265</v>
      </c>
      <c r="C22" s="879" t="s">
        <v>266</v>
      </c>
      <c r="D22" s="894" t="s">
        <v>84</v>
      </c>
      <c r="E22" s="894" t="s">
        <v>243</v>
      </c>
      <c r="F22" s="894" t="s">
        <v>63</v>
      </c>
      <c r="G22" s="771">
        <f t="shared" si="22"/>
        <v>2877448</v>
      </c>
      <c r="H22" s="893"/>
      <c r="I22" s="332">
        <f t="shared" si="23"/>
        <v>140707.2072</v>
      </c>
      <c r="J22" s="332">
        <f t="shared" si="24"/>
        <v>115097.92</v>
      </c>
      <c r="K22" s="332">
        <f t="shared" si="25"/>
        <v>57548.96</v>
      </c>
      <c r="L22" s="626">
        <v>15000</v>
      </c>
      <c r="M22" s="631">
        <f t="shared" si="26"/>
        <v>3205802.0872</v>
      </c>
      <c r="N22" s="304">
        <f t="shared" si="27"/>
        <v>256464.166976</v>
      </c>
      <c r="O22" s="490">
        <v>1242000</v>
      </c>
      <c r="P22" s="225"/>
      <c r="Q22" s="631"/>
      <c r="R22" s="236">
        <f t="shared" si="28"/>
        <v>4704266.254176</v>
      </c>
      <c r="S22" s="725">
        <f t="shared" si="29"/>
        <v>25646.4166976</v>
      </c>
      <c r="T22" s="237">
        <f t="shared" si="30"/>
        <v>4729912.6708736</v>
      </c>
      <c r="U22" s="919">
        <v>44348</v>
      </c>
      <c r="V22" s="920">
        <v>44439</v>
      </c>
      <c r="W22" s="181"/>
      <c r="X22" s="906"/>
      <c r="Y22" s="906"/>
      <c r="Z22" s="188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81"/>
      <c r="BO22" s="181"/>
      <c r="BP22" s="181"/>
    </row>
    <row r="23" ht="18" customHeight="1" s="762" customFormat="1">
      <c r="A23" s="377" t="s">
        <v>59</v>
      </c>
      <c r="B23" s="962" t="s">
        <v>267</v>
      </c>
      <c r="C23" s="879" t="s">
        <v>268</v>
      </c>
      <c r="D23" s="894" t="s">
        <v>84</v>
      </c>
      <c r="E23" s="894" t="s">
        <v>243</v>
      </c>
      <c r="F23" s="894" t="s">
        <v>63</v>
      </c>
      <c r="G23" s="771">
        <f t="shared" si="22"/>
        <v>2877448</v>
      </c>
      <c r="H23" s="893"/>
      <c r="I23" s="332">
        <f t="shared" si="23"/>
        <v>140707.2072</v>
      </c>
      <c r="J23" s="332">
        <f t="shared" si="24"/>
        <v>115097.92</v>
      </c>
      <c r="K23" s="332">
        <f t="shared" si="25"/>
        <v>57548.96</v>
      </c>
      <c r="L23" s="626">
        <v>15000</v>
      </c>
      <c r="M23" s="631">
        <f t="shared" si="26"/>
        <v>3205802.0872</v>
      </c>
      <c r="N23" s="304">
        <f t="shared" si="27"/>
        <v>256464.166976</v>
      </c>
      <c r="O23" s="490">
        <v>1547000</v>
      </c>
      <c r="P23" s="225"/>
      <c r="Q23" s="631"/>
      <c r="R23" s="236">
        <f t="shared" si="28"/>
        <v>5009266.254176</v>
      </c>
      <c r="S23" s="725">
        <f t="shared" si="29"/>
        <v>25646.4166976</v>
      </c>
      <c r="T23" s="237">
        <f t="shared" si="30"/>
        <v>5034912.6708736</v>
      </c>
      <c r="U23" s="919">
        <v>44348</v>
      </c>
      <c r="V23" s="920">
        <v>44439</v>
      </c>
      <c r="W23" s="181"/>
      <c r="X23" s="906"/>
      <c r="Y23" s="906"/>
      <c r="Z23" s="188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81"/>
      <c r="BO23" s="181"/>
      <c r="BP23" s="181"/>
    </row>
    <row r="24" ht="18" customHeight="1" s="762" customFormat="1">
      <c r="A24" s="377" t="s">
        <v>59</v>
      </c>
      <c r="B24" s="962" t="s">
        <v>269</v>
      </c>
      <c r="C24" s="879" t="s">
        <v>270</v>
      </c>
      <c r="D24" s="894" t="s">
        <v>84</v>
      </c>
      <c r="E24" s="894" t="s">
        <v>243</v>
      </c>
      <c r="F24" s="894" t="s">
        <v>63</v>
      </c>
      <c r="G24" s="771">
        <f t="shared" si="22"/>
        <v>2877448</v>
      </c>
      <c r="H24" s="893">
        <f>-2877448/25*1</f>
        <v>-115097.92</v>
      </c>
      <c r="I24" s="332">
        <f t="shared" si="23"/>
        <v>140707.2072</v>
      </c>
      <c r="J24" s="332">
        <f t="shared" si="24"/>
        <v>115097.92</v>
      </c>
      <c r="K24" s="332">
        <f t="shared" si="25"/>
        <v>57548.96</v>
      </c>
      <c r="L24" s="626">
        <v>15000</v>
      </c>
      <c r="M24" s="631">
        <f t="shared" si="26"/>
        <v>3090704.1672</v>
      </c>
      <c r="N24" s="304">
        <f t="shared" si="27"/>
        <v>247256.333376</v>
      </c>
      <c r="O24" s="490">
        <v>1846000</v>
      </c>
      <c r="P24" s="225"/>
      <c r="Q24" s="800"/>
      <c r="R24" s="236">
        <f t="shared" si="28"/>
        <v>5183960.500576001</v>
      </c>
      <c r="S24" s="725">
        <f t="shared" si="29"/>
        <v>24725.6333376</v>
      </c>
      <c r="T24" s="237">
        <f t="shared" si="30"/>
        <v>5208686.133913601</v>
      </c>
      <c r="U24" s="919">
        <v>44348</v>
      </c>
      <c r="V24" s="920">
        <v>44439</v>
      </c>
      <c r="W24" s="181"/>
      <c r="X24" s="906"/>
      <c r="Y24" s="906"/>
      <c r="Z24" s="188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81"/>
      <c r="BO24" s="181"/>
      <c r="BP24" s="181"/>
    </row>
    <row r="25" ht="18" customHeight="1" s="762" customFormat="1">
      <c r="A25" s="377" t="s">
        <v>59</v>
      </c>
      <c r="B25" s="962" t="s">
        <v>271</v>
      </c>
      <c r="C25" s="879" t="s">
        <v>272</v>
      </c>
      <c r="D25" s="894" t="s">
        <v>84</v>
      </c>
      <c r="E25" s="894" t="s">
        <v>243</v>
      </c>
      <c r="F25" s="894" t="s">
        <v>63</v>
      </c>
      <c r="G25" s="771">
        <f t="shared" si="22"/>
        <v>2877448</v>
      </c>
      <c r="H25" s="893"/>
      <c r="I25" s="332">
        <f t="shared" si="23"/>
        <v>140707.2072</v>
      </c>
      <c r="J25" s="332">
        <f t="shared" si="24"/>
        <v>115097.92</v>
      </c>
      <c r="K25" s="332">
        <f t="shared" si="25"/>
        <v>57548.96</v>
      </c>
      <c r="L25" s="626">
        <v>15000</v>
      </c>
      <c r="M25" s="631">
        <f t="shared" si="26"/>
        <v>3205802.0872</v>
      </c>
      <c r="N25" s="304">
        <f t="shared" si="27"/>
        <v>256464.166976</v>
      </c>
      <c r="O25" s="490">
        <v>1014000</v>
      </c>
      <c r="P25" s="225"/>
      <c r="Q25" s="800"/>
      <c r="R25" s="236">
        <f t="shared" si="28"/>
        <v>4476266.254176</v>
      </c>
      <c r="S25" s="725">
        <f t="shared" si="29"/>
        <v>25646.4166976</v>
      </c>
      <c r="T25" s="237">
        <f t="shared" si="30"/>
        <v>4501912.6708736</v>
      </c>
      <c r="U25" s="919">
        <v>44348</v>
      </c>
      <c r="V25" s="919">
        <v>44439</v>
      </c>
      <c r="W25" s="181"/>
      <c r="X25" s="906"/>
      <c r="Y25" s="906"/>
      <c r="Z25" s="188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81"/>
      <c r="BO25" s="181"/>
      <c r="BP25" s="181"/>
    </row>
    <row r="26" ht="18" customHeight="1" s="762" customFormat="1">
      <c r="A26" s="377" t="s">
        <v>59</v>
      </c>
      <c r="B26" s="962" t="s">
        <v>273</v>
      </c>
      <c r="C26" s="879" t="s">
        <v>274</v>
      </c>
      <c r="D26" s="894" t="s">
        <v>84</v>
      </c>
      <c r="E26" s="894" t="s">
        <v>243</v>
      </c>
      <c r="F26" s="894" t="s">
        <v>63</v>
      </c>
      <c r="G26" s="771">
        <f t="shared" si="22"/>
        <v>2877448</v>
      </c>
      <c r="H26" s="893">
        <f>-2877448/25*1</f>
        <v>-115097.92</v>
      </c>
      <c r="I26" s="332">
        <f t="shared" si="23"/>
        <v>140707.2072</v>
      </c>
      <c r="J26" s="332">
        <f t="shared" si="24"/>
        <v>115097.92</v>
      </c>
      <c r="K26" s="332">
        <f t="shared" si="25"/>
        <v>57548.96</v>
      </c>
      <c r="L26" s="626">
        <v>15000</v>
      </c>
      <c r="M26" s="631">
        <f t="shared" si="26"/>
        <v>3090704.1672</v>
      </c>
      <c r="N26" s="304">
        <f t="shared" si="27"/>
        <v>247256.333376</v>
      </c>
      <c r="O26" s="490">
        <v>1118000</v>
      </c>
      <c r="P26" s="225"/>
      <c r="Q26" s="800"/>
      <c r="R26" s="236">
        <f t="shared" si="28"/>
        <v>4455960.500576001</v>
      </c>
      <c r="S26" s="725">
        <f t="shared" si="29"/>
        <v>24725.6333376</v>
      </c>
      <c r="T26" s="237">
        <f t="shared" si="30"/>
        <v>4480686.133913601</v>
      </c>
      <c r="U26" s="919">
        <v>44348</v>
      </c>
      <c r="V26" s="919">
        <v>44439</v>
      </c>
      <c r="W26" s="181"/>
      <c r="X26" s="906"/>
      <c r="Y26" s="906"/>
      <c r="Z26" s="188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81"/>
      <c r="BO26" s="181"/>
      <c r="BP26" s="181"/>
    </row>
    <row r="27" ht="18" customHeight="1" s="762" customFormat="1">
      <c r="A27" s="377" t="s">
        <v>59</v>
      </c>
      <c r="B27" s="962" t="s">
        <v>275</v>
      </c>
      <c r="C27" s="880" t="s">
        <v>276</v>
      </c>
      <c r="D27" s="782" t="s">
        <v>84</v>
      </c>
      <c r="E27" s="894" t="s">
        <v>243</v>
      </c>
      <c r="F27" s="894" t="s">
        <v>63</v>
      </c>
      <c r="G27" s="771">
        <f t="shared" si="22"/>
        <v>2877448</v>
      </c>
      <c r="H27" s="893"/>
      <c r="I27" s="332">
        <f t="shared" si="23"/>
        <v>140707.2072</v>
      </c>
      <c r="J27" s="332">
        <f t="shared" si="24"/>
        <v>115097.92</v>
      </c>
      <c r="K27" s="332">
        <f t="shared" si="25"/>
        <v>57548.96</v>
      </c>
      <c r="L27" s="626">
        <v>15000</v>
      </c>
      <c r="M27" s="631">
        <f t="shared" si="26"/>
        <v>3205802.0872</v>
      </c>
      <c r="N27" s="304">
        <f t="shared" si="27"/>
        <v>256464.166976</v>
      </c>
      <c r="O27" s="490">
        <v>1313000</v>
      </c>
      <c r="P27" s="225"/>
      <c r="Q27" s="800"/>
      <c r="R27" s="236">
        <f t="shared" si="28"/>
        <v>4775266.254176</v>
      </c>
      <c r="S27" s="725">
        <f t="shared" si="29"/>
        <v>25646.4166976</v>
      </c>
      <c r="T27" s="237">
        <f t="shared" si="30"/>
        <v>4800912.6708736</v>
      </c>
      <c r="U27" s="919">
        <v>44378</v>
      </c>
      <c r="V27" s="919">
        <v>44469</v>
      </c>
      <c r="W27" s="181"/>
      <c r="X27" s="906"/>
      <c r="Y27" s="906"/>
      <c r="Z27" s="188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81"/>
      <c r="BO27" s="181"/>
      <c r="BP27" s="181"/>
    </row>
    <row r="28" ht="18" customHeight="1" s="762" customFormat="1">
      <c r="A28" s="377" t="s">
        <v>59</v>
      </c>
      <c r="B28" s="962" t="s">
        <v>277</v>
      </c>
      <c r="C28" s="880" t="s">
        <v>278</v>
      </c>
      <c r="D28" s="782" t="s">
        <v>84</v>
      </c>
      <c r="E28" s="894" t="s">
        <v>243</v>
      </c>
      <c r="F28" s="894" t="s">
        <v>63</v>
      </c>
      <c r="G28" s="771">
        <f t="shared" si="22"/>
        <v>2877448</v>
      </c>
      <c r="H28" s="893"/>
      <c r="I28" s="332">
        <f t="shared" si="23"/>
        <v>140707.2072</v>
      </c>
      <c r="J28" s="332">
        <f t="shared" si="24"/>
        <v>115097.92</v>
      </c>
      <c r="K28" s="332">
        <f t="shared" si="25"/>
        <v>57548.96</v>
      </c>
      <c r="L28" s="626">
        <v>15000</v>
      </c>
      <c r="M28" s="631">
        <f t="shared" si="26"/>
        <v>3205802.0872</v>
      </c>
      <c r="N28" s="304">
        <f t="shared" si="27"/>
        <v>256464.166976</v>
      </c>
      <c r="O28" s="490">
        <v>1222000</v>
      </c>
      <c r="P28" s="225"/>
      <c r="Q28" s="800"/>
      <c r="R28" s="236">
        <f t="shared" si="28"/>
        <v>4684266.254176</v>
      </c>
      <c r="S28" s="725">
        <f t="shared" si="29"/>
        <v>25646.4166976</v>
      </c>
      <c r="T28" s="237">
        <f t="shared" si="30"/>
        <v>4709912.6708736</v>
      </c>
      <c r="U28" s="919">
        <v>44378</v>
      </c>
      <c r="V28" s="919">
        <v>44469</v>
      </c>
      <c r="W28" s="181"/>
      <c r="X28" s="906"/>
      <c r="Y28" s="906"/>
      <c r="Z28" s="188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81"/>
      <c r="BO28" s="181"/>
      <c r="BP28" s="181"/>
    </row>
    <row r="29" ht="18" customHeight="1" s="762" customFormat="1">
      <c r="A29" s="377" t="s">
        <v>59</v>
      </c>
      <c r="B29" s="962" t="s">
        <v>279</v>
      </c>
      <c r="C29" s="880" t="s">
        <v>280</v>
      </c>
      <c r="D29" s="782" t="s">
        <v>84</v>
      </c>
      <c r="E29" s="894" t="s">
        <v>243</v>
      </c>
      <c r="F29" s="894" t="s">
        <v>63</v>
      </c>
      <c r="G29" s="771">
        <f t="shared" si="22"/>
        <v>2877448</v>
      </c>
      <c r="H29" s="893"/>
      <c r="I29" s="332">
        <f t="shared" si="23"/>
        <v>140707.2072</v>
      </c>
      <c r="J29" s="332">
        <f t="shared" si="24"/>
        <v>115097.92</v>
      </c>
      <c r="K29" s="332">
        <f t="shared" si="25"/>
        <v>57548.96</v>
      </c>
      <c r="L29" s="626">
        <v>15000</v>
      </c>
      <c r="M29" s="631">
        <f t="shared" si="26"/>
        <v>3205802.0872</v>
      </c>
      <c r="N29" s="304">
        <f t="shared" si="27"/>
        <v>256464.166976</v>
      </c>
      <c r="O29" s="490">
        <v>1755000</v>
      </c>
      <c r="P29" s="225"/>
      <c r="Q29" s="800"/>
      <c r="R29" s="236">
        <f t="shared" si="28"/>
        <v>5217266.254176</v>
      </c>
      <c r="S29" s="725">
        <f t="shared" si="29"/>
        <v>25646.4166976</v>
      </c>
      <c r="T29" s="237">
        <f t="shared" si="30"/>
        <v>5242912.6708736</v>
      </c>
      <c r="U29" s="919">
        <v>44378</v>
      </c>
      <c r="V29" s="919">
        <v>44469</v>
      </c>
      <c r="W29" s="181"/>
      <c r="X29" s="906"/>
      <c r="Y29" s="906"/>
      <c r="Z29" s="188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</row>
    <row r="30" ht="18" customHeight="1" s="762" customFormat="1">
      <c r="A30" s="377" t="s">
        <v>59</v>
      </c>
      <c r="B30" s="962" t="s">
        <v>281</v>
      </c>
      <c r="C30" s="880" t="s">
        <v>282</v>
      </c>
      <c r="D30" s="782" t="s">
        <v>84</v>
      </c>
      <c r="E30" s="894" t="s">
        <v>243</v>
      </c>
      <c r="F30" s="894" t="s">
        <v>63</v>
      </c>
      <c r="G30" s="771">
        <f t="shared" si="22"/>
        <v>2877448</v>
      </c>
      <c r="H30" s="893"/>
      <c r="I30" s="332">
        <f t="shared" si="23"/>
        <v>140707.2072</v>
      </c>
      <c r="J30" s="332">
        <f t="shared" si="24"/>
        <v>115097.92</v>
      </c>
      <c r="K30" s="332">
        <f t="shared" si="25"/>
        <v>57548.96</v>
      </c>
      <c r="L30" s="626">
        <v>15000</v>
      </c>
      <c r="M30" s="631">
        <f t="shared" si="26"/>
        <v>3205802.0872</v>
      </c>
      <c r="N30" s="304">
        <f t="shared" si="27"/>
        <v>256464.166976</v>
      </c>
      <c r="O30" s="490">
        <v>1885000</v>
      </c>
      <c r="P30" s="225"/>
      <c r="Q30" s="800"/>
      <c r="R30" s="236">
        <f t="shared" si="28"/>
        <v>5347266.254176</v>
      </c>
      <c r="S30" s="725">
        <f t="shared" si="29"/>
        <v>25646.4166976</v>
      </c>
      <c r="T30" s="237">
        <f t="shared" si="30"/>
        <v>5372912.6708736</v>
      </c>
      <c r="U30" s="919">
        <v>44378</v>
      </c>
      <c r="V30" s="919">
        <v>44469</v>
      </c>
      <c r="W30" s="181"/>
      <c r="X30" s="906"/>
      <c r="Y30" s="906"/>
      <c r="Z30" s="188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</row>
    <row r="31" ht="18" customHeight="1" s="762" customFormat="1">
      <c r="A31" s="377" t="s">
        <v>59</v>
      </c>
      <c r="B31" s="962" t="s">
        <v>283</v>
      </c>
      <c r="C31" s="880" t="s">
        <v>284</v>
      </c>
      <c r="D31" s="782" t="s">
        <v>84</v>
      </c>
      <c r="E31" s="894" t="s">
        <v>243</v>
      </c>
      <c r="F31" s="894" t="s">
        <v>63</v>
      </c>
      <c r="G31" s="771">
        <f t="shared" si="22"/>
        <v>2877448</v>
      </c>
      <c r="H31" s="893"/>
      <c r="I31" s="332">
        <f t="shared" si="23"/>
        <v>140707.2072</v>
      </c>
      <c r="J31" s="332">
        <f t="shared" si="24"/>
        <v>115097.92</v>
      </c>
      <c r="K31" s="332">
        <f t="shared" si="25"/>
        <v>57548.96</v>
      </c>
      <c r="L31" s="626">
        <v>15000</v>
      </c>
      <c r="M31" s="631">
        <f t="shared" si="26"/>
        <v>3205802.0872</v>
      </c>
      <c r="N31" s="304">
        <f t="shared" si="27"/>
        <v>256464.166976</v>
      </c>
      <c r="O31" s="490">
        <v>1183000</v>
      </c>
      <c r="P31" s="225"/>
      <c r="Q31" s="800"/>
      <c r="R31" s="236">
        <f t="shared" si="28"/>
        <v>4645266.254176</v>
      </c>
      <c r="S31" s="725">
        <f t="shared" si="29"/>
        <v>25646.4166976</v>
      </c>
      <c r="T31" s="237">
        <f t="shared" si="30"/>
        <v>4670912.6708736</v>
      </c>
      <c r="U31" s="919">
        <v>44378</v>
      </c>
      <c r="V31" s="920">
        <v>44469</v>
      </c>
      <c r="W31" s="181"/>
      <c r="X31" s="906"/>
      <c r="Y31" s="906"/>
      <c r="Z31" s="188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</row>
    <row r="32" ht="18" customHeight="1" s="762" customFormat="1">
      <c r="A32" s="377" t="s">
        <v>59</v>
      </c>
      <c r="B32" s="962" t="s">
        <v>285</v>
      </c>
      <c r="C32" s="895" t="s">
        <v>286</v>
      </c>
      <c r="D32" s="782" t="s">
        <v>84</v>
      </c>
      <c r="E32" s="894" t="s">
        <v>243</v>
      </c>
      <c r="F32" s="894" t="s">
        <v>63</v>
      </c>
      <c r="G32" s="771">
        <f t="shared" si="22"/>
        <v>2877448</v>
      </c>
      <c r="H32" s="893"/>
      <c r="I32" s="332">
        <f t="shared" si="23"/>
        <v>140707.2072</v>
      </c>
      <c r="J32" s="332">
        <f t="shared" si="24"/>
        <v>115097.92</v>
      </c>
      <c r="K32" s="332">
        <f t="shared" si="25"/>
        <v>57548.96</v>
      </c>
      <c r="L32" s="626">
        <v>15000</v>
      </c>
      <c r="M32" s="631">
        <f t="shared" si="26"/>
        <v>3205802.0872</v>
      </c>
      <c r="N32" s="631">
        <f t="shared" si="27"/>
        <v>256464.166976</v>
      </c>
      <c r="O32" s="490">
        <v>1287000</v>
      </c>
      <c r="P32" s="225"/>
      <c r="Q32" s="715"/>
      <c r="R32" s="236">
        <f t="shared" si="28"/>
        <v>4749266.254176</v>
      </c>
      <c r="S32" s="725">
        <f t="shared" si="29"/>
        <v>25646.4166976</v>
      </c>
      <c r="T32" s="237">
        <f t="shared" si="30"/>
        <v>4774912.6708736</v>
      </c>
      <c r="U32" s="919">
        <v>44378</v>
      </c>
      <c r="V32" s="919">
        <v>44469</v>
      </c>
      <c r="W32" s="181"/>
      <c r="X32" s="906"/>
      <c r="Y32" s="906"/>
      <c r="Z32" s="188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81"/>
      <c r="BO32" s="181"/>
      <c r="BP32" s="181"/>
    </row>
    <row r="33" ht="18" customHeight="1" s="762" customFormat="1">
      <c r="A33" s="377" t="s">
        <v>59</v>
      </c>
      <c r="B33" s="962" t="s">
        <v>287</v>
      </c>
      <c r="C33" s="880" t="s">
        <v>288</v>
      </c>
      <c r="D33" s="782" t="s">
        <v>84</v>
      </c>
      <c r="E33" s="894" t="s">
        <v>243</v>
      </c>
      <c r="F33" s="894" t="s">
        <v>63</v>
      </c>
      <c r="G33" s="771">
        <f t="shared" si="22"/>
        <v>2877448</v>
      </c>
      <c r="H33" s="893">
        <f>-2877448/25*1</f>
        <v>-115097.92</v>
      </c>
      <c r="I33" s="332">
        <f t="shared" si="23"/>
        <v>140707.2072</v>
      </c>
      <c r="J33" s="332">
        <f t="shared" si="24"/>
        <v>115097.92</v>
      </c>
      <c r="K33" s="332">
        <f t="shared" si="25"/>
        <v>57548.96</v>
      </c>
      <c r="L33" s="626">
        <v>15000</v>
      </c>
      <c r="M33" s="631">
        <f t="shared" si="26"/>
        <v>3090704.1672</v>
      </c>
      <c r="N33" s="304">
        <f t="shared" si="27"/>
        <v>247256.333376</v>
      </c>
      <c r="O33" s="490">
        <v>1125000</v>
      </c>
      <c r="P33" s="225"/>
      <c r="Q33" s="800"/>
      <c r="R33" s="236">
        <f t="shared" si="28"/>
        <v>4462960.500576001</v>
      </c>
      <c r="S33" s="725">
        <f t="shared" si="29"/>
        <v>24725.6333376</v>
      </c>
      <c r="T33" s="237">
        <f t="shared" si="30"/>
        <v>4487686.133913601</v>
      </c>
      <c r="U33" s="919">
        <v>44378</v>
      </c>
      <c r="V33" s="919">
        <v>44469</v>
      </c>
      <c r="W33" s="181"/>
      <c r="X33" s="906"/>
      <c r="Y33" s="906"/>
      <c r="Z33" s="188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81"/>
      <c r="BO33" s="181"/>
      <c r="BP33" s="181"/>
    </row>
    <row r="34" ht="18" customHeight="1" s="762" customFormat="1">
      <c r="A34" s="377" t="s">
        <v>59</v>
      </c>
      <c r="B34" s="962" t="s">
        <v>289</v>
      </c>
      <c r="C34" s="880" t="s">
        <v>290</v>
      </c>
      <c r="D34" s="782" t="s">
        <v>84</v>
      </c>
      <c r="E34" s="894" t="s">
        <v>243</v>
      </c>
      <c r="F34" s="894" t="s">
        <v>63</v>
      </c>
      <c r="G34" s="771">
        <f t="shared" si="22"/>
        <v>2877448</v>
      </c>
      <c r="H34" s="893"/>
      <c r="I34" s="332">
        <f t="shared" si="23"/>
        <v>140707.2072</v>
      </c>
      <c r="J34" s="332">
        <f t="shared" si="24"/>
        <v>115097.92</v>
      </c>
      <c r="K34" s="332">
        <f t="shared" si="25"/>
        <v>57548.96</v>
      </c>
      <c r="L34" s="626">
        <v>15000</v>
      </c>
      <c r="M34" s="631">
        <f t="shared" si="26"/>
        <v>3205802.0872</v>
      </c>
      <c r="N34" s="304">
        <f t="shared" si="27"/>
        <v>256464.166976</v>
      </c>
      <c r="O34" s="490">
        <v>1287000</v>
      </c>
      <c r="P34" s="225"/>
      <c r="Q34" s="800"/>
      <c r="R34" s="236">
        <f t="shared" si="28"/>
        <v>4749266.254176</v>
      </c>
      <c r="S34" s="725">
        <f t="shared" si="29"/>
        <v>25646.4166976</v>
      </c>
      <c r="T34" s="237">
        <f t="shared" si="30"/>
        <v>4774912.6708736</v>
      </c>
      <c r="U34" s="919">
        <v>44378</v>
      </c>
      <c r="V34" s="919">
        <v>44469</v>
      </c>
      <c r="W34" s="181"/>
      <c r="X34" s="906"/>
      <c r="Y34" s="906"/>
      <c r="Z34" s="188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81"/>
      <c r="BO34" s="181"/>
      <c r="BP34" s="181"/>
    </row>
    <row r="35" ht="18" customHeight="1" s="762" customFormat="1">
      <c r="A35" s="377" t="s">
        <v>59</v>
      </c>
      <c r="B35" s="962" t="s">
        <v>291</v>
      </c>
      <c r="C35" s="880" t="s">
        <v>292</v>
      </c>
      <c r="D35" s="782" t="s">
        <v>84</v>
      </c>
      <c r="E35" s="894" t="s">
        <v>243</v>
      </c>
      <c r="F35" s="894" t="s">
        <v>63</v>
      </c>
      <c r="G35" s="771">
        <f t="shared" si="22"/>
        <v>2877448</v>
      </c>
      <c r="H35" s="893"/>
      <c r="I35" s="332">
        <f t="shared" si="23"/>
        <v>140707.2072</v>
      </c>
      <c r="J35" s="332">
        <f t="shared" si="24"/>
        <v>115097.92</v>
      </c>
      <c r="K35" s="332">
        <f t="shared" si="25"/>
        <v>57548.96</v>
      </c>
      <c r="L35" s="626">
        <v>15000</v>
      </c>
      <c r="M35" s="631">
        <f t="shared" si="26"/>
        <v>3205802.0872</v>
      </c>
      <c r="N35" s="304">
        <f t="shared" si="27"/>
        <v>256464.166976</v>
      </c>
      <c r="O35" s="490">
        <v>1183000</v>
      </c>
      <c r="P35" s="225"/>
      <c r="Q35" s="800"/>
      <c r="R35" s="236">
        <f t="shared" si="28"/>
        <v>4645266.254176</v>
      </c>
      <c r="S35" s="725">
        <f t="shared" si="29"/>
        <v>25646.4166976</v>
      </c>
      <c r="T35" s="237">
        <f t="shared" si="30"/>
        <v>4670912.6708736</v>
      </c>
      <c r="U35" s="919">
        <v>44378</v>
      </c>
      <c r="V35" s="920">
        <v>44469</v>
      </c>
      <c r="W35" s="181"/>
      <c r="X35" s="906"/>
      <c r="Y35" s="906"/>
      <c r="Z35" s="188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</row>
    <row r="36" ht="18" customHeight="1" s="762" customFormat="1">
      <c r="A36" s="377" t="s">
        <v>59</v>
      </c>
      <c r="B36" s="962" t="s">
        <v>293</v>
      </c>
      <c r="C36" s="880" t="s">
        <v>294</v>
      </c>
      <c r="D36" s="782" t="s">
        <v>84</v>
      </c>
      <c r="E36" s="894" t="s">
        <v>243</v>
      </c>
      <c r="F36" s="894" t="s">
        <v>63</v>
      </c>
      <c r="G36" s="771">
        <f t="shared" si="22"/>
        <v>2877448</v>
      </c>
      <c r="H36" s="893"/>
      <c r="I36" s="332">
        <f t="shared" si="23"/>
        <v>140707.2072</v>
      </c>
      <c r="J36" s="332">
        <f t="shared" si="24"/>
        <v>115097.92</v>
      </c>
      <c r="K36" s="332">
        <f t="shared" si="25"/>
        <v>57548.96</v>
      </c>
      <c r="L36" s="626">
        <v>15000</v>
      </c>
      <c r="M36" s="631">
        <f t="shared" si="26"/>
        <v>3205802.0872</v>
      </c>
      <c r="N36" s="304">
        <f t="shared" si="27"/>
        <v>256464.166976</v>
      </c>
      <c r="O36" s="490">
        <v>1170000</v>
      </c>
      <c r="P36" s="225"/>
      <c r="Q36" s="800"/>
      <c r="R36" s="236">
        <f t="shared" si="28"/>
        <v>4632266.254176</v>
      </c>
      <c r="S36" s="725">
        <f t="shared" si="29"/>
        <v>25646.4166976</v>
      </c>
      <c r="T36" s="237">
        <f t="shared" si="30"/>
        <v>4657912.6708736</v>
      </c>
      <c r="U36" s="919">
        <v>44378</v>
      </c>
      <c r="V36" s="919">
        <v>44469</v>
      </c>
      <c r="W36" s="181"/>
      <c r="X36" s="906"/>
      <c r="Y36" s="906"/>
      <c r="Z36" s="188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</row>
    <row r="37" ht="18" customHeight="1" s="762" customFormat="1">
      <c r="A37" s="377" t="s">
        <v>59</v>
      </c>
      <c r="B37" s="962" t="s">
        <v>295</v>
      </c>
      <c r="C37" s="880" t="s">
        <v>296</v>
      </c>
      <c r="D37" s="782" t="s">
        <v>84</v>
      </c>
      <c r="E37" s="894" t="s">
        <v>243</v>
      </c>
      <c r="F37" s="894" t="s">
        <v>63</v>
      </c>
      <c r="G37" s="771">
        <f t="shared" si="22"/>
        <v>2877448</v>
      </c>
      <c r="H37" s="893"/>
      <c r="I37" s="332">
        <f t="shared" si="23"/>
        <v>140707.2072</v>
      </c>
      <c r="J37" s="332">
        <f t="shared" si="24"/>
        <v>115097.92</v>
      </c>
      <c r="K37" s="332">
        <f t="shared" si="25"/>
        <v>57548.96</v>
      </c>
      <c r="L37" s="626">
        <v>15000</v>
      </c>
      <c r="M37" s="631">
        <f t="shared" si="26"/>
        <v>3205802.0872</v>
      </c>
      <c r="N37" s="304">
        <f t="shared" si="27"/>
        <v>256464.166976</v>
      </c>
      <c r="O37" s="490">
        <v>1872000</v>
      </c>
      <c r="P37" s="225"/>
      <c r="Q37" s="800"/>
      <c r="R37" s="236">
        <f t="shared" si="28"/>
        <v>5334266.254176</v>
      </c>
      <c r="S37" s="725">
        <f t="shared" si="29"/>
        <v>25646.4166976</v>
      </c>
      <c r="T37" s="237">
        <f t="shared" si="30"/>
        <v>5359912.6708736</v>
      </c>
      <c r="U37" s="919">
        <v>44378</v>
      </c>
      <c r="V37" s="920">
        <v>44469</v>
      </c>
      <c r="W37" s="181"/>
      <c r="X37" s="906"/>
      <c r="Y37" s="906"/>
      <c r="Z37" s="188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</row>
    <row r="38" ht="18" customHeight="1" s="762" customFormat="1">
      <c r="A38" s="377" t="s">
        <v>59</v>
      </c>
      <c r="B38" s="962" t="s">
        <v>297</v>
      </c>
      <c r="C38" s="880" t="s">
        <v>298</v>
      </c>
      <c r="D38" s="782" t="s">
        <v>84</v>
      </c>
      <c r="E38" s="894" t="s">
        <v>243</v>
      </c>
      <c r="F38" s="894" t="s">
        <v>63</v>
      </c>
      <c r="G38" s="771">
        <f t="shared" si="22"/>
        <v>2877448</v>
      </c>
      <c r="H38" s="893"/>
      <c r="I38" s="332">
        <f t="shared" si="23"/>
        <v>140707.2072</v>
      </c>
      <c r="J38" s="332">
        <f t="shared" si="24"/>
        <v>115097.92</v>
      </c>
      <c r="K38" s="332">
        <f t="shared" si="25"/>
        <v>57548.96</v>
      </c>
      <c r="L38" s="626">
        <v>15000</v>
      </c>
      <c r="M38" s="631">
        <f t="shared" si="26"/>
        <v>3205802.0872</v>
      </c>
      <c r="N38" s="304">
        <f t="shared" si="27"/>
        <v>256464.166976</v>
      </c>
      <c r="O38" s="490">
        <v>1352000</v>
      </c>
      <c r="P38" s="225"/>
      <c r="Q38" s="800"/>
      <c r="R38" s="236">
        <f t="shared" si="28"/>
        <v>4814266.254176</v>
      </c>
      <c r="S38" s="725">
        <f t="shared" si="29"/>
        <v>25646.4166976</v>
      </c>
      <c r="T38" s="237">
        <f t="shared" si="30"/>
        <v>4839912.6708736</v>
      </c>
      <c r="U38" s="919">
        <v>44378</v>
      </c>
      <c r="V38" s="919">
        <v>44469</v>
      </c>
      <c r="W38" s="181"/>
      <c r="X38" s="906"/>
      <c r="Y38" s="906"/>
      <c r="Z38" s="188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</row>
    <row r="39" ht="18" customHeight="1" s="762" customFormat="1">
      <c r="A39" s="377" t="s">
        <v>59</v>
      </c>
      <c r="B39" s="963" t="s">
        <v>299</v>
      </c>
      <c r="C39" s="880" t="s">
        <v>300</v>
      </c>
      <c r="D39" s="782" t="s">
        <v>84</v>
      </c>
      <c r="E39" s="894" t="s">
        <v>243</v>
      </c>
      <c r="F39" s="894" t="s">
        <v>63</v>
      </c>
      <c r="G39" s="771">
        <f t="shared" si="22"/>
        <v>2877448</v>
      </c>
      <c r="H39" s="893"/>
      <c r="I39" s="332">
        <f t="shared" si="23"/>
        <v>140707.2072</v>
      </c>
      <c r="J39" s="332">
        <f t="shared" si="24"/>
        <v>115097.92</v>
      </c>
      <c r="K39" s="332">
        <f t="shared" si="25"/>
        <v>57548.96</v>
      </c>
      <c r="L39" s="626">
        <v>15000</v>
      </c>
      <c r="M39" s="631">
        <f t="shared" si="26"/>
        <v>3205802.0872</v>
      </c>
      <c r="N39" s="304">
        <f t="shared" si="27"/>
        <v>256464.166976</v>
      </c>
      <c r="O39" s="490">
        <v>1248000</v>
      </c>
      <c r="P39" s="225"/>
      <c r="Q39" s="800"/>
      <c r="R39" s="236">
        <f t="shared" si="28"/>
        <v>4710266.254176</v>
      </c>
      <c r="S39" s="725">
        <f t="shared" si="29"/>
        <v>25646.4166976</v>
      </c>
      <c r="T39" s="237">
        <f t="shared" si="30"/>
        <v>4735912.6708736</v>
      </c>
      <c r="U39" s="919">
        <v>44378</v>
      </c>
      <c r="V39" s="919">
        <v>44469</v>
      </c>
      <c r="W39" s="181"/>
      <c r="X39" s="906"/>
      <c r="Y39" s="906"/>
      <c r="Z39" s="188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/>
      <c r="BC39" s="181"/>
      <c r="BD39" s="181"/>
      <c r="BE39" s="181"/>
      <c r="BF39" s="181"/>
      <c r="BG39" s="181"/>
      <c r="BH39" s="181"/>
      <c r="BI39" s="181"/>
      <c r="BJ39" s="181"/>
      <c r="BK39" s="181"/>
      <c r="BL39" s="181"/>
      <c r="BM39" s="181"/>
      <c r="BN39" s="181"/>
      <c r="BO39" s="181"/>
      <c r="BP39" s="181"/>
    </row>
    <row r="40" ht="18" customHeight="1" s="762" customFormat="1">
      <c r="A40" s="377" t="s">
        <v>59</v>
      </c>
      <c r="B40" s="963" t="s">
        <v>301</v>
      </c>
      <c r="C40" s="880" t="s">
        <v>302</v>
      </c>
      <c r="D40" s="782" t="s">
        <v>84</v>
      </c>
      <c r="E40" s="894" t="s">
        <v>243</v>
      </c>
      <c r="F40" s="894" t="s">
        <v>63</v>
      </c>
      <c r="G40" s="771">
        <f t="shared" si="22"/>
        <v>2877448</v>
      </c>
      <c r="H40" s="893"/>
      <c r="I40" s="332">
        <f t="shared" si="23"/>
        <v>140707.2072</v>
      </c>
      <c r="J40" s="332">
        <f t="shared" si="24"/>
        <v>115097.92</v>
      </c>
      <c r="K40" s="332">
        <f t="shared" si="25"/>
        <v>57548.96</v>
      </c>
      <c r="L40" s="626">
        <v>15000</v>
      </c>
      <c r="M40" s="631">
        <f t="shared" si="26"/>
        <v>3205802.0872</v>
      </c>
      <c r="N40" s="304">
        <f t="shared" si="27"/>
        <v>256464.166976</v>
      </c>
      <c r="O40" s="490">
        <v>1339000</v>
      </c>
      <c r="P40" s="225"/>
      <c r="Q40" s="800"/>
      <c r="R40" s="236">
        <f t="shared" si="28"/>
        <v>4801266.254176</v>
      </c>
      <c r="S40" s="725">
        <f t="shared" si="29"/>
        <v>25646.4166976</v>
      </c>
      <c r="T40" s="237">
        <f t="shared" si="30"/>
        <v>4826912.6708736</v>
      </c>
      <c r="U40" s="919">
        <v>44378</v>
      </c>
      <c r="V40" s="919">
        <v>44469</v>
      </c>
      <c r="W40" s="181"/>
      <c r="X40" s="906"/>
      <c r="Y40" s="906"/>
      <c r="Z40" s="188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  <c r="BD40" s="181"/>
      <c r="BE40" s="181"/>
      <c r="BF40" s="181"/>
      <c r="BG40" s="181"/>
      <c r="BH40" s="181"/>
      <c r="BI40" s="181"/>
      <c r="BJ40" s="181"/>
      <c r="BK40" s="181"/>
      <c r="BL40" s="181"/>
      <c r="BM40" s="181"/>
      <c r="BN40" s="181"/>
      <c r="BO40" s="181"/>
      <c r="BP40" s="181"/>
    </row>
    <row r="41" ht="18" customHeight="1" s="762" customFormat="1">
      <c r="A41" s="377" t="s">
        <v>59</v>
      </c>
      <c r="B41" s="964" t="s">
        <v>303</v>
      </c>
      <c r="C41" s="769" t="s">
        <v>304</v>
      </c>
      <c r="D41" s="896" t="s">
        <v>84</v>
      </c>
      <c r="E41" s="894" t="s">
        <v>243</v>
      </c>
      <c r="F41" s="894" t="s">
        <v>63</v>
      </c>
      <c r="G41" s="771">
        <f t="shared" si="22"/>
        <v>2877448</v>
      </c>
      <c r="H41" s="893"/>
      <c r="I41" s="332">
        <f t="shared" si="23"/>
        <v>140707.2072</v>
      </c>
      <c r="J41" s="332">
        <f t="shared" si="24"/>
        <v>115097.92</v>
      </c>
      <c r="K41" s="332">
        <f t="shared" si="25"/>
        <v>57548.96</v>
      </c>
      <c r="L41" s="626">
        <v>15000</v>
      </c>
      <c r="M41" s="631">
        <f t="shared" si="26"/>
        <v>3205802.0872</v>
      </c>
      <c r="N41" s="304">
        <f t="shared" si="27"/>
        <v>256464.166976</v>
      </c>
      <c r="O41" s="490">
        <v>1300000</v>
      </c>
      <c r="P41" s="225"/>
      <c r="Q41" s="800"/>
      <c r="R41" s="236">
        <f t="shared" si="28"/>
        <v>4762266.254176</v>
      </c>
      <c r="S41" s="725">
        <f t="shared" si="29"/>
        <v>25646.4166976</v>
      </c>
      <c r="T41" s="237">
        <f t="shared" si="30"/>
        <v>4787912.6708736</v>
      </c>
      <c r="U41" s="919">
        <v>44378</v>
      </c>
      <c r="V41" s="919">
        <v>44469</v>
      </c>
      <c r="W41" s="181"/>
      <c r="X41" s="906"/>
      <c r="Y41" s="906"/>
      <c r="Z41" s="188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</row>
    <row r="42" ht="18" customHeight="1" s="762" customFormat="1">
      <c r="A42" s="377" t="s">
        <v>59</v>
      </c>
      <c r="B42" s="963" t="s">
        <v>305</v>
      </c>
      <c r="C42" s="769" t="s">
        <v>306</v>
      </c>
      <c r="D42" s="896" t="s">
        <v>84</v>
      </c>
      <c r="E42" s="894" t="s">
        <v>243</v>
      </c>
      <c r="F42" s="894" t="s">
        <v>63</v>
      </c>
      <c r="G42" s="771">
        <f t="shared" si="22"/>
        <v>2877448</v>
      </c>
      <c r="H42" s="893"/>
      <c r="I42" s="332">
        <f t="shared" si="23"/>
        <v>140707.2072</v>
      </c>
      <c r="J42" s="332">
        <f t="shared" si="24"/>
        <v>115097.92</v>
      </c>
      <c r="K42" s="332">
        <f t="shared" si="25"/>
        <v>57548.96</v>
      </c>
      <c r="L42" s="626">
        <v>15000</v>
      </c>
      <c r="M42" s="631">
        <f t="shared" si="26"/>
        <v>3205802.0872</v>
      </c>
      <c r="N42" s="304">
        <f t="shared" si="27"/>
        <v>256464.166976</v>
      </c>
      <c r="O42" s="490">
        <v>1430000</v>
      </c>
      <c r="P42" s="225"/>
      <c r="Q42" s="800"/>
      <c r="R42" s="236">
        <f t="shared" si="28"/>
        <v>4892266.254176</v>
      </c>
      <c r="S42" s="725">
        <f t="shared" si="29"/>
        <v>25646.4166976</v>
      </c>
      <c r="T42" s="237">
        <f t="shared" si="30"/>
        <v>4917912.6708736</v>
      </c>
      <c r="U42" s="921">
        <v>44378</v>
      </c>
      <c r="V42" s="922">
        <v>44469</v>
      </c>
      <c r="W42" s="181"/>
      <c r="X42" s="906"/>
      <c r="Y42" s="906"/>
      <c r="Z42" s="188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</row>
    <row r="43" ht="18" customHeight="1" s="181" customFormat="1">
      <c r="A43" s="377" t="s">
        <v>59</v>
      </c>
      <c r="B43" s="962" t="s">
        <v>307</v>
      </c>
      <c r="C43" s="879" t="s">
        <v>308</v>
      </c>
      <c r="D43" s="894" t="s">
        <v>84</v>
      </c>
      <c r="E43" s="894" t="s">
        <v>243</v>
      </c>
      <c r="F43" s="894" t="s">
        <v>63</v>
      </c>
      <c r="G43" s="771">
        <f t="shared" si="22"/>
        <v>2877448</v>
      </c>
      <c r="H43" s="893"/>
      <c r="I43" s="332">
        <f t="shared" si="23"/>
        <v>140707.2072</v>
      </c>
      <c r="J43" s="332">
        <f t="shared" si="24"/>
        <v>115097.92</v>
      </c>
      <c r="K43" s="332">
        <f t="shared" si="25"/>
        <v>57548.96</v>
      </c>
      <c r="L43" s="626">
        <v>15000</v>
      </c>
      <c r="M43" s="631">
        <f t="shared" si="26"/>
        <v>3205802.0872</v>
      </c>
      <c r="N43" s="304">
        <f t="shared" si="27"/>
        <v>256464.166976</v>
      </c>
      <c r="O43" s="490">
        <v>1287000</v>
      </c>
      <c r="P43" s="225"/>
      <c r="Q43" s="800"/>
      <c r="R43" s="236">
        <f t="shared" si="28"/>
        <v>4749266.254176</v>
      </c>
      <c r="S43" s="725">
        <f t="shared" si="29"/>
        <v>25646.4166976</v>
      </c>
      <c r="T43" s="237">
        <f t="shared" si="30"/>
        <v>4774912.6708736</v>
      </c>
      <c r="U43" s="919">
        <v>44378</v>
      </c>
      <c r="V43" s="919">
        <v>44469</v>
      </c>
      <c r="X43" s="906"/>
      <c r="Y43" s="906"/>
      <c r="Z43" s="188"/>
    </row>
    <row r="44" ht="18" customHeight="1" s="181" customFormat="1">
      <c r="A44" s="377" t="s">
        <v>59</v>
      </c>
      <c r="B44" s="965" t="s">
        <v>309</v>
      </c>
      <c r="C44" s="769" t="s">
        <v>310</v>
      </c>
      <c r="D44" s="380" t="s">
        <v>84</v>
      </c>
      <c r="E44" s="380" t="s">
        <v>243</v>
      </c>
      <c r="F44" s="380" t="s">
        <v>63</v>
      </c>
      <c r="G44" s="771">
        <f t="shared" si="22"/>
        <v>2877448</v>
      </c>
      <c r="H44" s="893"/>
      <c r="I44" s="332">
        <f t="shared" si="23"/>
        <v>140707.2072</v>
      </c>
      <c r="J44" s="332">
        <f t="shared" si="24"/>
        <v>115097.92</v>
      </c>
      <c r="K44" s="332">
        <f t="shared" si="25"/>
        <v>57548.96</v>
      </c>
      <c r="L44" s="626">
        <v>15000</v>
      </c>
      <c r="M44" s="304">
        <f t="shared" si="26"/>
        <v>3205802.0872</v>
      </c>
      <c r="N44" s="304">
        <f t="shared" si="27"/>
        <v>256464.166976</v>
      </c>
      <c r="O44" s="490">
        <v>1534000</v>
      </c>
      <c r="P44" s="225"/>
      <c r="Q44" s="715"/>
      <c r="R44" s="236">
        <f t="shared" si="28"/>
        <v>4996266.254176</v>
      </c>
      <c r="S44" s="725">
        <f t="shared" si="29"/>
        <v>25646.4166976</v>
      </c>
      <c r="T44" s="237">
        <f t="shared" si="30"/>
        <v>5021912.6708736</v>
      </c>
      <c r="U44" s="917">
        <v>44348</v>
      </c>
      <c r="V44" s="918">
        <v>44439</v>
      </c>
      <c r="X44" s="906"/>
      <c r="Y44" s="906"/>
      <c r="Z44" s="188"/>
    </row>
    <row r="45" ht="18" customHeight="1" s="181" customFormat="1">
      <c r="A45" s="377" t="s">
        <v>59</v>
      </c>
      <c r="B45" s="965" t="s">
        <v>311</v>
      </c>
      <c r="C45" s="769" t="s">
        <v>312</v>
      </c>
      <c r="D45" s="380" t="s">
        <v>84</v>
      </c>
      <c r="E45" s="380" t="s">
        <v>243</v>
      </c>
      <c r="F45" s="380" t="s">
        <v>63</v>
      </c>
      <c r="G45" s="771">
        <f t="shared" si="22"/>
        <v>2877448</v>
      </c>
      <c r="H45" s="893"/>
      <c r="I45" s="332">
        <f t="shared" si="23"/>
        <v>140707.2072</v>
      </c>
      <c r="J45" s="332">
        <f t="shared" si="24"/>
        <v>115097.92</v>
      </c>
      <c r="K45" s="332">
        <f t="shared" si="25"/>
        <v>57548.96</v>
      </c>
      <c r="L45" s="626">
        <v>15000</v>
      </c>
      <c r="M45" s="304">
        <f t="shared" si="26"/>
        <v>3205802.0872</v>
      </c>
      <c r="N45" s="304">
        <f t="shared" si="27"/>
        <v>256464.166976</v>
      </c>
      <c r="O45" s="490">
        <v>1183000</v>
      </c>
      <c r="P45" s="225"/>
      <c r="Q45" s="715"/>
      <c r="R45" s="236">
        <f t="shared" si="28"/>
        <v>4645266.254176</v>
      </c>
      <c r="S45" s="725">
        <f t="shared" si="29"/>
        <v>25646.4166976</v>
      </c>
      <c r="T45" s="237">
        <f t="shared" si="30"/>
        <v>4670912.6708736</v>
      </c>
      <c r="U45" s="904">
        <v>44348</v>
      </c>
      <c r="V45" s="905">
        <v>44439</v>
      </c>
      <c r="X45" s="906"/>
      <c r="Y45" s="906"/>
      <c r="Z45" s="188"/>
    </row>
    <row r="46" ht="18" customHeight="1" s="181" customFormat="1">
      <c r="A46" s="377" t="s">
        <v>59</v>
      </c>
      <c r="B46" s="965" t="s">
        <v>313</v>
      </c>
      <c r="C46" s="769" t="s">
        <v>314</v>
      </c>
      <c r="D46" s="380" t="s">
        <v>84</v>
      </c>
      <c r="E46" s="380" t="s">
        <v>243</v>
      </c>
      <c r="F46" s="380" t="s">
        <v>63</v>
      </c>
      <c r="G46" s="771">
        <f t="shared" si="22"/>
        <v>2877448</v>
      </c>
      <c r="H46" s="893"/>
      <c r="I46" s="332">
        <f t="shared" si="23"/>
        <v>140707.2072</v>
      </c>
      <c r="J46" s="332">
        <f t="shared" si="24"/>
        <v>115097.92</v>
      </c>
      <c r="K46" s="332">
        <f t="shared" si="25"/>
        <v>57548.96</v>
      </c>
      <c r="L46" s="626">
        <v>15000</v>
      </c>
      <c r="M46" s="304">
        <f t="shared" si="26"/>
        <v>3205802.0872</v>
      </c>
      <c r="N46" s="304">
        <f t="shared" si="27"/>
        <v>256464.166976</v>
      </c>
      <c r="O46" s="490">
        <v>1443000</v>
      </c>
      <c r="P46" s="225"/>
      <c r="Q46" s="715"/>
      <c r="R46" s="236">
        <f t="shared" si="28"/>
        <v>4905266.254176</v>
      </c>
      <c r="S46" s="725">
        <f t="shared" si="29"/>
        <v>25646.4166976</v>
      </c>
      <c r="T46" s="237">
        <f t="shared" si="30"/>
        <v>4930912.6708736</v>
      </c>
      <c r="U46" s="921">
        <v>44348</v>
      </c>
      <c r="V46" s="922">
        <v>44439</v>
      </c>
      <c r="X46" s="906"/>
      <c r="Y46" s="906"/>
      <c r="Z46" s="188"/>
    </row>
    <row r="47" ht="18" customHeight="1" s="181" customFormat="1">
      <c r="A47" s="377" t="s">
        <v>59</v>
      </c>
      <c r="B47" s="965" t="s">
        <v>315</v>
      </c>
      <c r="C47" s="769" t="s">
        <v>316</v>
      </c>
      <c r="D47" s="380" t="s">
        <v>84</v>
      </c>
      <c r="E47" s="380" t="s">
        <v>243</v>
      </c>
      <c r="F47" s="380" t="s">
        <v>63</v>
      </c>
      <c r="G47" s="771">
        <f t="shared" si="22"/>
        <v>2877448</v>
      </c>
      <c r="H47" s="893"/>
      <c r="I47" s="332">
        <f t="shared" si="23"/>
        <v>140707.2072</v>
      </c>
      <c r="J47" s="332">
        <f t="shared" si="24"/>
        <v>115097.92</v>
      </c>
      <c r="K47" s="332">
        <f t="shared" si="25"/>
        <v>57548.96</v>
      </c>
      <c r="L47" s="626">
        <v>15000</v>
      </c>
      <c r="M47" s="304">
        <f t="shared" si="26"/>
        <v>3205802.0872</v>
      </c>
      <c r="N47" s="304">
        <f t="shared" si="27"/>
        <v>256464.166976</v>
      </c>
      <c r="O47" s="490">
        <v>1482000</v>
      </c>
      <c r="P47" s="225"/>
      <c r="Q47" s="715"/>
      <c r="R47" s="236">
        <f t="shared" si="28"/>
        <v>4944266.254176</v>
      </c>
      <c r="S47" s="725">
        <f t="shared" si="29"/>
        <v>25646.4166976</v>
      </c>
      <c r="T47" s="237">
        <f t="shared" si="30"/>
        <v>4969912.6708736</v>
      </c>
      <c r="U47" s="917">
        <v>44409</v>
      </c>
      <c r="V47" s="918">
        <v>44500</v>
      </c>
      <c r="X47" s="906"/>
      <c r="Y47" s="906"/>
      <c r="Z47" s="188"/>
    </row>
    <row r="48" ht="18" customHeight="1" s="181" customFormat="1">
      <c r="A48" s="377" t="s">
        <v>59</v>
      </c>
      <c r="B48" s="965" t="s">
        <v>317</v>
      </c>
      <c r="C48" s="769" t="s">
        <v>318</v>
      </c>
      <c r="D48" s="380" t="s">
        <v>84</v>
      </c>
      <c r="E48" s="380" t="s">
        <v>243</v>
      </c>
      <c r="F48" s="380" t="s">
        <v>63</v>
      </c>
      <c r="G48" s="771">
        <f t="shared" si="22"/>
        <v>2877448</v>
      </c>
      <c r="H48" s="893"/>
      <c r="I48" s="332">
        <f t="shared" si="23"/>
        <v>140707.2072</v>
      </c>
      <c r="J48" s="332">
        <f t="shared" si="24"/>
        <v>115097.92</v>
      </c>
      <c r="K48" s="332">
        <f t="shared" si="25"/>
        <v>57548.96</v>
      </c>
      <c r="L48" s="626">
        <v>15000</v>
      </c>
      <c r="M48" s="304">
        <f t="shared" si="26"/>
        <v>3205802.0872</v>
      </c>
      <c r="N48" s="304">
        <f t="shared" si="27"/>
        <v>256464.166976</v>
      </c>
      <c r="O48" s="490">
        <v>1300000</v>
      </c>
      <c r="P48" s="225"/>
      <c r="Q48" s="715"/>
      <c r="R48" s="236">
        <f t="shared" si="28"/>
        <v>4762266.254176</v>
      </c>
      <c r="S48" s="725">
        <f t="shared" si="29"/>
        <v>25646.4166976</v>
      </c>
      <c r="T48" s="237">
        <f t="shared" si="30"/>
        <v>4787912.6708736</v>
      </c>
      <c r="U48" s="904">
        <v>44348</v>
      </c>
      <c r="V48" s="905">
        <v>44439</v>
      </c>
      <c r="X48" s="906"/>
      <c r="Y48" s="906"/>
      <c r="Z48" s="188"/>
    </row>
    <row r="49" ht="18" customHeight="1" s="181" customFormat="1">
      <c r="A49" s="377" t="s">
        <v>59</v>
      </c>
      <c r="B49" s="965" t="s">
        <v>319</v>
      </c>
      <c r="C49" s="769" t="s">
        <v>320</v>
      </c>
      <c r="D49" s="380" t="s">
        <v>84</v>
      </c>
      <c r="E49" s="380" t="s">
        <v>243</v>
      </c>
      <c r="F49" s="380" t="s">
        <v>63</v>
      </c>
      <c r="G49" s="771">
        <f t="shared" si="22"/>
        <v>2877448</v>
      </c>
      <c r="H49" s="893"/>
      <c r="I49" s="332">
        <f t="shared" si="23"/>
        <v>140707.2072</v>
      </c>
      <c r="J49" s="332">
        <f t="shared" si="24"/>
        <v>115097.92</v>
      </c>
      <c r="K49" s="332">
        <f t="shared" si="25"/>
        <v>57548.96</v>
      </c>
      <c r="L49" s="626">
        <v>15000</v>
      </c>
      <c r="M49" s="304">
        <f t="shared" si="26"/>
        <v>3205802.0872</v>
      </c>
      <c r="N49" s="304">
        <f t="shared" si="27"/>
        <v>256464.166976</v>
      </c>
      <c r="O49" s="490">
        <v>1183000</v>
      </c>
      <c r="P49" s="225"/>
      <c r="Q49" s="715"/>
      <c r="R49" s="236">
        <f t="shared" si="28"/>
        <v>4645266.254176</v>
      </c>
      <c r="S49" s="725">
        <f t="shared" si="29"/>
        <v>25646.4166976</v>
      </c>
      <c r="T49" s="237">
        <f t="shared" si="30"/>
        <v>4670912.6708736</v>
      </c>
      <c r="U49" s="904">
        <v>44348</v>
      </c>
      <c r="V49" s="905">
        <v>44439</v>
      </c>
      <c r="X49" s="906"/>
      <c r="Y49" s="906"/>
      <c r="Z49" s="188"/>
    </row>
    <row r="50" ht="18" customHeight="1" s="181" customFormat="1">
      <c r="A50" s="377" t="s">
        <v>59</v>
      </c>
      <c r="B50" s="965" t="s">
        <v>321</v>
      </c>
      <c r="C50" s="769" t="s">
        <v>322</v>
      </c>
      <c r="D50" s="380" t="s">
        <v>84</v>
      </c>
      <c r="E50" s="380" t="s">
        <v>243</v>
      </c>
      <c r="F50" s="380" t="s">
        <v>63</v>
      </c>
      <c r="G50" s="771">
        <f t="shared" si="22"/>
        <v>2877448</v>
      </c>
      <c r="H50" s="893"/>
      <c r="I50" s="332">
        <f t="shared" si="23"/>
        <v>140707.2072</v>
      </c>
      <c r="J50" s="332">
        <f t="shared" si="24"/>
        <v>115097.92</v>
      </c>
      <c r="K50" s="332">
        <f t="shared" si="25"/>
        <v>57548.96</v>
      </c>
      <c r="L50" s="626">
        <v>15000</v>
      </c>
      <c r="M50" s="304">
        <f t="shared" si="26"/>
        <v>3205802.0872</v>
      </c>
      <c r="N50" s="304">
        <f t="shared" si="27"/>
        <v>256464.166976</v>
      </c>
      <c r="O50" s="490">
        <v>1255000</v>
      </c>
      <c r="P50" s="225"/>
      <c r="Q50" s="715"/>
      <c r="R50" s="236">
        <f t="shared" si="28"/>
        <v>4717266.254176</v>
      </c>
      <c r="S50" s="725">
        <f t="shared" si="29"/>
        <v>25646.4166976</v>
      </c>
      <c r="T50" s="237">
        <f t="shared" si="30"/>
        <v>4742912.6708736</v>
      </c>
      <c r="U50" s="904">
        <v>44348</v>
      </c>
      <c r="V50" s="905">
        <v>44439</v>
      </c>
      <c r="X50" s="906"/>
      <c r="Y50" s="906"/>
      <c r="Z50" s="188"/>
    </row>
    <row r="51" ht="18" customHeight="1" s="181" customFormat="1">
      <c r="A51" s="377" t="s">
        <v>59</v>
      </c>
      <c r="B51" s="965" t="s">
        <v>323</v>
      </c>
      <c r="C51" s="769" t="s">
        <v>324</v>
      </c>
      <c r="D51" s="380" t="s">
        <v>84</v>
      </c>
      <c r="E51" s="380" t="s">
        <v>243</v>
      </c>
      <c r="F51" s="380" t="s">
        <v>63</v>
      </c>
      <c r="G51" s="771">
        <f t="shared" si="22"/>
        <v>2877448</v>
      </c>
      <c r="H51" s="893"/>
      <c r="I51" s="332">
        <f ref="I51:I80" t="shared" si="32">+$G$4*4.89%</f>
        <v>140707.2072</v>
      </c>
      <c r="J51" s="332">
        <f ref="J51:J80" t="shared" si="33">+$G$4*4%</f>
        <v>115097.92</v>
      </c>
      <c r="K51" s="332">
        <f ref="K51:K80" t="shared" si="34">+$G$4*2%</f>
        <v>57548.96</v>
      </c>
      <c r="L51" s="626">
        <v>15000</v>
      </c>
      <c r="M51" s="304">
        <f t="shared" si="26"/>
        <v>3205802.0872</v>
      </c>
      <c r="N51" s="304">
        <f t="shared" si="27"/>
        <v>256464.166976</v>
      </c>
      <c r="O51" s="490">
        <v>1014000</v>
      </c>
      <c r="P51" s="225"/>
      <c r="Q51" s="715"/>
      <c r="R51" s="236">
        <f t="shared" si="28"/>
        <v>4476266.254176</v>
      </c>
      <c r="S51" s="725">
        <f t="shared" si="29"/>
        <v>25646.4166976</v>
      </c>
      <c r="T51" s="237">
        <f t="shared" si="30"/>
        <v>4501912.6708736</v>
      </c>
      <c r="U51" s="904">
        <v>44348</v>
      </c>
      <c r="V51" s="905">
        <v>44439</v>
      </c>
      <c r="X51" s="906"/>
      <c r="Y51" s="906"/>
      <c r="Z51" s="188"/>
    </row>
    <row r="52" ht="18" customHeight="1" s="181" customFormat="1">
      <c r="A52" s="377" t="s">
        <v>59</v>
      </c>
      <c r="B52" s="965" t="s">
        <v>325</v>
      </c>
      <c r="C52" s="769" t="s">
        <v>326</v>
      </c>
      <c r="D52" s="380" t="s">
        <v>84</v>
      </c>
      <c r="E52" s="380" t="s">
        <v>243</v>
      </c>
      <c r="F52" s="380" t="s">
        <v>63</v>
      </c>
      <c r="G52" s="771">
        <f t="shared" si="22"/>
        <v>2877448</v>
      </c>
      <c r="H52" s="893"/>
      <c r="I52" s="332">
        <f t="shared" si="32"/>
        <v>140707.2072</v>
      </c>
      <c r="J52" s="332">
        <f t="shared" si="33"/>
        <v>115097.92</v>
      </c>
      <c r="K52" s="332">
        <f t="shared" si="34"/>
        <v>57548.96</v>
      </c>
      <c r="L52" s="626">
        <v>15000</v>
      </c>
      <c r="M52" s="304">
        <f t="shared" si="26"/>
        <v>3205802.0872</v>
      </c>
      <c r="N52" s="304">
        <f t="shared" si="27"/>
        <v>256464.166976</v>
      </c>
      <c r="O52" s="490">
        <v>1677000</v>
      </c>
      <c r="P52" s="225"/>
      <c r="Q52" s="715"/>
      <c r="R52" s="236">
        <f t="shared" si="28"/>
        <v>5139266.254176</v>
      </c>
      <c r="S52" s="725">
        <f t="shared" si="29"/>
        <v>25646.4166976</v>
      </c>
      <c r="T52" s="237">
        <f t="shared" si="30"/>
        <v>5164912.6708736</v>
      </c>
      <c r="U52" s="904">
        <v>44348</v>
      </c>
      <c r="V52" s="905">
        <v>44439</v>
      </c>
      <c r="X52" s="906"/>
      <c r="Y52" s="906"/>
      <c r="Z52" s="188"/>
    </row>
    <row r="53" ht="18" customHeight="1" s="181" customFormat="1">
      <c r="A53" s="377" t="s">
        <v>59</v>
      </c>
      <c r="B53" s="965" t="s">
        <v>327</v>
      </c>
      <c r="C53" s="769" t="s">
        <v>328</v>
      </c>
      <c r="D53" s="380" t="s">
        <v>84</v>
      </c>
      <c r="E53" s="380" t="s">
        <v>243</v>
      </c>
      <c r="F53" s="380" t="s">
        <v>63</v>
      </c>
      <c r="G53" s="771">
        <f t="shared" si="22"/>
        <v>2877448</v>
      </c>
      <c r="H53" s="893"/>
      <c r="I53" s="332">
        <f t="shared" si="32"/>
        <v>140707.2072</v>
      </c>
      <c r="J53" s="332">
        <f t="shared" si="33"/>
        <v>115097.92</v>
      </c>
      <c r="K53" s="332">
        <f t="shared" si="34"/>
        <v>57548.96</v>
      </c>
      <c r="L53" s="626">
        <v>15000</v>
      </c>
      <c r="M53" s="304">
        <f t="shared" si="26"/>
        <v>3205802.0872</v>
      </c>
      <c r="N53" s="304">
        <f t="shared" si="27"/>
        <v>256464.166976</v>
      </c>
      <c r="O53" s="490">
        <v>1177000</v>
      </c>
      <c r="P53" s="225"/>
      <c r="Q53" s="715"/>
      <c r="R53" s="236">
        <f t="shared" si="28"/>
        <v>4639266.254176</v>
      </c>
      <c r="S53" s="725">
        <f t="shared" si="29"/>
        <v>25646.4166976</v>
      </c>
      <c r="T53" s="237">
        <f t="shared" si="30"/>
        <v>4664912.6708736</v>
      </c>
      <c r="U53" s="904">
        <v>44348</v>
      </c>
      <c r="V53" s="905">
        <v>44439</v>
      </c>
      <c r="X53" s="906"/>
      <c r="Y53" s="906"/>
      <c r="Z53" s="188"/>
    </row>
    <row r="54" ht="18" customHeight="1" s="181" customFormat="1">
      <c r="A54" s="377" t="s">
        <v>59</v>
      </c>
      <c r="B54" s="962" t="s">
        <v>329</v>
      </c>
      <c r="C54" s="784" t="s">
        <v>330</v>
      </c>
      <c r="D54" s="894" t="s">
        <v>84</v>
      </c>
      <c r="E54" s="894" t="s">
        <v>243</v>
      </c>
      <c r="F54" s="894" t="s">
        <v>63</v>
      </c>
      <c r="G54" s="771">
        <f t="shared" si="22"/>
        <v>2877448</v>
      </c>
      <c r="H54" s="893"/>
      <c r="I54" s="332">
        <f t="shared" si="32"/>
        <v>140707.2072</v>
      </c>
      <c r="J54" s="332">
        <f t="shared" si="33"/>
        <v>115097.92</v>
      </c>
      <c r="K54" s="332">
        <f t="shared" si="34"/>
        <v>57548.96</v>
      </c>
      <c r="L54" s="626">
        <v>15000</v>
      </c>
      <c r="M54" s="631">
        <f t="shared" si="26"/>
        <v>3205802.0872</v>
      </c>
      <c r="N54" s="304">
        <f t="shared" si="27"/>
        <v>256464.166976</v>
      </c>
      <c r="O54" s="490">
        <v>1755000</v>
      </c>
      <c r="P54" s="225"/>
      <c r="Q54" s="800"/>
      <c r="R54" s="236">
        <f t="shared" si="28"/>
        <v>5217266.254176</v>
      </c>
      <c r="S54" s="725">
        <f t="shared" si="29"/>
        <v>25646.4166976</v>
      </c>
      <c r="T54" s="237">
        <f t="shared" si="30"/>
        <v>5242912.6708736</v>
      </c>
      <c r="U54" s="923">
        <v>44348</v>
      </c>
      <c r="V54" s="924">
        <v>44439</v>
      </c>
      <c r="X54" s="906"/>
      <c r="Y54" s="906"/>
      <c r="Z54" s="188"/>
    </row>
    <row r="55" ht="18" customHeight="1" s="181" customFormat="1">
      <c r="A55" s="377" t="s">
        <v>59</v>
      </c>
      <c r="B55" s="965" t="s">
        <v>331</v>
      </c>
      <c r="C55" s="769" t="s">
        <v>332</v>
      </c>
      <c r="D55" s="380" t="s">
        <v>84</v>
      </c>
      <c r="E55" s="380" t="s">
        <v>243</v>
      </c>
      <c r="F55" s="380" t="s">
        <v>63</v>
      </c>
      <c r="G55" s="771">
        <f t="shared" si="22"/>
        <v>2877448</v>
      </c>
      <c r="H55" s="893"/>
      <c r="I55" s="332">
        <f t="shared" si="32"/>
        <v>140707.2072</v>
      </c>
      <c r="J55" s="332">
        <f t="shared" si="33"/>
        <v>115097.92</v>
      </c>
      <c r="K55" s="332">
        <f t="shared" si="34"/>
        <v>57548.96</v>
      </c>
      <c r="L55" s="626">
        <v>15000</v>
      </c>
      <c r="M55" s="304">
        <f t="shared" si="26"/>
        <v>3205802.0872</v>
      </c>
      <c r="N55" s="304">
        <f t="shared" si="27"/>
        <v>256464.166976</v>
      </c>
      <c r="O55" s="490">
        <v>1209000</v>
      </c>
      <c r="P55" s="225"/>
      <c r="Q55" s="715"/>
      <c r="R55" s="236">
        <f t="shared" si="28"/>
        <v>4671266.254176</v>
      </c>
      <c r="S55" s="725">
        <f t="shared" si="29"/>
        <v>25646.4166976</v>
      </c>
      <c r="T55" s="237">
        <f t="shared" si="30"/>
        <v>4696912.6708736</v>
      </c>
      <c r="U55" s="921">
        <v>44348</v>
      </c>
      <c r="V55" s="922">
        <v>44439</v>
      </c>
      <c r="X55" s="906"/>
      <c r="Y55" s="906"/>
      <c r="Z55" s="188"/>
    </row>
    <row r="56" ht="18" customHeight="1" s="181" customFormat="1">
      <c r="A56" s="377" t="s">
        <v>59</v>
      </c>
      <c r="B56" s="965" t="s">
        <v>333</v>
      </c>
      <c r="C56" s="769" t="s">
        <v>334</v>
      </c>
      <c r="D56" s="380" t="s">
        <v>84</v>
      </c>
      <c r="E56" s="380" t="s">
        <v>243</v>
      </c>
      <c r="F56" s="380" t="s">
        <v>63</v>
      </c>
      <c r="G56" s="771">
        <f t="shared" si="22"/>
        <v>2877448</v>
      </c>
      <c r="H56" s="893">
        <f>-2877448/25*1</f>
        <v>-115097.92</v>
      </c>
      <c r="I56" s="332">
        <f t="shared" si="32"/>
        <v>140707.2072</v>
      </c>
      <c r="J56" s="332">
        <f t="shared" si="33"/>
        <v>115097.92</v>
      </c>
      <c r="K56" s="332">
        <f t="shared" si="34"/>
        <v>57548.96</v>
      </c>
      <c r="L56" s="626">
        <v>15000</v>
      </c>
      <c r="M56" s="304">
        <f t="shared" si="26"/>
        <v>3090704.1672</v>
      </c>
      <c r="N56" s="304">
        <f t="shared" si="27"/>
        <v>247256.333376</v>
      </c>
      <c r="O56" s="490">
        <v>1391000</v>
      </c>
      <c r="P56" s="225"/>
      <c r="Q56" s="715"/>
      <c r="R56" s="236">
        <f t="shared" si="28"/>
        <v>4728960.500576001</v>
      </c>
      <c r="S56" s="725">
        <f t="shared" si="29"/>
        <v>24725.6333376</v>
      </c>
      <c r="T56" s="237">
        <f t="shared" si="30"/>
        <v>4753686.133913601</v>
      </c>
      <c r="U56" s="921">
        <v>44348</v>
      </c>
      <c r="V56" s="922">
        <v>44439</v>
      </c>
      <c r="X56" s="906"/>
      <c r="Y56" s="906"/>
      <c r="Z56" s="188"/>
    </row>
    <row r="57" ht="18" customHeight="1" s="181" customFormat="1">
      <c r="A57" s="377" t="s">
        <v>59</v>
      </c>
      <c r="B57" s="965" t="s">
        <v>335</v>
      </c>
      <c r="C57" s="769" t="s">
        <v>336</v>
      </c>
      <c r="D57" s="380" t="s">
        <v>84</v>
      </c>
      <c r="E57" s="380" t="s">
        <v>243</v>
      </c>
      <c r="F57" s="380" t="s">
        <v>63</v>
      </c>
      <c r="G57" s="771">
        <f t="shared" si="22"/>
        <v>2877448</v>
      </c>
      <c r="H57" s="893"/>
      <c r="I57" s="332">
        <f t="shared" si="32"/>
        <v>140707.2072</v>
      </c>
      <c r="J57" s="332">
        <f t="shared" si="33"/>
        <v>115097.92</v>
      </c>
      <c r="K57" s="332">
        <f t="shared" si="34"/>
        <v>57548.96</v>
      </c>
      <c r="L57" s="626">
        <v>15000</v>
      </c>
      <c r="M57" s="304">
        <f t="shared" si="26"/>
        <v>3205802.0872</v>
      </c>
      <c r="N57" s="304">
        <f t="shared" si="27"/>
        <v>256464.166976</v>
      </c>
      <c r="O57" s="490">
        <v>1157000</v>
      </c>
      <c r="P57" s="225"/>
      <c r="Q57" s="715"/>
      <c r="R57" s="236">
        <f t="shared" si="28"/>
        <v>4619266.254176</v>
      </c>
      <c r="S57" s="725">
        <f t="shared" si="29"/>
        <v>25646.4166976</v>
      </c>
      <c r="T57" s="237">
        <f t="shared" si="30"/>
        <v>4644912.6708736</v>
      </c>
      <c r="U57" s="919">
        <v>44409</v>
      </c>
      <c r="V57" s="919">
        <v>44500</v>
      </c>
      <c r="X57" s="906"/>
      <c r="Y57" s="906"/>
      <c r="Z57" s="188"/>
    </row>
    <row r="58" ht="18" customHeight="1" s="181" customFormat="1">
      <c r="A58" s="377" t="s">
        <v>59</v>
      </c>
      <c r="B58" s="965" t="s">
        <v>337</v>
      </c>
      <c r="C58" s="769" t="s">
        <v>338</v>
      </c>
      <c r="D58" s="380" t="s">
        <v>84</v>
      </c>
      <c r="E58" s="380" t="s">
        <v>243</v>
      </c>
      <c r="F58" s="380" t="s">
        <v>63</v>
      </c>
      <c r="G58" s="771">
        <f t="shared" si="22"/>
        <v>2877448</v>
      </c>
      <c r="H58" s="893"/>
      <c r="I58" s="332">
        <f t="shared" si="32"/>
        <v>140707.2072</v>
      </c>
      <c r="J58" s="332">
        <f t="shared" si="33"/>
        <v>115097.92</v>
      </c>
      <c r="K58" s="332">
        <f t="shared" si="34"/>
        <v>57548.96</v>
      </c>
      <c r="L58" s="626">
        <v>15000</v>
      </c>
      <c r="M58" s="304">
        <f t="shared" si="26"/>
        <v>3205802.0872</v>
      </c>
      <c r="N58" s="304">
        <f t="shared" si="27"/>
        <v>256464.166976</v>
      </c>
      <c r="O58" s="490">
        <v>1346000</v>
      </c>
      <c r="P58" s="225"/>
      <c r="Q58" s="715"/>
      <c r="R58" s="236">
        <f t="shared" si="28"/>
        <v>4808266.254176</v>
      </c>
      <c r="S58" s="725">
        <f t="shared" si="29"/>
        <v>25646.4166976</v>
      </c>
      <c r="T58" s="237">
        <f t="shared" si="30"/>
        <v>4833912.6708736</v>
      </c>
      <c r="U58" s="919">
        <v>44409</v>
      </c>
      <c r="V58" s="919">
        <v>44500</v>
      </c>
      <c r="X58" s="906"/>
      <c r="Y58" s="906"/>
      <c r="Z58" s="188"/>
    </row>
    <row r="59" ht="18" customHeight="1" s="181" customFormat="1">
      <c r="A59" s="377" t="s">
        <v>59</v>
      </c>
      <c r="B59" s="380" t="s">
        <v>339</v>
      </c>
      <c r="C59" s="784" t="s">
        <v>340</v>
      </c>
      <c r="D59" s="380" t="s">
        <v>84</v>
      </c>
      <c r="E59" s="380" t="s">
        <v>243</v>
      </c>
      <c r="F59" s="380" t="s">
        <v>63</v>
      </c>
      <c r="G59" s="771">
        <f t="shared" si="22"/>
        <v>2877448</v>
      </c>
      <c r="H59" s="893"/>
      <c r="I59" s="332">
        <f t="shared" si="32"/>
        <v>140707.2072</v>
      </c>
      <c r="J59" s="332">
        <f t="shared" si="33"/>
        <v>115097.92</v>
      </c>
      <c r="K59" s="332">
        <f t="shared" si="34"/>
        <v>57548.96</v>
      </c>
      <c r="L59" s="626">
        <v>15000</v>
      </c>
      <c r="M59" s="304">
        <f t="shared" si="26"/>
        <v>3205802.0872</v>
      </c>
      <c r="N59" s="304">
        <f t="shared" si="27"/>
        <v>256464.166976</v>
      </c>
      <c r="O59" s="490">
        <v>1963000</v>
      </c>
      <c r="P59" s="225"/>
      <c r="Q59" s="715"/>
      <c r="R59" s="236">
        <f t="shared" si="28"/>
        <v>5425266.254176</v>
      </c>
      <c r="S59" s="725">
        <f t="shared" si="29"/>
        <v>25646.4166976</v>
      </c>
      <c r="T59" s="237">
        <f t="shared" si="30"/>
        <v>5450912.6708736</v>
      </c>
      <c r="U59" s="919">
        <v>44378</v>
      </c>
      <c r="V59" s="919">
        <v>44469</v>
      </c>
      <c r="X59" s="906"/>
      <c r="Y59" s="906"/>
      <c r="Z59" s="188"/>
    </row>
    <row r="60" ht="18" customHeight="1" s="181" customFormat="1">
      <c r="A60" s="377" t="s">
        <v>59</v>
      </c>
      <c r="B60" s="380" t="s">
        <v>341</v>
      </c>
      <c r="C60" s="769" t="s">
        <v>342</v>
      </c>
      <c r="D60" s="380" t="s">
        <v>84</v>
      </c>
      <c r="E60" s="380" t="s">
        <v>243</v>
      </c>
      <c r="F60" s="380" t="s">
        <v>63</v>
      </c>
      <c r="G60" s="771">
        <f t="shared" si="22"/>
        <v>2877448</v>
      </c>
      <c r="H60" s="893"/>
      <c r="I60" s="332">
        <f t="shared" si="32"/>
        <v>140707.2072</v>
      </c>
      <c r="J60" s="332">
        <f t="shared" si="33"/>
        <v>115097.92</v>
      </c>
      <c r="K60" s="332">
        <f t="shared" si="34"/>
        <v>57548.96</v>
      </c>
      <c r="L60" s="626">
        <v>15000</v>
      </c>
      <c r="M60" s="304">
        <f t="shared" si="26"/>
        <v>3205802.0872</v>
      </c>
      <c r="N60" s="304">
        <f t="shared" si="27"/>
        <v>256464.166976</v>
      </c>
      <c r="O60" s="490">
        <v>1209000</v>
      </c>
      <c r="P60" s="225"/>
      <c r="Q60" s="715"/>
      <c r="R60" s="236">
        <f t="shared" si="28"/>
        <v>4671266.254176</v>
      </c>
      <c r="S60" s="725">
        <f t="shared" si="29"/>
        <v>25646.4166976</v>
      </c>
      <c r="T60" s="237">
        <f t="shared" si="30"/>
        <v>4696912.6708736</v>
      </c>
      <c r="U60" s="919">
        <v>44378</v>
      </c>
      <c r="V60" s="919">
        <v>44469</v>
      </c>
      <c r="X60" s="906"/>
      <c r="Y60" s="906"/>
      <c r="Z60" s="188"/>
    </row>
    <row r="61" ht="18" customHeight="1" s="181" customFormat="1">
      <c r="A61" s="377" t="s">
        <v>59</v>
      </c>
      <c r="B61" s="380" t="s">
        <v>343</v>
      </c>
      <c r="C61" s="769" t="s">
        <v>344</v>
      </c>
      <c r="D61" s="380" t="s">
        <v>84</v>
      </c>
      <c r="E61" s="380" t="s">
        <v>243</v>
      </c>
      <c r="F61" s="380" t="s">
        <v>63</v>
      </c>
      <c r="G61" s="771">
        <f t="shared" si="22"/>
        <v>2877448</v>
      </c>
      <c r="H61" s="893"/>
      <c r="I61" s="332">
        <f t="shared" si="32"/>
        <v>140707.2072</v>
      </c>
      <c r="J61" s="332">
        <f t="shared" si="33"/>
        <v>115097.92</v>
      </c>
      <c r="K61" s="332">
        <f t="shared" si="34"/>
        <v>57548.96</v>
      </c>
      <c r="L61" s="626">
        <v>15000</v>
      </c>
      <c r="M61" s="304">
        <f t="shared" si="26"/>
        <v>3205802.0872</v>
      </c>
      <c r="N61" s="304">
        <f t="shared" si="27"/>
        <v>256464.166976</v>
      </c>
      <c r="O61" s="490">
        <v>936000</v>
      </c>
      <c r="P61" s="225"/>
      <c r="Q61" s="715"/>
      <c r="R61" s="236">
        <f t="shared" si="28"/>
        <v>4398266.254176</v>
      </c>
      <c r="S61" s="725">
        <f t="shared" si="29"/>
        <v>25646.4166976</v>
      </c>
      <c r="T61" s="237">
        <f t="shared" si="30"/>
        <v>4423912.6708736</v>
      </c>
      <c r="U61" s="919">
        <v>44378</v>
      </c>
      <c r="V61" s="919">
        <v>44469</v>
      </c>
      <c r="X61" s="906"/>
      <c r="Y61" s="906"/>
      <c r="Z61" s="188"/>
    </row>
    <row r="62" ht="18" customHeight="1" s="181" customFormat="1">
      <c r="A62" s="377" t="s">
        <v>59</v>
      </c>
      <c r="B62" s="380" t="s">
        <v>345</v>
      </c>
      <c r="C62" s="769" t="s">
        <v>346</v>
      </c>
      <c r="D62" s="380" t="s">
        <v>84</v>
      </c>
      <c r="E62" s="380" t="s">
        <v>243</v>
      </c>
      <c r="F62" s="380" t="s">
        <v>63</v>
      </c>
      <c r="G62" s="771">
        <f t="shared" si="22"/>
        <v>2877448</v>
      </c>
      <c r="H62" s="893"/>
      <c r="I62" s="332">
        <f t="shared" si="32"/>
        <v>140707.2072</v>
      </c>
      <c r="J62" s="332">
        <f t="shared" si="33"/>
        <v>115097.92</v>
      </c>
      <c r="K62" s="332">
        <f t="shared" si="34"/>
        <v>57548.96</v>
      </c>
      <c r="L62" s="626">
        <v>15000</v>
      </c>
      <c r="M62" s="304">
        <f t="shared" si="26"/>
        <v>3205802.0872</v>
      </c>
      <c r="N62" s="304">
        <f t="shared" si="27"/>
        <v>256464.166976</v>
      </c>
      <c r="O62" s="490">
        <v>1859000</v>
      </c>
      <c r="P62" s="225"/>
      <c r="Q62" s="715"/>
      <c r="R62" s="236">
        <f t="shared" si="28"/>
        <v>5321266.254176</v>
      </c>
      <c r="S62" s="725">
        <f t="shared" si="29"/>
        <v>25646.4166976</v>
      </c>
      <c r="T62" s="237">
        <f t="shared" si="30"/>
        <v>5346912.6708736</v>
      </c>
      <c r="U62" s="917">
        <v>44378</v>
      </c>
      <c r="V62" s="918">
        <v>44469</v>
      </c>
      <c r="X62" s="906"/>
      <c r="Y62" s="906"/>
      <c r="Z62" s="188"/>
    </row>
    <row r="63" ht="18" customHeight="1" s="181" customFormat="1">
      <c r="A63" s="377" t="s">
        <v>59</v>
      </c>
      <c r="B63" s="380" t="s">
        <v>347</v>
      </c>
      <c r="C63" s="769" t="s">
        <v>348</v>
      </c>
      <c r="D63" s="380" t="s">
        <v>84</v>
      </c>
      <c r="E63" s="380" t="s">
        <v>243</v>
      </c>
      <c r="F63" s="380" t="s">
        <v>63</v>
      </c>
      <c r="G63" s="771">
        <f t="shared" si="22"/>
        <v>2877448</v>
      </c>
      <c r="H63" s="893"/>
      <c r="I63" s="332">
        <f t="shared" si="32"/>
        <v>140707.2072</v>
      </c>
      <c r="J63" s="332">
        <f t="shared" si="33"/>
        <v>115097.92</v>
      </c>
      <c r="K63" s="332">
        <f t="shared" si="34"/>
        <v>57548.96</v>
      </c>
      <c r="L63" s="626">
        <v>15000</v>
      </c>
      <c r="M63" s="304">
        <f t="shared" si="26"/>
        <v>3205802.0872</v>
      </c>
      <c r="N63" s="304">
        <f t="shared" si="27"/>
        <v>256464.166976</v>
      </c>
      <c r="O63" s="490">
        <v>1339000</v>
      </c>
      <c r="P63" s="225"/>
      <c r="Q63" s="715"/>
      <c r="R63" s="236">
        <f t="shared" si="28"/>
        <v>4801266.254176</v>
      </c>
      <c r="S63" s="725">
        <f t="shared" si="29"/>
        <v>25646.4166976</v>
      </c>
      <c r="T63" s="237">
        <f t="shared" si="30"/>
        <v>4826912.6708736</v>
      </c>
      <c r="U63" s="919">
        <v>44378</v>
      </c>
      <c r="V63" s="919">
        <v>44469</v>
      </c>
      <c r="X63" s="906"/>
      <c r="Y63" s="906"/>
      <c r="Z63" s="188"/>
    </row>
    <row r="64" ht="18" customHeight="1" s="181" customFormat="1">
      <c r="A64" s="377" t="s">
        <v>59</v>
      </c>
      <c r="B64" s="380" t="s">
        <v>349</v>
      </c>
      <c r="C64" s="769" t="s">
        <v>350</v>
      </c>
      <c r="D64" s="380" t="s">
        <v>84</v>
      </c>
      <c r="E64" s="380" t="s">
        <v>243</v>
      </c>
      <c r="F64" s="380" t="s">
        <v>63</v>
      </c>
      <c r="G64" s="771">
        <f t="shared" si="22"/>
        <v>2877448</v>
      </c>
      <c r="H64" s="893"/>
      <c r="I64" s="332">
        <f t="shared" si="32"/>
        <v>140707.2072</v>
      </c>
      <c r="J64" s="332">
        <f t="shared" si="33"/>
        <v>115097.92</v>
      </c>
      <c r="K64" s="332">
        <f t="shared" si="34"/>
        <v>57548.96</v>
      </c>
      <c r="L64" s="626">
        <v>15000</v>
      </c>
      <c r="M64" s="304">
        <f t="shared" si="26"/>
        <v>3205802.0872</v>
      </c>
      <c r="N64" s="304">
        <f t="shared" si="27"/>
        <v>256464.166976</v>
      </c>
      <c r="O64" s="490">
        <v>1092000</v>
      </c>
      <c r="P64" s="225"/>
      <c r="Q64" s="715"/>
      <c r="R64" s="236">
        <f t="shared" si="28"/>
        <v>4554266.254176</v>
      </c>
      <c r="S64" s="725">
        <f t="shared" si="29"/>
        <v>25646.4166976</v>
      </c>
      <c r="T64" s="237">
        <f t="shared" si="30"/>
        <v>4579912.6708736</v>
      </c>
      <c r="U64" s="917">
        <v>44378</v>
      </c>
      <c r="V64" s="918">
        <v>44469</v>
      </c>
      <c r="X64" s="906"/>
      <c r="Y64" s="906"/>
      <c r="Z64" s="188"/>
    </row>
    <row r="65" ht="18" customHeight="1" s="181" customFormat="1">
      <c r="A65" s="377" t="s">
        <v>59</v>
      </c>
      <c r="B65" s="380" t="s">
        <v>351</v>
      </c>
      <c r="C65" s="769" t="s">
        <v>352</v>
      </c>
      <c r="D65" s="380" t="s">
        <v>84</v>
      </c>
      <c r="E65" s="380" t="s">
        <v>243</v>
      </c>
      <c r="F65" s="380" t="s">
        <v>63</v>
      </c>
      <c r="G65" s="771">
        <f t="shared" si="22"/>
        <v>2877448</v>
      </c>
      <c r="H65" s="893"/>
      <c r="I65" s="332">
        <f t="shared" si="32"/>
        <v>140707.2072</v>
      </c>
      <c r="J65" s="332">
        <f t="shared" si="33"/>
        <v>115097.92</v>
      </c>
      <c r="K65" s="332">
        <f t="shared" si="34"/>
        <v>57548.96</v>
      </c>
      <c r="L65" s="626">
        <v>15000</v>
      </c>
      <c r="M65" s="304">
        <f t="shared" si="26"/>
        <v>3205802.0872</v>
      </c>
      <c r="N65" s="304">
        <f t="shared" si="27"/>
        <v>256464.166976</v>
      </c>
      <c r="O65" s="490">
        <v>1872000</v>
      </c>
      <c r="P65" s="225"/>
      <c r="Q65" s="715"/>
      <c r="R65" s="236">
        <f t="shared" si="28"/>
        <v>5334266.254176</v>
      </c>
      <c r="S65" s="725">
        <f t="shared" si="29"/>
        <v>25646.4166976</v>
      </c>
      <c r="T65" s="237">
        <f t="shared" si="30"/>
        <v>5359912.6708736</v>
      </c>
      <c r="U65" s="921">
        <v>44348</v>
      </c>
      <c r="V65" s="922">
        <v>44439</v>
      </c>
      <c r="X65" s="906"/>
      <c r="Y65" s="906"/>
      <c r="Z65" s="188"/>
    </row>
    <row r="66" ht="18" customHeight="1" s="181" customFormat="1">
      <c r="A66" s="377" t="s">
        <v>59</v>
      </c>
      <c r="B66" s="705" t="s">
        <v>353</v>
      </c>
      <c r="C66" s="773" t="s">
        <v>354</v>
      </c>
      <c r="D66" s="380" t="s">
        <v>84</v>
      </c>
      <c r="E66" s="705" t="s">
        <v>243</v>
      </c>
      <c r="F66" s="705" t="s">
        <v>63</v>
      </c>
      <c r="G66" s="771">
        <f t="shared" si="22"/>
        <v>2877448</v>
      </c>
      <c r="H66" s="893"/>
      <c r="I66" s="332">
        <f t="shared" si="32"/>
        <v>140707.2072</v>
      </c>
      <c r="J66" s="332">
        <f t="shared" si="33"/>
        <v>115097.92</v>
      </c>
      <c r="K66" s="332">
        <f t="shared" si="34"/>
        <v>57548.96</v>
      </c>
      <c r="L66" s="626">
        <v>15000</v>
      </c>
      <c r="M66" s="715">
        <f t="shared" si="26"/>
        <v>3205802.0872</v>
      </c>
      <c r="N66" s="304">
        <f t="shared" si="27"/>
        <v>256464.166976</v>
      </c>
      <c r="O66" s="490">
        <v>1235000</v>
      </c>
      <c r="P66" s="225"/>
      <c r="Q66" s="715"/>
      <c r="R66" s="309">
        <f t="shared" si="28"/>
        <v>4697266.254176</v>
      </c>
      <c r="S66" s="943">
        <f t="shared" si="29"/>
        <v>25646.4166976</v>
      </c>
      <c r="T66" s="944">
        <f t="shared" si="30"/>
        <v>4722912.6708736</v>
      </c>
      <c r="U66" s="945">
        <v>44348</v>
      </c>
      <c r="V66" s="946">
        <v>44439</v>
      </c>
      <c r="X66" s="906"/>
      <c r="Y66" s="906"/>
      <c r="Z66" s="188"/>
    </row>
    <row r="67" ht="18" customHeight="1" s="181" customFormat="1">
      <c r="A67" s="377" t="s">
        <v>59</v>
      </c>
      <c r="B67" s="380" t="s">
        <v>355</v>
      </c>
      <c r="C67" s="769" t="s">
        <v>356</v>
      </c>
      <c r="D67" s="380" t="s">
        <v>84</v>
      </c>
      <c r="E67" s="380" t="s">
        <v>243</v>
      </c>
      <c r="F67" s="380" t="s">
        <v>63</v>
      </c>
      <c r="G67" s="771">
        <f t="shared" si="22"/>
        <v>2877448</v>
      </c>
      <c r="H67" s="893"/>
      <c r="I67" s="332">
        <f t="shared" si="32"/>
        <v>140707.2072</v>
      </c>
      <c r="J67" s="332">
        <f t="shared" si="33"/>
        <v>115097.92</v>
      </c>
      <c r="K67" s="332">
        <f t="shared" si="34"/>
        <v>57548.96</v>
      </c>
      <c r="L67" s="626">
        <v>15000</v>
      </c>
      <c r="M67" s="715">
        <f t="shared" si="26"/>
        <v>3205802.0872</v>
      </c>
      <c r="N67" s="304">
        <f t="shared" si="27"/>
        <v>256464.166976</v>
      </c>
      <c r="O67" s="490">
        <v>1190000</v>
      </c>
      <c r="P67" s="225"/>
      <c r="Q67" s="715"/>
      <c r="R67" s="236">
        <f t="shared" si="28"/>
        <v>4652266.254176</v>
      </c>
      <c r="S67" s="309">
        <f t="shared" si="29"/>
        <v>25646.4166976</v>
      </c>
      <c r="T67" s="237">
        <f t="shared" si="30"/>
        <v>4677912.6708736</v>
      </c>
      <c r="U67" s="917">
        <v>44378</v>
      </c>
      <c r="V67" s="918">
        <v>44469</v>
      </c>
      <c r="X67" s="906"/>
      <c r="Y67" s="906"/>
      <c r="Z67" s="188"/>
    </row>
    <row r="68" ht="18" customHeight="1" s="181" customFormat="1">
      <c r="A68" s="377" t="s">
        <v>59</v>
      </c>
      <c r="B68" s="380" t="s">
        <v>357</v>
      </c>
      <c r="C68" s="880" t="s">
        <v>358</v>
      </c>
      <c r="D68" s="380" t="s">
        <v>84</v>
      </c>
      <c r="E68" s="380" t="s">
        <v>243</v>
      </c>
      <c r="F68" s="380" t="s">
        <v>63</v>
      </c>
      <c r="G68" s="771">
        <f t="shared" si="22"/>
        <v>2877448</v>
      </c>
      <c r="H68" s="893"/>
      <c r="I68" s="332">
        <f t="shared" si="32"/>
        <v>140707.2072</v>
      </c>
      <c r="J68" s="332">
        <f t="shared" si="33"/>
        <v>115097.92</v>
      </c>
      <c r="K68" s="332">
        <f t="shared" si="34"/>
        <v>57548.96</v>
      </c>
      <c r="L68" s="626">
        <v>15000</v>
      </c>
      <c r="M68" s="715">
        <f t="shared" si="26"/>
        <v>3205802.0872</v>
      </c>
      <c r="N68" s="304">
        <f t="shared" si="27"/>
        <v>256464.166976</v>
      </c>
      <c r="O68" s="490">
        <v>1625000</v>
      </c>
      <c r="P68" s="225"/>
      <c r="Q68" s="947"/>
      <c r="R68" s="236">
        <f t="shared" si="28"/>
        <v>5087266.254176</v>
      </c>
      <c r="S68" s="309">
        <f t="shared" si="29"/>
        <v>25646.4166976</v>
      </c>
      <c r="T68" s="237">
        <f t="shared" si="30"/>
        <v>5112912.6708736</v>
      </c>
      <c r="U68" s="917">
        <v>44348</v>
      </c>
      <c r="V68" s="918">
        <v>44439</v>
      </c>
      <c r="X68" s="906"/>
      <c r="Y68" s="906"/>
      <c r="Z68" s="188"/>
    </row>
    <row r="69" ht="18" customHeight="1" s="181" customFormat="1">
      <c r="A69" s="377" t="s">
        <v>59</v>
      </c>
      <c r="B69" s="380" t="s">
        <v>359</v>
      </c>
      <c r="C69" s="769" t="s">
        <v>360</v>
      </c>
      <c r="D69" s="380" t="s">
        <v>84</v>
      </c>
      <c r="E69" s="380" t="s">
        <v>243</v>
      </c>
      <c r="F69" s="380" t="s">
        <v>63</v>
      </c>
      <c r="G69" s="771">
        <f t="shared" si="22"/>
        <v>2877448</v>
      </c>
      <c r="H69" s="893"/>
      <c r="I69" s="332">
        <f t="shared" si="32"/>
        <v>140707.2072</v>
      </c>
      <c r="J69" s="332">
        <f t="shared" si="33"/>
        <v>115097.92</v>
      </c>
      <c r="K69" s="332">
        <f t="shared" si="34"/>
        <v>57548.96</v>
      </c>
      <c r="L69" s="626">
        <v>15000</v>
      </c>
      <c r="M69" s="715">
        <f t="shared" si="26"/>
        <v>3205802.0872</v>
      </c>
      <c r="N69" s="304">
        <f t="shared" si="27"/>
        <v>256464.166976</v>
      </c>
      <c r="O69" s="490">
        <v>1443000</v>
      </c>
      <c r="P69" s="225"/>
      <c r="Q69" s="715"/>
      <c r="R69" s="236">
        <f t="shared" si="28"/>
        <v>4905266.254176</v>
      </c>
      <c r="S69" s="309">
        <f t="shared" si="29"/>
        <v>25646.4166976</v>
      </c>
      <c r="T69" s="237">
        <f t="shared" si="30"/>
        <v>4930912.6708736</v>
      </c>
      <c r="U69" s="904">
        <v>44348</v>
      </c>
      <c r="V69" s="905">
        <v>44439</v>
      </c>
      <c r="X69" s="906"/>
      <c r="Y69" s="906"/>
      <c r="Z69" s="188"/>
    </row>
    <row r="70" ht="18" customHeight="1" s="181" customFormat="1">
      <c r="A70" s="377" t="s">
        <v>59</v>
      </c>
      <c r="B70" s="380" t="s">
        <v>361</v>
      </c>
      <c r="C70" s="769" t="s">
        <v>362</v>
      </c>
      <c r="D70" s="380" t="s">
        <v>84</v>
      </c>
      <c r="E70" s="380" t="s">
        <v>243</v>
      </c>
      <c r="F70" s="380" t="s">
        <v>63</v>
      </c>
      <c r="G70" s="771">
        <f t="shared" si="22"/>
        <v>2877448</v>
      </c>
      <c r="H70" s="893"/>
      <c r="I70" s="332">
        <f t="shared" si="32"/>
        <v>140707.2072</v>
      </c>
      <c r="J70" s="332">
        <f t="shared" si="33"/>
        <v>115097.92</v>
      </c>
      <c r="K70" s="332">
        <f t="shared" si="34"/>
        <v>57548.96</v>
      </c>
      <c r="L70" s="626">
        <v>15000</v>
      </c>
      <c r="M70" s="715">
        <f t="shared" si="26"/>
        <v>3205802.0872</v>
      </c>
      <c r="N70" s="304">
        <f t="shared" si="27"/>
        <v>256464.166976</v>
      </c>
      <c r="O70" s="490">
        <v>962000</v>
      </c>
      <c r="P70" s="225"/>
      <c r="Q70" s="715"/>
      <c r="R70" s="236">
        <f t="shared" si="28"/>
        <v>4424266.254176</v>
      </c>
      <c r="S70" s="309">
        <f t="shared" si="29"/>
        <v>25646.4166976</v>
      </c>
      <c r="T70" s="237">
        <f t="shared" si="30"/>
        <v>4449912.6708736</v>
      </c>
      <c r="U70" s="904">
        <v>44378</v>
      </c>
      <c r="V70" s="905">
        <v>44469</v>
      </c>
      <c r="X70" s="906"/>
      <c r="Y70" s="906"/>
      <c r="Z70" s="188"/>
    </row>
    <row r="71" ht="18" customHeight="1" s="181" customFormat="1">
      <c r="A71" s="377" t="s">
        <v>59</v>
      </c>
      <c r="B71" s="380" t="s">
        <v>363</v>
      </c>
      <c r="C71" s="769" t="s">
        <v>364</v>
      </c>
      <c r="D71" s="380" t="s">
        <v>84</v>
      </c>
      <c r="E71" s="380" t="s">
        <v>243</v>
      </c>
      <c r="F71" s="380" t="s">
        <v>63</v>
      </c>
      <c r="G71" s="771">
        <f t="shared" si="22"/>
        <v>2877448</v>
      </c>
      <c r="H71" s="893">
        <f>-2877448/25*1</f>
        <v>-115097.92</v>
      </c>
      <c r="I71" s="332">
        <f t="shared" si="32"/>
        <v>140707.2072</v>
      </c>
      <c r="J71" s="332">
        <f t="shared" si="33"/>
        <v>115097.92</v>
      </c>
      <c r="K71" s="332">
        <f t="shared" si="34"/>
        <v>57548.96</v>
      </c>
      <c r="L71" s="626">
        <v>15000</v>
      </c>
      <c r="M71" s="715">
        <f t="shared" si="26"/>
        <v>3090704.1672</v>
      </c>
      <c r="N71" s="304">
        <f t="shared" si="27"/>
        <v>247256.333376</v>
      </c>
      <c r="O71" s="490">
        <v>1040000</v>
      </c>
      <c r="P71" s="225"/>
      <c r="Q71" s="715"/>
      <c r="R71" s="236">
        <f t="shared" si="28"/>
        <v>4377960.500576001</v>
      </c>
      <c r="S71" s="309">
        <f t="shared" si="29"/>
        <v>24725.6333376</v>
      </c>
      <c r="T71" s="237">
        <f t="shared" si="30"/>
        <v>4402686.133913601</v>
      </c>
      <c r="U71" s="904">
        <v>44378</v>
      </c>
      <c r="V71" s="905">
        <v>44469</v>
      </c>
      <c r="X71" s="906"/>
      <c r="Y71" s="906"/>
      <c r="Z71" s="188"/>
    </row>
    <row r="72" ht="18" customHeight="1" s="181" customFormat="1">
      <c r="A72" s="377" t="s">
        <v>59</v>
      </c>
      <c r="B72" s="380" t="s">
        <v>365</v>
      </c>
      <c r="C72" s="769" t="s">
        <v>366</v>
      </c>
      <c r="D72" s="380" t="s">
        <v>84</v>
      </c>
      <c r="E72" s="380" t="s">
        <v>243</v>
      </c>
      <c r="F72" s="380" t="s">
        <v>63</v>
      </c>
      <c r="G72" s="771">
        <f t="shared" si="22"/>
        <v>2877448</v>
      </c>
      <c r="H72" s="893"/>
      <c r="I72" s="332">
        <f t="shared" si="32"/>
        <v>140707.2072</v>
      </c>
      <c r="J72" s="332">
        <f t="shared" si="33"/>
        <v>115097.92</v>
      </c>
      <c r="K72" s="332">
        <f t="shared" si="34"/>
        <v>57548.96</v>
      </c>
      <c r="L72" s="626">
        <v>15000</v>
      </c>
      <c r="M72" s="715">
        <f t="shared" si="26"/>
        <v>3205802.0872</v>
      </c>
      <c r="N72" s="304">
        <f t="shared" si="27"/>
        <v>256464.166976</v>
      </c>
      <c r="O72" s="490">
        <v>1235000</v>
      </c>
      <c r="P72" s="225"/>
      <c r="Q72" s="715"/>
      <c r="R72" s="236">
        <f t="shared" si="28"/>
        <v>4697266.254176</v>
      </c>
      <c r="S72" s="309">
        <f t="shared" si="29"/>
        <v>25646.4166976</v>
      </c>
      <c r="T72" s="237">
        <f t="shared" si="30"/>
        <v>4722912.6708736</v>
      </c>
      <c r="U72" s="904">
        <v>44378</v>
      </c>
      <c r="V72" s="905">
        <v>44469</v>
      </c>
      <c r="X72" s="906"/>
      <c r="Y72" s="906"/>
      <c r="Z72" s="188"/>
    </row>
    <row r="73" ht="18" customHeight="1" s="181" customFormat="1">
      <c r="A73" s="377" t="s">
        <v>59</v>
      </c>
      <c r="B73" s="380" t="s">
        <v>367</v>
      </c>
      <c r="C73" s="769" t="s">
        <v>368</v>
      </c>
      <c r="D73" s="380" t="s">
        <v>84</v>
      </c>
      <c r="E73" s="380" t="s">
        <v>243</v>
      </c>
      <c r="F73" s="380" t="s">
        <v>63</v>
      </c>
      <c r="G73" s="771">
        <f t="shared" si="22"/>
        <v>2877448</v>
      </c>
      <c r="H73" s="893"/>
      <c r="I73" s="332">
        <f t="shared" si="32"/>
        <v>140707.2072</v>
      </c>
      <c r="J73" s="332">
        <f t="shared" si="33"/>
        <v>115097.92</v>
      </c>
      <c r="K73" s="332">
        <f t="shared" si="34"/>
        <v>57548.96</v>
      </c>
      <c r="L73" s="626">
        <v>15000</v>
      </c>
      <c r="M73" s="715">
        <f t="shared" si="26"/>
        <v>3205802.0872</v>
      </c>
      <c r="N73" s="304">
        <f t="shared" si="27"/>
        <v>256464.166976</v>
      </c>
      <c r="O73" s="490">
        <v>1684000</v>
      </c>
      <c r="P73" s="225"/>
      <c r="Q73" s="715"/>
      <c r="R73" s="236">
        <f t="shared" si="28"/>
        <v>5146266.254176</v>
      </c>
      <c r="S73" s="309">
        <f t="shared" si="29"/>
        <v>25646.4166976</v>
      </c>
      <c r="T73" s="237">
        <f t="shared" si="30"/>
        <v>5171912.6708736</v>
      </c>
      <c r="U73" s="904">
        <v>44378</v>
      </c>
      <c r="V73" s="905">
        <v>44469</v>
      </c>
      <c r="X73" s="906"/>
      <c r="Y73" s="906"/>
      <c r="Z73" s="188"/>
    </row>
    <row r="74" ht="18" customHeight="1" s="181" customFormat="1">
      <c r="A74" s="377" t="s">
        <v>59</v>
      </c>
      <c r="B74" s="380" t="s">
        <v>369</v>
      </c>
      <c r="C74" s="769" t="s">
        <v>370</v>
      </c>
      <c r="D74" s="380" t="s">
        <v>84</v>
      </c>
      <c r="E74" s="380" t="s">
        <v>243</v>
      </c>
      <c r="F74" s="380" t="s">
        <v>63</v>
      </c>
      <c r="G74" s="771">
        <f t="shared" si="22"/>
        <v>2877448</v>
      </c>
      <c r="H74" s="893"/>
      <c r="I74" s="332">
        <f t="shared" si="32"/>
        <v>140707.2072</v>
      </c>
      <c r="J74" s="332">
        <f t="shared" si="33"/>
        <v>115097.92</v>
      </c>
      <c r="K74" s="332">
        <f t="shared" si="34"/>
        <v>57548.96</v>
      </c>
      <c r="L74" s="626">
        <v>15000</v>
      </c>
      <c r="M74" s="715">
        <f t="shared" si="26"/>
        <v>3205802.0872</v>
      </c>
      <c r="N74" s="304">
        <f t="shared" si="27"/>
        <v>256464.166976</v>
      </c>
      <c r="O74" s="490">
        <v>1508000</v>
      </c>
      <c r="P74" s="225"/>
      <c r="Q74" s="715"/>
      <c r="R74" s="236">
        <f t="shared" si="28"/>
        <v>4970266.254176</v>
      </c>
      <c r="S74" s="309">
        <f t="shared" si="29"/>
        <v>25646.4166976</v>
      </c>
      <c r="T74" s="237">
        <f t="shared" si="30"/>
        <v>4995912.6708736</v>
      </c>
      <c r="U74" s="904">
        <v>44409</v>
      </c>
      <c r="V74" s="905">
        <v>44500</v>
      </c>
      <c r="X74" s="906"/>
      <c r="Y74" s="906"/>
      <c r="Z74" s="188"/>
    </row>
    <row r="75" ht="18" customHeight="1" s="181" customFormat="1">
      <c r="A75" s="377" t="s">
        <v>59</v>
      </c>
      <c r="B75" s="380" t="s">
        <v>371</v>
      </c>
      <c r="C75" s="769" t="s">
        <v>372</v>
      </c>
      <c r="D75" s="380" t="s">
        <v>84</v>
      </c>
      <c r="E75" s="380" t="s">
        <v>243</v>
      </c>
      <c r="F75" s="380" t="s">
        <v>63</v>
      </c>
      <c r="G75" s="771">
        <f t="shared" si="22"/>
        <v>2877448</v>
      </c>
      <c r="H75" s="893"/>
      <c r="I75" s="332">
        <f t="shared" si="32"/>
        <v>140707.2072</v>
      </c>
      <c r="J75" s="332">
        <f t="shared" si="33"/>
        <v>115097.92</v>
      </c>
      <c r="K75" s="332">
        <f t="shared" si="34"/>
        <v>57548.96</v>
      </c>
      <c r="L75" s="626">
        <v>15000</v>
      </c>
      <c r="M75" s="715">
        <f t="shared" si="26"/>
        <v>3205802.0872</v>
      </c>
      <c r="N75" s="304">
        <f t="shared" si="27"/>
        <v>256464.166976</v>
      </c>
      <c r="O75" s="490">
        <v>1008000</v>
      </c>
      <c r="P75" s="225"/>
      <c r="Q75" s="715"/>
      <c r="R75" s="236">
        <f t="shared" si="28"/>
        <v>4470266.254176</v>
      </c>
      <c r="S75" s="309">
        <f t="shared" si="29"/>
        <v>25646.4166976</v>
      </c>
      <c r="T75" s="237">
        <f t="shared" si="30"/>
        <v>4495912.6708736</v>
      </c>
      <c r="U75" s="904">
        <v>44409</v>
      </c>
      <c r="V75" s="905">
        <v>44500</v>
      </c>
      <c r="X75" s="906"/>
      <c r="Y75" s="906"/>
      <c r="Z75" s="188"/>
    </row>
    <row r="76" ht="18" customHeight="1" s="181" customFormat="1">
      <c r="A76" s="377" t="s">
        <v>59</v>
      </c>
      <c r="B76" s="380" t="s">
        <v>373</v>
      </c>
      <c r="C76" s="769" t="s">
        <v>374</v>
      </c>
      <c r="D76" s="380" t="s">
        <v>84</v>
      </c>
      <c r="E76" s="380" t="s">
        <v>243</v>
      </c>
      <c r="F76" s="380" t="s">
        <v>63</v>
      </c>
      <c r="G76" s="771">
        <f t="shared" si="22"/>
        <v>2877448</v>
      </c>
      <c r="H76" s="893"/>
      <c r="I76" s="332">
        <f t="shared" si="32"/>
        <v>140707.2072</v>
      </c>
      <c r="J76" s="332">
        <f t="shared" si="33"/>
        <v>115097.92</v>
      </c>
      <c r="K76" s="332">
        <f t="shared" si="34"/>
        <v>57548.96</v>
      </c>
      <c r="L76" s="626">
        <v>15000</v>
      </c>
      <c r="M76" s="715">
        <f t="shared" si="26"/>
        <v>3205802.0872</v>
      </c>
      <c r="N76" s="304">
        <f t="shared" si="27"/>
        <v>256464.166976</v>
      </c>
      <c r="O76" s="490">
        <v>1313000</v>
      </c>
      <c r="P76" s="225"/>
      <c r="Q76" s="715"/>
      <c r="R76" s="236">
        <f t="shared" si="28"/>
        <v>4775266.254176</v>
      </c>
      <c r="S76" s="309">
        <f t="shared" si="29"/>
        <v>25646.4166976</v>
      </c>
      <c r="T76" s="237">
        <f t="shared" si="30"/>
        <v>4800912.6708736</v>
      </c>
      <c r="U76" s="904">
        <v>44409</v>
      </c>
      <c r="V76" s="905">
        <v>44500</v>
      </c>
      <c r="X76" s="906"/>
      <c r="Y76" s="906"/>
      <c r="Z76" s="188"/>
    </row>
    <row r="77" ht="18" customHeight="1" s="181" customFormat="1">
      <c r="A77" s="377" t="s">
        <v>59</v>
      </c>
      <c r="B77" s="965" t="s">
        <v>375</v>
      </c>
      <c r="C77" s="769" t="s">
        <v>376</v>
      </c>
      <c r="D77" s="770" t="s">
        <v>84</v>
      </c>
      <c r="E77" s="380" t="s">
        <v>243</v>
      </c>
      <c r="F77" s="380" t="s">
        <v>63</v>
      </c>
      <c r="G77" s="771">
        <f t="shared" si="22"/>
        <v>2877448</v>
      </c>
      <c r="H77" s="893"/>
      <c r="I77" s="332">
        <f t="shared" si="32"/>
        <v>140707.2072</v>
      </c>
      <c r="J77" s="332">
        <f t="shared" si="33"/>
        <v>115097.92</v>
      </c>
      <c r="K77" s="332">
        <f t="shared" si="34"/>
        <v>57548.96</v>
      </c>
      <c r="L77" s="626">
        <v>15000</v>
      </c>
      <c r="M77" s="715">
        <f t="shared" si="26"/>
        <v>3205802.0872</v>
      </c>
      <c r="N77" s="304">
        <f t="shared" si="27"/>
        <v>256464.166976</v>
      </c>
      <c r="O77" s="490">
        <v>1300000</v>
      </c>
      <c r="P77" s="225"/>
      <c r="Q77" s="715"/>
      <c r="R77" s="236">
        <f t="shared" si="28"/>
        <v>4762266.254176</v>
      </c>
      <c r="S77" s="309">
        <f t="shared" si="29"/>
        <v>25646.4166976</v>
      </c>
      <c r="T77" s="237">
        <f t="shared" si="30"/>
        <v>4787912.6708736</v>
      </c>
      <c r="U77" s="904">
        <v>44378</v>
      </c>
      <c r="V77" s="905">
        <v>44469</v>
      </c>
      <c r="X77" s="906"/>
      <c r="Y77" s="906"/>
      <c r="Z77" s="188"/>
    </row>
    <row r="78" ht="18" customHeight="1" s="181" customFormat="1">
      <c r="A78" s="377" t="s">
        <v>59</v>
      </c>
      <c r="B78" s="380" t="s">
        <v>377</v>
      </c>
      <c r="C78" s="769" t="s">
        <v>378</v>
      </c>
      <c r="D78" s="380" t="s">
        <v>84</v>
      </c>
      <c r="E78" s="380" t="s">
        <v>243</v>
      </c>
      <c r="F78" s="380" t="s">
        <v>63</v>
      </c>
      <c r="G78" s="771">
        <f t="shared" si="22"/>
        <v>2877448</v>
      </c>
      <c r="H78" s="893"/>
      <c r="I78" s="332">
        <f t="shared" si="32"/>
        <v>140707.2072</v>
      </c>
      <c r="J78" s="332">
        <f t="shared" si="33"/>
        <v>115097.92</v>
      </c>
      <c r="K78" s="332">
        <f t="shared" si="34"/>
        <v>57548.96</v>
      </c>
      <c r="L78" s="224">
        <v>15002</v>
      </c>
      <c r="M78" s="715">
        <f t="shared" si="26"/>
        <v>3205804.0872</v>
      </c>
      <c r="N78" s="304">
        <f t="shared" si="27"/>
        <v>256464.326976</v>
      </c>
      <c r="O78" s="490">
        <v>956000</v>
      </c>
      <c r="P78" s="225"/>
      <c r="Q78" s="715"/>
      <c r="R78" s="236">
        <f t="shared" si="28"/>
        <v>4418268.414176</v>
      </c>
      <c r="S78" s="309">
        <f t="shared" si="29"/>
        <v>25646.4326976</v>
      </c>
      <c r="T78" s="237">
        <f t="shared" si="30"/>
        <v>4443914.8468736</v>
      </c>
      <c r="U78" s="904">
        <v>44409</v>
      </c>
      <c r="V78" s="905">
        <v>44439</v>
      </c>
      <c r="X78" s="906"/>
      <c r="Y78" s="906"/>
      <c r="Z78" s="188"/>
    </row>
    <row r="79" ht="18" customHeight="1" s="181" customFormat="1">
      <c r="A79" s="377" t="s">
        <v>59</v>
      </c>
      <c r="B79" s="380" t="s">
        <v>379</v>
      </c>
      <c r="C79" s="769" t="s">
        <v>380</v>
      </c>
      <c r="D79" s="380" t="s">
        <v>84</v>
      </c>
      <c r="E79" s="380" t="s">
        <v>243</v>
      </c>
      <c r="F79" s="380" t="s">
        <v>63</v>
      </c>
      <c r="G79" s="771">
        <f t="shared" si="22"/>
        <v>2877448</v>
      </c>
      <c r="H79" s="893"/>
      <c r="I79" s="332">
        <f t="shared" si="32"/>
        <v>140707.2072</v>
      </c>
      <c r="J79" s="332">
        <f t="shared" si="33"/>
        <v>115097.92</v>
      </c>
      <c r="K79" s="332">
        <f t="shared" si="34"/>
        <v>57548.96</v>
      </c>
      <c r="L79" s="224">
        <v>15000</v>
      </c>
      <c r="M79" s="715">
        <f t="shared" si="26"/>
        <v>3205802.0872</v>
      </c>
      <c r="N79" s="304">
        <f t="shared" si="27"/>
        <v>256464.166976</v>
      </c>
      <c r="O79" s="490">
        <v>1450000</v>
      </c>
      <c r="P79" s="225"/>
      <c r="Q79" s="715"/>
      <c r="R79" s="236">
        <f t="shared" si="28"/>
        <v>4912266.254176</v>
      </c>
      <c r="S79" s="309">
        <f t="shared" si="29"/>
        <v>25646.4166976</v>
      </c>
      <c r="T79" s="237">
        <f t="shared" si="30"/>
        <v>4937912.6708736</v>
      </c>
      <c r="U79" s="904">
        <v>44348</v>
      </c>
      <c r="V79" s="905">
        <v>44439</v>
      </c>
      <c r="X79" s="906"/>
      <c r="Y79" s="906"/>
      <c r="Z79" s="188"/>
    </row>
    <row r="80" ht="18" customHeight="1" s="181" customFormat="1">
      <c r="A80" s="377" t="s">
        <v>59</v>
      </c>
      <c r="B80" s="380" t="s">
        <v>381</v>
      </c>
      <c r="C80" s="769" t="s">
        <v>382</v>
      </c>
      <c r="D80" s="380" t="s">
        <v>84</v>
      </c>
      <c r="E80" s="380" t="s">
        <v>243</v>
      </c>
      <c r="F80" s="380" t="s">
        <v>63</v>
      </c>
      <c r="G80" s="771">
        <f t="shared" si="22"/>
        <v>2877448</v>
      </c>
      <c r="H80" s="893"/>
      <c r="I80" s="332">
        <f t="shared" si="32"/>
        <v>140707.2072</v>
      </c>
      <c r="J80" s="332">
        <f t="shared" si="33"/>
        <v>115097.92</v>
      </c>
      <c r="K80" s="332">
        <f t="shared" si="34"/>
        <v>57548.96</v>
      </c>
      <c r="L80" s="224">
        <v>15000</v>
      </c>
      <c r="M80" s="715">
        <f t="shared" si="26"/>
        <v>3205802.0872</v>
      </c>
      <c r="N80" s="304">
        <f t="shared" si="27"/>
        <v>256464.166976</v>
      </c>
      <c r="O80" s="490">
        <v>1053000</v>
      </c>
      <c r="P80" s="225"/>
      <c r="Q80" s="715"/>
      <c r="R80" s="236">
        <f t="shared" si="28"/>
        <v>4515266.254176</v>
      </c>
      <c r="S80" s="309">
        <f t="shared" si="29"/>
        <v>25646.4166976</v>
      </c>
      <c r="T80" s="237">
        <f t="shared" si="30"/>
        <v>4540912.6708736</v>
      </c>
      <c r="U80" s="904">
        <v>44348</v>
      </c>
      <c r="V80" s="905">
        <v>44439</v>
      </c>
      <c r="X80" s="906"/>
      <c r="Y80" s="906"/>
      <c r="Z80" s="188"/>
    </row>
    <row r="81" ht="18" customHeight="1" s="181" customFormat="1">
      <c r="A81" s="377" t="s">
        <v>59</v>
      </c>
      <c r="B81" s="380" t="s">
        <v>383</v>
      </c>
      <c r="C81" s="769" t="s">
        <v>384</v>
      </c>
      <c r="D81" s="380" t="s">
        <v>84</v>
      </c>
      <c r="E81" s="380" t="s">
        <v>243</v>
      </c>
      <c r="F81" s="380" t="s">
        <v>63</v>
      </c>
      <c r="G81" s="771">
        <f ref="G81:G90" t="shared" si="35">2877448</f>
        <v>2877448</v>
      </c>
      <c r="H81" s="893">
        <f>-2877448/25*2</f>
        <v>-230195.84</v>
      </c>
      <c r="I81" s="332">
        <f ref="I81:I87" t="shared" si="36">+$G$4*4.89%</f>
        <v>140707.2072</v>
      </c>
      <c r="J81" s="332">
        <f ref="J81:J87" t="shared" si="37">+$G$4*4%</f>
        <v>115097.92</v>
      </c>
      <c r="K81" s="332">
        <f ref="K81:K87" t="shared" si="38">+$G$4*2%</f>
        <v>57548.96</v>
      </c>
      <c r="L81" s="224">
        <v>15000</v>
      </c>
      <c r="M81" s="715">
        <f ref="M81:M87" t="shared" si="39">SUM(G81:L81)</f>
        <v>2975606.2472</v>
      </c>
      <c r="N81" s="304">
        <f ref="N81:N87" t="shared" si="40">+M81*8%</f>
        <v>238048.499776</v>
      </c>
      <c r="O81" s="490">
        <v>1144000</v>
      </c>
      <c r="P81" s="225"/>
      <c r="Q81" s="715"/>
      <c r="R81" s="236">
        <f ref="R81:R87" t="shared" si="41">SUM(M81:Q81)</f>
        <v>4357654.746976</v>
      </c>
      <c r="S81" s="309">
        <f ref="S81:S87" t="shared" si="42">N81*0.1</f>
        <v>23804.849977600003</v>
      </c>
      <c r="T81" s="237">
        <f ref="T81:T87" t="shared" si="43">R81+S81</f>
        <v>4381459.596953601</v>
      </c>
      <c r="U81" s="904">
        <v>44409</v>
      </c>
      <c r="V81" s="905">
        <v>44500</v>
      </c>
      <c r="X81" s="906"/>
      <c r="Y81" s="906"/>
      <c r="Z81" s="188"/>
    </row>
    <row r="82" ht="18" customHeight="1" s="181" customFormat="1">
      <c r="A82" s="377" t="s">
        <v>59</v>
      </c>
      <c r="B82" s="380" t="s">
        <v>385</v>
      </c>
      <c r="C82" s="769" t="s">
        <v>386</v>
      </c>
      <c r="D82" s="380" t="s">
        <v>84</v>
      </c>
      <c r="E82" s="380" t="s">
        <v>243</v>
      </c>
      <c r="F82" s="380" t="s">
        <v>63</v>
      </c>
      <c r="G82" s="771">
        <f t="shared" si="35"/>
        <v>2877448</v>
      </c>
      <c r="H82" s="893"/>
      <c r="I82" s="332">
        <f t="shared" si="36"/>
        <v>140707.2072</v>
      </c>
      <c r="J82" s="332">
        <f t="shared" si="37"/>
        <v>115097.92</v>
      </c>
      <c r="K82" s="332">
        <f t="shared" si="38"/>
        <v>57548.96</v>
      </c>
      <c r="L82" s="224">
        <v>15000</v>
      </c>
      <c r="M82" s="715">
        <f t="shared" si="39"/>
        <v>3205802.0872</v>
      </c>
      <c r="N82" s="304">
        <f t="shared" si="40"/>
        <v>256464.166976</v>
      </c>
      <c r="O82" s="490">
        <v>1456000</v>
      </c>
      <c r="P82" s="225"/>
      <c r="Q82" s="715"/>
      <c r="R82" s="236">
        <f t="shared" si="41"/>
        <v>4918266.254176</v>
      </c>
      <c r="S82" s="309">
        <f t="shared" si="42"/>
        <v>25646.4166976</v>
      </c>
      <c r="T82" s="237">
        <f t="shared" si="43"/>
        <v>4943912.6708736</v>
      </c>
      <c r="U82" s="904">
        <v>44409</v>
      </c>
      <c r="V82" s="905">
        <v>44500</v>
      </c>
      <c r="X82" s="906"/>
      <c r="Y82" s="906"/>
      <c r="Z82" s="188"/>
    </row>
    <row r="83" ht="18" customHeight="1" s="181" customFormat="1">
      <c r="A83" s="377" t="s">
        <v>59</v>
      </c>
      <c r="B83" s="380" t="s">
        <v>387</v>
      </c>
      <c r="C83" s="769" t="s">
        <v>388</v>
      </c>
      <c r="D83" s="380" t="s">
        <v>84</v>
      </c>
      <c r="E83" s="380" t="s">
        <v>243</v>
      </c>
      <c r="F83" s="380" t="s">
        <v>63</v>
      </c>
      <c r="G83" s="771">
        <f t="shared" si="35"/>
        <v>2877448</v>
      </c>
      <c r="H83" s="893"/>
      <c r="I83" s="332">
        <f t="shared" si="36"/>
        <v>140707.2072</v>
      </c>
      <c r="J83" s="332">
        <f t="shared" si="37"/>
        <v>115097.92</v>
      </c>
      <c r="K83" s="332">
        <f t="shared" si="38"/>
        <v>57548.96</v>
      </c>
      <c r="L83" s="224">
        <v>15000</v>
      </c>
      <c r="M83" s="715">
        <f t="shared" si="39"/>
        <v>3205802.0872</v>
      </c>
      <c r="N83" s="304">
        <f t="shared" si="40"/>
        <v>256464.166976</v>
      </c>
      <c r="O83" s="490">
        <v>1282000</v>
      </c>
      <c r="P83" s="225"/>
      <c r="Q83" s="715"/>
      <c r="R83" s="236">
        <f t="shared" si="41"/>
        <v>4744266.254176</v>
      </c>
      <c r="S83" s="309">
        <f t="shared" si="42"/>
        <v>25646.4166976</v>
      </c>
      <c r="T83" s="237">
        <f t="shared" si="43"/>
        <v>4769912.6708736</v>
      </c>
      <c r="U83" s="904">
        <v>44341</v>
      </c>
      <c r="V83" s="905">
        <v>44439</v>
      </c>
      <c r="X83" s="906"/>
      <c r="Y83" s="906"/>
      <c r="Z83" s="188"/>
    </row>
    <row r="84" ht="18" customHeight="1" s="181" customFormat="1">
      <c r="A84" s="377" t="s">
        <v>59</v>
      </c>
      <c r="B84" s="380" t="s">
        <v>389</v>
      </c>
      <c r="C84" s="769" t="s">
        <v>390</v>
      </c>
      <c r="D84" s="380" t="s">
        <v>84</v>
      </c>
      <c r="E84" s="380" t="s">
        <v>243</v>
      </c>
      <c r="F84" s="380" t="s">
        <v>63</v>
      </c>
      <c r="G84" s="771">
        <f t="shared" si="35"/>
        <v>2877448</v>
      </c>
      <c r="H84" s="893"/>
      <c r="I84" s="332">
        <f t="shared" si="36"/>
        <v>140707.2072</v>
      </c>
      <c r="J84" s="332">
        <f t="shared" si="37"/>
        <v>115097.92</v>
      </c>
      <c r="K84" s="332">
        <f t="shared" si="38"/>
        <v>57548.96</v>
      </c>
      <c r="L84" s="224">
        <v>15000</v>
      </c>
      <c r="M84" s="715">
        <f t="shared" si="39"/>
        <v>3205802.0872</v>
      </c>
      <c r="N84" s="304">
        <f t="shared" si="40"/>
        <v>256464.166976</v>
      </c>
      <c r="O84" s="490">
        <v>1170000</v>
      </c>
      <c r="P84" s="225"/>
      <c r="Q84" s="715"/>
      <c r="R84" s="236">
        <f t="shared" si="41"/>
        <v>4632266.254176</v>
      </c>
      <c r="S84" s="309">
        <f t="shared" si="42"/>
        <v>25646.4166976</v>
      </c>
      <c r="T84" s="237">
        <f t="shared" si="43"/>
        <v>4657912.6708736</v>
      </c>
      <c r="U84" s="904">
        <v>44341</v>
      </c>
      <c r="V84" s="905">
        <v>44439</v>
      </c>
      <c r="X84" s="906"/>
      <c r="Y84" s="906"/>
      <c r="Z84" s="188"/>
    </row>
    <row r="85" ht="18" customHeight="1" s="181" customFormat="1">
      <c r="A85" s="377" t="s">
        <v>59</v>
      </c>
      <c r="B85" s="380" t="s">
        <v>391</v>
      </c>
      <c r="C85" s="769" t="s">
        <v>392</v>
      </c>
      <c r="D85" s="380" t="s">
        <v>84</v>
      </c>
      <c r="E85" s="380" t="s">
        <v>243</v>
      </c>
      <c r="F85" s="380" t="s">
        <v>63</v>
      </c>
      <c r="G85" s="771">
        <f t="shared" si="35"/>
        <v>2877448</v>
      </c>
      <c r="H85" s="893"/>
      <c r="I85" s="332">
        <f t="shared" si="36"/>
        <v>140707.2072</v>
      </c>
      <c r="J85" s="332">
        <f t="shared" si="37"/>
        <v>115097.92</v>
      </c>
      <c r="K85" s="332">
        <f t="shared" si="38"/>
        <v>57548.96</v>
      </c>
      <c r="L85" s="224">
        <v>15000</v>
      </c>
      <c r="M85" s="715">
        <f t="shared" si="39"/>
        <v>3205802.0872</v>
      </c>
      <c r="N85" s="304">
        <f t="shared" si="40"/>
        <v>256464.166976</v>
      </c>
      <c r="O85" s="490">
        <v>1131000</v>
      </c>
      <c r="P85" s="225"/>
      <c r="Q85" s="715"/>
      <c r="R85" s="236">
        <f t="shared" si="41"/>
        <v>4593266.254176</v>
      </c>
      <c r="S85" s="309">
        <f t="shared" si="42"/>
        <v>25646.4166976</v>
      </c>
      <c r="T85" s="237">
        <f t="shared" si="43"/>
        <v>4618912.6708736</v>
      </c>
      <c r="U85" s="904">
        <v>44350</v>
      </c>
      <c r="V85" s="905">
        <v>44439</v>
      </c>
      <c r="X85" s="906"/>
      <c r="Y85" s="906"/>
      <c r="Z85" s="188"/>
    </row>
    <row r="86" ht="18" customHeight="1" s="181" customFormat="1">
      <c r="A86" s="377" t="s">
        <v>59</v>
      </c>
      <c r="B86" s="380" t="s">
        <v>393</v>
      </c>
      <c r="C86" s="769" t="s">
        <v>394</v>
      </c>
      <c r="D86" s="380" t="s">
        <v>84</v>
      </c>
      <c r="E86" s="380" t="s">
        <v>243</v>
      </c>
      <c r="F86" s="380" t="s">
        <v>63</v>
      </c>
      <c r="G86" s="771">
        <f t="shared" si="35"/>
        <v>2877448</v>
      </c>
      <c r="H86" s="893"/>
      <c r="I86" s="332">
        <f t="shared" si="36"/>
        <v>140707.2072</v>
      </c>
      <c r="J86" s="332">
        <f t="shared" si="37"/>
        <v>115097.92</v>
      </c>
      <c r="K86" s="332">
        <f t="shared" si="38"/>
        <v>57548.96</v>
      </c>
      <c r="L86" s="224">
        <v>15000</v>
      </c>
      <c r="M86" s="715">
        <f t="shared" si="39"/>
        <v>3205802.0872</v>
      </c>
      <c r="N86" s="304">
        <f t="shared" si="40"/>
        <v>256464.166976</v>
      </c>
      <c r="O86" s="490">
        <v>793000</v>
      </c>
      <c r="P86" s="225"/>
      <c r="Q86" s="715"/>
      <c r="R86" s="236">
        <f t="shared" si="41"/>
        <v>4255266.254176</v>
      </c>
      <c r="S86" s="309">
        <f t="shared" si="42"/>
        <v>25646.4166976</v>
      </c>
      <c r="T86" s="237">
        <f t="shared" si="43"/>
        <v>4280912.6708736</v>
      </c>
      <c r="U86" s="904">
        <v>44351</v>
      </c>
      <c r="V86" s="905">
        <v>44439</v>
      </c>
      <c r="X86" s="906"/>
      <c r="Y86" s="906"/>
      <c r="Z86" s="188"/>
    </row>
    <row r="87" ht="18" customHeight="1" s="181" customFormat="1">
      <c r="A87" s="377" t="s">
        <v>59</v>
      </c>
      <c r="B87" s="380">
        <v>2513</v>
      </c>
      <c r="C87" s="769" t="s">
        <v>395</v>
      </c>
      <c r="D87" s="380" t="s">
        <v>84</v>
      </c>
      <c r="E87" s="380" t="s">
        <v>243</v>
      </c>
      <c r="F87" s="380" t="s">
        <v>63</v>
      </c>
      <c r="G87" s="771">
        <f t="shared" si="35"/>
        <v>2877448</v>
      </c>
      <c r="H87" s="893">
        <f>-2877448/25*1</f>
        <v>-115097.92</v>
      </c>
      <c r="I87" s="332">
        <f t="shared" si="36"/>
        <v>140707.2072</v>
      </c>
      <c r="J87" s="332">
        <f t="shared" si="37"/>
        <v>115097.92</v>
      </c>
      <c r="K87" s="332">
        <f t="shared" si="38"/>
        <v>57548.96</v>
      </c>
      <c r="L87" s="224">
        <v>15000</v>
      </c>
      <c r="M87" s="715">
        <f t="shared" si="39"/>
        <v>3090704.1672</v>
      </c>
      <c r="N87" s="304">
        <f t="shared" si="40"/>
        <v>247256.333376</v>
      </c>
      <c r="O87" s="490">
        <v>1047000</v>
      </c>
      <c r="P87" s="225"/>
      <c r="Q87" s="715"/>
      <c r="R87" s="236">
        <f t="shared" si="41"/>
        <v>4384960.500576001</v>
      </c>
      <c r="S87" s="309">
        <f t="shared" si="42"/>
        <v>24725.6333376</v>
      </c>
      <c r="T87" s="237">
        <f t="shared" si="43"/>
        <v>4409686.133913601</v>
      </c>
      <c r="U87" s="904">
        <v>44362</v>
      </c>
      <c r="V87" s="905">
        <v>44439</v>
      </c>
      <c r="X87" s="906"/>
      <c r="Y87" s="906"/>
      <c r="Z87" s="188"/>
    </row>
    <row r="88" ht="18" customHeight="1" s="181" customFormat="1">
      <c r="A88" s="377" t="s">
        <v>64</v>
      </c>
      <c r="B88" s="1180" t="s">
        <v>396</v>
      </c>
      <c r="C88" s="1181" t="s">
        <v>397</v>
      </c>
      <c r="D88" s="380" t="s">
        <v>84</v>
      </c>
      <c r="E88" s="380" t="s">
        <v>243</v>
      </c>
      <c r="F88" s="380" t="s">
        <v>63</v>
      </c>
      <c r="G88" s="771">
        <f t="shared" si="35"/>
        <v>2877448</v>
      </c>
      <c r="H88" s="893"/>
      <c r="I88" s="332">
        <f t="shared" si="11"/>
        <v>140707.2072</v>
      </c>
      <c r="J88" s="332">
        <f t="shared" si="12"/>
        <v>115097.92</v>
      </c>
      <c r="K88" s="332">
        <f t="shared" si="13"/>
        <v>57548.96</v>
      </c>
      <c r="L88" s="224">
        <v>15000</v>
      </c>
      <c r="M88" s="715">
        <f ref="M88:M90" t="shared" si="45">SUM(G88:L88)</f>
        <v>3205802.0872</v>
      </c>
      <c r="N88" s="304">
        <f ref="N88:N90" t="shared" si="46">+M88*8%</f>
        <v>256464.166976</v>
      </c>
      <c r="O88" s="490">
        <v>1132000</v>
      </c>
      <c r="P88" s="225"/>
      <c r="Q88" s="715"/>
      <c r="R88" s="236">
        <f ref="R88:R90" t="shared" si="47">SUM(M88:Q88)</f>
        <v>4594266.254176</v>
      </c>
      <c r="S88" s="309">
        <f ref="S88:S90" t="shared" si="48">N88*0.1</f>
        <v>25646.4166976</v>
      </c>
      <c r="T88" s="237">
        <f ref="T88:T90" t="shared" si="49">R88+S88</f>
        <v>4619912.6708736</v>
      </c>
      <c r="U88" s="904">
        <v>44368</v>
      </c>
      <c r="V88" s="905">
        <v>44469</v>
      </c>
      <c r="X88" s="906"/>
      <c r="Y88" s="906"/>
      <c r="Z88" s="876"/>
    </row>
    <row r="89" ht="18" customHeight="1" s="181" customFormat="1">
      <c r="A89" s="377" t="s">
        <v>59</v>
      </c>
      <c r="B89" s="380" t="s">
        <v>398</v>
      </c>
      <c r="C89" s="769" t="s">
        <v>399</v>
      </c>
      <c r="D89" s="380" t="s">
        <v>84</v>
      </c>
      <c r="E89" s="380" t="s">
        <v>243</v>
      </c>
      <c r="F89" s="380" t="s">
        <v>63</v>
      </c>
      <c r="G89" s="771">
        <f t="shared" si="35"/>
        <v>2877448</v>
      </c>
      <c r="H89" s="893"/>
      <c r="I89" s="332">
        <f ref="I89:I92" t="shared" si="50">+$G$4*4.89%</f>
        <v>140707.2072</v>
      </c>
      <c r="J89" s="332">
        <f ref="J89:J92" t="shared" si="51">+$G$4*4%</f>
        <v>115097.92</v>
      </c>
      <c r="K89" s="332">
        <f ref="K89:K92" t="shared" si="52">+$G$4*2%</f>
        <v>57548.96</v>
      </c>
      <c r="L89" s="224">
        <v>15000</v>
      </c>
      <c r="M89" s="715">
        <f t="shared" si="45"/>
        <v>3205802.0872</v>
      </c>
      <c r="N89" s="304">
        <f t="shared" si="46"/>
        <v>256464.166976</v>
      </c>
      <c r="O89" s="490">
        <v>754000</v>
      </c>
      <c r="P89" s="225"/>
      <c r="Q89" s="715"/>
      <c r="R89" s="236">
        <f t="shared" si="47"/>
        <v>4216266.254176</v>
      </c>
      <c r="S89" s="309">
        <f t="shared" si="48"/>
        <v>25646.4166976</v>
      </c>
      <c r="T89" s="237">
        <f t="shared" si="49"/>
        <v>4241912.6708736</v>
      </c>
      <c r="U89" s="904">
        <v>44380</v>
      </c>
      <c r="V89" s="905">
        <v>44469</v>
      </c>
      <c r="X89" s="906"/>
      <c r="Y89" s="906"/>
      <c r="Z89" s="876"/>
    </row>
    <row r="90" ht="18" customHeight="1" s="181" customFormat="1">
      <c r="A90" s="377" t="s">
        <v>59</v>
      </c>
      <c r="B90" s="380" t="s">
        <v>400</v>
      </c>
      <c r="C90" s="769" t="s">
        <v>401</v>
      </c>
      <c r="D90" s="380" t="s">
        <v>84</v>
      </c>
      <c r="E90" s="380" t="s">
        <v>243</v>
      </c>
      <c r="F90" s="380" t="s">
        <v>63</v>
      </c>
      <c r="G90" s="771">
        <f t="shared" si="35"/>
        <v>2877448</v>
      </c>
      <c r="H90" s="893"/>
      <c r="I90" s="332">
        <f t="shared" si="50"/>
        <v>140707.2072</v>
      </c>
      <c r="J90" s="332">
        <f t="shared" si="51"/>
        <v>115097.92</v>
      </c>
      <c r="K90" s="332">
        <f t="shared" si="52"/>
        <v>57548.96</v>
      </c>
      <c r="L90" s="224">
        <v>15000</v>
      </c>
      <c r="M90" s="715">
        <f t="shared" si="45"/>
        <v>3205802.0872</v>
      </c>
      <c r="N90" s="304">
        <f t="shared" si="46"/>
        <v>256464.166976</v>
      </c>
      <c r="O90" s="490">
        <v>1053000</v>
      </c>
      <c r="P90" s="225"/>
      <c r="Q90" s="715"/>
      <c r="R90" s="236">
        <f t="shared" si="47"/>
        <v>4515266.254176</v>
      </c>
      <c r="S90" s="309">
        <f t="shared" si="48"/>
        <v>25646.4166976</v>
      </c>
      <c r="T90" s="237">
        <f t="shared" si="49"/>
        <v>4540912.6708736</v>
      </c>
      <c r="U90" s="904">
        <v>44378</v>
      </c>
      <c r="V90" s="905">
        <v>44469</v>
      </c>
      <c r="X90" s="906"/>
      <c r="Y90" s="906"/>
      <c r="Z90" s="876"/>
    </row>
    <row r="91" ht="18" customHeight="1" s="859" customFormat="1">
      <c r="A91" s="377" t="s">
        <v>59</v>
      </c>
      <c r="B91" s="385" t="s">
        <v>402</v>
      </c>
      <c r="C91" s="929" t="s">
        <v>403</v>
      </c>
      <c r="D91" s="385" t="s">
        <v>84</v>
      </c>
      <c r="E91" s="385" t="s">
        <v>243</v>
      </c>
      <c r="F91" s="385" t="s">
        <v>63</v>
      </c>
      <c r="G91" s="841">
        <f>2877448/31*24</f>
        <v>2227701.67741936</v>
      </c>
      <c r="H91" s="930"/>
      <c r="I91" s="305">
        <f t="shared" si="50"/>
        <v>140707.2072</v>
      </c>
      <c r="J91" s="305">
        <f t="shared" si="51"/>
        <v>115097.92</v>
      </c>
      <c r="K91" s="305">
        <f t="shared" si="52"/>
        <v>57548.96</v>
      </c>
      <c r="L91" s="323">
        <v>15000</v>
      </c>
      <c r="M91" s="850">
        <f ref="M91:M95" t="shared" si="53">SUM(G91:L91)</f>
        <v>2556055.76461936</v>
      </c>
      <c r="N91" s="339">
        <f ref="N91:N95" t="shared" si="54">+M91*8%</f>
        <v>204484.461169548</v>
      </c>
      <c r="O91" s="306">
        <v>286000</v>
      </c>
      <c r="P91" s="306"/>
      <c r="Q91" s="850"/>
      <c r="R91" s="313">
        <f ref="R91:R95" t="shared" si="55">SUM(M91:Q91)</f>
        <v>3046540.2257889</v>
      </c>
      <c r="S91" s="340">
        <f ref="S91:S95" t="shared" si="56">N91*0.1</f>
        <v>20448.4461169548</v>
      </c>
      <c r="T91" s="314">
        <f ref="T91:T95" t="shared" si="57">R91+S91</f>
        <v>3066988.67190586</v>
      </c>
      <c r="U91" s="948">
        <v>44400</v>
      </c>
      <c r="V91" s="949">
        <v>44500</v>
      </c>
      <c r="Y91" s="956"/>
      <c r="Z91" s="957"/>
    </row>
    <row r="92" ht="18" customHeight="1" s="859" customFormat="1">
      <c r="A92" s="377" t="s">
        <v>64</v>
      </c>
      <c r="B92" s="1182">
        <v>2782</v>
      </c>
      <c r="C92" s="1183" t="s">
        <v>404</v>
      </c>
      <c r="D92" s="385" t="s">
        <v>84</v>
      </c>
      <c r="E92" s="385" t="s">
        <v>243</v>
      </c>
      <c r="F92" s="385" t="s">
        <v>63</v>
      </c>
      <c r="G92" s="841">
        <f>2877448/31*14</f>
        <v>1299492.64516129</v>
      </c>
      <c r="H92" s="930"/>
      <c r="I92" s="305">
        <f t="shared" si="50"/>
        <v>140707.2072</v>
      </c>
      <c r="J92" s="305">
        <f t="shared" si="51"/>
        <v>115097.92</v>
      </c>
      <c r="K92" s="305">
        <f t="shared" si="52"/>
        <v>57548.96</v>
      </c>
      <c r="L92" s="323">
        <v>15000</v>
      </c>
      <c r="M92" s="850">
        <f t="shared" si="53"/>
        <v>1627846.73236129</v>
      </c>
      <c r="N92" s="339">
        <f t="shared" si="54"/>
        <v>130227.738588903</v>
      </c>
      <c r="O92" s="306">
        <v>52000</v>
      </c>
      <c r="P92" s="306"/>
      <c r="Q92" s="850"/>
      <c r="R92" s="313">
        <f t="shared" si="55"/>
        <v>1810074.47095019</v>
      </c>
      <c r="S92" s="340">
        <f t="shared" si="56"/>
        <v>13022.7738588903</v>
      </c>
      <c r="T92" s="314">
        <f t="shared" si="57"/>
        <v>1823097.24480908</v>
      </c>
      <c r="U92" s="948">
        <v>44410</v>
      </c>
      <c r="V92" s="949">
        <v>44500</v>
      </c>
      <c r="Y92" s="956"/>
      <c r="Z92" s="957"/>
    </row>
    <row r="93" ht="18" customHeight="1" s="1010" customFormat="1">
      <c r="A93" s="377" t="s">
        <v>64</v>
      </c>
      <c r="B93" s="1176">
        <v>2786</v>
      </c>
      <c r="C93" s="1184" t="s">
        <v>405</v>
      </c>
      <c r="D93" s="992" t="s">
        <v>84</v>
      </c>
      <c r="E93" s="992" t="s">
        <v>243</v>
      </c>
      <c r="F93" s="992" t="s">
        <v>63</v>
      </c>
      <c r="G93" s="994">
        <f>2877448/31*3</f>
        <v>278462.7096774194</v>
      </c>
      <c r="H93" s="995"/>
      <c r="I93" s="996"/>
      <c r="J93" s="996"/>
      <c r="K93" s="996"/>
      <c r="L93" s="997"/>
      <c r="M93" s="998">
        <f t="shared" si="53"/>
        <v>278462.7096774194</v>
      </c>
      <c r="N93" s="999">
        <f t="shared" si="54"/>
        <v>22277.01677419355</v>
      </c>
      <c r="O93" s="1000"/>
      <c r="P93" s="1000"/>
      <c r="Q93" s="998"/>
      <c r="R93" s="1002">
        <f t="shared" si="55"/>
        <v>300739.72645161295</v>
      </c>
      <c r="S93" s="1003">
        <f t="shared" si="56"/>
        <v>2227.7016774193553</v>
      </c>
      <c r="T93" s="1004">
        <f t="shared" si="57"/>
        <v>302967.4281290323</v>
      </c>
      <c r="U93" s="1005">
        <v>44411</v>
      </c>
      <c r="V93" s="1006">
        <v>44413</v>
      </c>
      <c r="W93" s="1010" t="s">
        <v>406</v>
      </c>
      <c r="Y93" s="1008"/>
      <c r="Z93" s="1016"/>
    </row>
    <row r="94" ht="18" customHeight="1" s="829" customFormat="1">
      <c r="A94" s="377" t="s">
        <v>64</v>
      </c>
      <c r="B94" s="1185" t="s">
        <v>407</v>
      </c>
      <c r="C94" s="1184" t="s">
        <v>408</v>
      </c>
      <c r="D94" s="386" t="s">
        <v>84</v>
      </c>
      <c r="E94" s="386" t="s">
        <v>243</v>
      </c>
      <c r="F94" s="386" t="s">
        <v>63</v>
      </c>
      <c r="G94" s="779">
        <f>2877448/31*14</f>
        <v>1299492.64516129</v>
      </c>
      <c r="H94" s="931"/>
      <c r="I94" s="454"/>
      <c r="J94" s="454"/>
      <c r="K94" s="454"/>
      <c r="L94" s="389"/>
      <c r="M94" s="400">
        <f t="shared" si="53"/>
        <v>1299492.64516129</v>
      </c>
      <c r="N94" s="400">
        <f t="shared" si="54"/>
        <v>103959.411612903</v>
      </c>
      <c r="O94" s="490">
        <v>904000</v>
      </c>
      <c r="P94" s="455"/>
      <c r="Q94" s="815"/>
      <c r="R94" s="465">
        <f t="shared" si="55"/>
        <v>2307452.05677419</v>
      </c>
      <c r="S94" s="418">
        <f t="shared" si="56"/>
        <v>10395.9411612903</v>
      </c>
      <c r="T94" s="466">
        <f t="shared" si="57"/>
        <v>2317847.99793548</v>
      </c>
      <c r="U94" s="950">
        <v>44348</v>
      </c>
      <c r="V94" s="951">
        <v>44407</v>
      </c>
      <c r="Y94" s="958"/>
      <c r="Z94" s="958"/>
    </row>
    <row r="95" ht="18" customHeight="1" s="829" customFormat="1">
      <c r="A95" s="377" t="s">
        <v>64</v>
      </c>
      <c r="B95" s="1185" t="s">
        <v>409</v>
      </c>
      <c r="C95" s="1184" t="s">
        <v>410</v>
      </c>
      <c r="D95" s="386" t="s">
        <v>84</v>
      </c>
      <c r="E95" s="386" t="s">
        <v>243</v>
      </c>
      <c r="F95" s="386" t="s">
        <v>63</v>
      </c>
      <c r="G95" s="779">
        <f>2877448/31*5</f>
        <v>464104.516129032</v>
      </c>
      <c r="H95" s="931"/>
      <c r="I95" s="454"/>
      <c r="J95" s="454"/>
      <c r="K95" s="454"/>
      <c r="L95" s="389"/>
      <c r="M95" s="400">
        <f t="shared" si="53"/>
        <v>464104.516129032</v>
      </c>
      <c r="N95" s="400">
        <f t="shared" si="54"/>
        <v>37128.3612903226</v>
      </c>
      <c r="O95" s="490">
        <v>650000</v>
      </c>
      <c r="P95" s="455"/>
      <c r="Q95" s="815"/>
      <c r="R95" s="465">
        <f t="shared" si="55"/>
        <v>1151232.87741935</v>
      </c>
      <c r="S95" s="418">
        <f t="shared" si="56"/>
        <v>3712.83612903226</v>
      </c>
      <c r="T95" s="466">
        <f t="shared" si="57"/>
        <v>1154945.71354839</v>
      </c>
      <c r="U95" s="950">
        <v>44348</v>
      </c>
      <c r="V95" s="951">
        <v>44398</v>
      </c>
      <c r="Y95" s="958"/>
      <c r="Z95" s="958"/>
    </row>
    <row r="96" ht="18" customHeight="1" s="829" customFormat="1">
      <c r="A96" s="377" t="s">
        <v>64</v>
      </c>
      <c r="B96" s="1176" t="s">
        <v>411</v>
      </c>
      <c r="C96" s="1184" t="s">
        <v>412</v>
      </c>
      <c r="D96" s="386" t="s">
        <v>84</v>
      </c>
      <c r="E96" s="386" t="s">
        <v>243</v>
      </c>
      <c r="F96" s="386" t="s">
        <v>63</v>
      </c>
      <c r="G96" s="779">
        <f>2877448/31*12</f>
        <v>1113850.8387096776</v>
      </c>
      <c r="H96" s="931"/>
      <c r="I96" s="454"/>
      <c r="J96" s="454"/>
      <c r="K96" s="454"/>
      <c r="L96" s="389"/>
      <c r="M96" s="815">
        <f ref="M96:M97" t="shared" si="58">SUM(G96:L96)</f>
        <v>1113850.8387096776</v>
      </c>
      <c r="N96" s="400">
        <f ref="N96:N97" t="shared" si="59">+M96*8%</f>
        <v>89108.0670967742</v>
      </c>
      <c r="O96" s="490">
        <v>143000</v>
      </c>
      <c r="P96" s="455"/>
      <c r="Q96" s="815"/>
      <c r="R96" s="465">
        <f ref="R96:R97" t="shared" si="60">SUM(M96:Q96)</f>
        <v>1345958.9058064518</v>
      </c>
      <c r="S96" s="418">
        <f ref="S96:S97" t="shared" si="61">N96*0.1</f>
        <v>8910.806709677421</v>
      </c>
      <c r="T96" s="466">
        <f ref="T96:T97" t="shared" si="62">R96+S96</f>
        <v>1354869.7125161292</v>
      </c>
      <c r="U96" s="950">
        <v>44401</v>
      </c>
      <c r="V96" s="951">
        <v>44406</v>
      </c>
      <c r="Y96" s="959"/>
      <c r="Z96" s="959"/>
    </row>
    <row r="97" ht="18" customHeight="1" s="829" customFormat="1">
      <c r="A97" s="377" t="s">
        <v>64</v>
      </c>
      <c r="B97" s="1185" t="s">
        <v>413</v>
      </c>
      <c r="C97" s="1184" t="s">
        <v>414</v>
      </c>
      <c r="D97" s="386" t="s">
        <v>84</v>
      </c>
      <c r="E97" s="386" t="s">
        <v>243</v>
      </c>
      <c r="F97" s="386" t="s">
        <v>63</v>
      </c>
      <c r="G97" s="779"/>
      <c r="H97" s="931"/>
      <c r="I97" s="454"/>
      <c r="J97" s="454"/>
      <c r="K97" s="454"/>
      <c r="L97" s="389"/>
      <c r="M97" s="400">
        <f t="shared" si="58"/>
        <v>0</v>
      </c>
      <c r="N97" s="400">
        <f t="shared" si="59"/>
        <v>0</v>
      </c>
      <c r="O97" s="490">
        <v>286000</v>
      </c>
      <c r="P97" s="455"/>
      <c r="Q97" s="815"/>
      <c r="R97" s="465">
        <f t="shared" si="60"/>
        <v>286000</v>
      </c>
      <c r="S97" s="418">
        <f t="shared" si="61"/>
        <v>0</v>
      </c>
      <c r="T97" s="466">
        <f t="shared" si="62"/>
        <v>286000</v>
      </c>
      <c r="U97" s="950">
        <v>44348</v>
      </c>
      <c r="V97" s="951">
        <v>44393</v>
      </c>
      <c r="Y97" s="958"/>
      <c r="Z97" s="958"/>
    </row>
    <row r="98" ht="18" customHeight="1" s="426" customFormat="1">
      <c r="A98" s="1059" t="s">
        <v>87</v>
      </c>
      <c r="B98" s="1186"/>
      <c r="C98" s="1060"/>
      <c r="D98" s="1060"/>
      <c r="E98" s="1060"/>
      <c r="F98" s="932"/>
      <c r="G98" s="933">
        <f ref="G98:S98" t="shared" si="63">SUM(G20:G97)</f>
        <v>210981913.03225812</v>
      </c>
      <c r="H98" s="933">
        <f t="shared" si="63"/>
        <v>-920783.36</v>
      </c>
      <c r="I98" s="933">
        <f t="shared" si="63"/>
        <v>10271626.125600003</v>
      </c>
      <c r="J98" s="933">
        <f t="shared" si="63"/>
        <v>8402148.159999996</v>
      </c>
      <c r="K98" s="933">
        <f t="shared" si="63"/>
        <v>4201074.079999998</v>
      </c>
      <c r="L98" s="933">
        <f t="shared" si="63"/>
        <v>1095002</v>
      </c>
      <c r="M98" s="933">
        <f t="shared" si="63"/>
        <v>234030980.03785777</v>
      </c>
      <c r="N98" s="933">
        <f t="shared" si="63"/>
        <v>18722478.403028626</v>
      </c>
      <c r="O98" s="933">
        <f t="shared" si="63"/>
        <v>94701000</v>
      </c>
      <c r="P98" s="933">
        <f t="shared" si="63"/>
        <v>0</v>
      </c>
      <c r="Q98" s="933">
        <f t="shared" si="63"/>
        <v>0</v>
      </c>
      <c r="R98" s="933">
        <f t="shared" si="63"/>
        <v>347454458.4408868</v>
      </c>
      <c r="S98" s="933">
        <f t="shared" si="63"/>
        <v>1872247.8403028632</v>
      </c>
      <c r="T98" s="933">
        <f>SUM(T20:T97)</f>
        <v>349326706.28118956</v>
      </c>
      <c r="U98" s="952"/>
      <c r="V98" s="953"/>
      <c r="W98" s="178"/>
      <c r="X98" s="178"/>
      <c r="Y98" s="925"/>
      <c r="Z98" s="242"/>
      <c r="AA98" s="178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  <c r="BC98" s="178"/>
      <c r="BD98" s="178"/>
      <c r="BE98" s="178"/>
      <c r="BF98" s="178"/>
      <c r="BG98" s="178"/>
      <c r="BH98" s="178"/>
      <c r="BI98" s="178"/>
      <c r="BJ98" s="178"/>
      <c r="BK98" s="178"/>
      <c r="BL98" s="178"/>
      <c r="BM98" s="178"/>
      <c r="BN98" s="178"/>
      <c r="BO98" s="178"/>
      <c r="BP98" s="178"/>
    </row>
    <row r="99" ht="11.25" customHeight="1" s="180" customFormat="1">
      <c r="A99" s="934" t="s">
        <v>87</v>
      </c>
      <c r="B99" s="1187"/>
      <c r="C99" s="936"/>
      <c r="D99" s="937"/>
      <c r="E99" s="937"/>
      <c r="F99" s="937"/>
      <c r="G99" s="938"/>
      <c r="H99" s="938"/>
      <c r="I99" s="938"/>
      <c r="J99" s="938"/>
      <c r="K99" s="938"/>
      <c r="L99" s="938"/>
      <c r="M99" s="938"/>
      <c r="N99" s="938"/>
      <c r="O99" s="938"/>
      <c r="P99" s="938"/>
      <c r="Q99" s="938"/>
      <c r="R99" s="938"/>
      <c r="S99" s="938"/>
      <c r="T99" s="938"/>
      <c r="U99" s="937"/>
      <c r="V99" s="935"/>
      <c r="W99" s="178"/>
      <c r="X99" s="178"/>
      <c r="Y99" s="925"/>
      <c r="Z99" s="242"/>
      <c r="AA99" s="178"/>
      <c r="AB99" s="178"/>
      <c r="AC99" s="178"/>
      <c r="AD99" s="178"/>
      <c r="AE99" s="178"/>
      <c r="AF99" s="178"/>
      <c r="AG99" s="178"/>
      <c r="AH99" s="178"/>
      <c r="AI99" s="178"/>
      <c r="AJ99" s="178"/>
      <c r="AK99" s="178"/>
      <c r="AL99" s="178"/>
      <c r="AM99" s="178"/>
      <c r="AN99" s="178"/>
      <c r="AO99" s="178"/>
      <c r="AP99" s="178"/>
      <c r="AQ99" s="178"/>
      <c r="AR99" s="178"/>
      <c r="AS99" s="178"/>
      <c r="AT99" s="178"/>
      <c r="AU99" s="178"/>
      <c r="AV99" s="178"/>
      <c r="AW99" s="178"/>
      <c r="AX99" s="178"/>
      <c r="AY99" s="178"/>
      <c r="AZ99" s="178"/>
      <c r="BA99" s="178"/>
      <c r="BB99" s="178"/>
      <c r="BC99" s="178"/>
      <c r="BD99" s="178"/>
      <c r="BE99" s="178"/>
      <c r="BF99" s="178"/>
      <c r="BG99" s="178"/>
      <c r="BH99" s="178"/>
      <c r="BI99" s="178"/>
      <c r="BJ99" s="178"/>
      <c r="BK99" s="178"/>
      <c r="BL99" s="178"/>
      <c r="BM99" s="178"/>
      <c r="BN99" s="178"/>
      <c r="BO99" s="178"/>
      <c r="BP99" s="178"/>
    </row>
    <row r="100" ht="18" customHeight="1" s="180" customFormat="1">
      <c r="A100" s="1061" t="s">
        <v>87</v>
      </c>
      <c r="B100" s="1188"/>
      <c r="C100" s="1062"/>
      <c r="D100" s="1062"/>
      <c r="E100" s="1062"/>
      <c r="F100" s="208"/>
      <c r="G100" s="390">
        <f ref="G100:T100" t="shared" si="64">+G98+G17</f>
        <v>235672273.29032263</v>
      </c>
      <c r="H100" s="390">
        <f t="shared" si="64"/>
        <v>-920783.36</v>
      </c>
      <c r="I100" s="390">
        <f t="shared" si="64"/>
        <v>11537990.990400003</v>
      </c>
      <c r="J100" s="390">
        <f t="shared" si="64"/>
        <v>9438029.439999996</v>
      </c>
      <c r="K100" s="390">
        <f t="shared" si="64"/>
        <v>4719014.719999998</v>
      </c>
      <c r="L100" s="390">
        <f t="shared" si="64"/>
        <v>1136671</v>
      </c>
      <c r="M100" s="390">
        <f t="shared" si="64"/>
        <v>261583196.0807223</v>
      </c>
      <c r="N100" s="390">
        <f t="shared" si="64"/>
        <v>20926655.686457787</v>
      </c>
      <c r="O100" s="390">
        <f t="shared" si="64"/>
        <v>94701000</v>
      </c>
      <c r="P100" s="390">
        <f t="shared" si="64"/>
        <v>2166000</v>
      </c>
      <c r="Q100" s="390">
        <f t="shared" si="64"/>
        <v>5971120.41618497</v>
      </c>
      <c r="R100" s="390">
        <f t="shared" si="64"/>
        <v>385347972.18336546</v>
      </c>
      <c r="S100" s="390">
        <f t="shared" si="64"/>
        <v>2092665.5686457793</v>
      </c>
      <c r="T100" s="390">
        <f t="shared" si="64"/>
        <v>387440637.7520111</v>
      </c>
      <c r="U100" s="424"/>
      <c r="V100" s="501"/>
      <c r="W100" s="178"/>
      <c r="X100" s="178"/>
      <c r="Y100" s="925"/>
      <c r="Z100" s="242"/>
      <c r="AA100" s="178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  <c r="BC100" s="178"/>
      <c r="BD100" s="178"/>
      <c r="BE100" s="178"/>
      <c r="BF100" s="178"/>
      <c r="BG100" s="178"/>
      <c r="BH100" s="178"/>
      <c r="BI100" s="178"/>
      <c r="BJ100" s="178"/>
      <c r="BK100" s="178"/>
      <c r="BL100" s="178"/>
      <c r="BM100" s="178"/>
      <c r="BN100" s="178"/>
      <c r="BO100" s="178"/>
      <c r="BP100" s="178"/>
    </row>
    <row r="101" s="178" customFormat="1">
      <c r="A101" s="939" t="s">
        <v>87</v>
      </c>
      <c r="B101" s="1189"/>
      <c r="C101" s="940"/>
      <c r="D101" s="939"/>
      <c r="E101" s="939"/>
      <c r="F101" s="939"/>
      <c r="G101" s="941"/>
      <c r="H101" s="941"/>
      <c r="I101" s="941"/>
      <c r="J101" s="941"/>
      <c r="K101" s="941"/>
      <c r="L101" s="941"/>
      <c r="M101" s="941"/>
      <c r="N101" s="941"/>
      <c r="O101" s="941"/>
      <c r="P101" s="941"/>
      <c r="Q101" s="941"/>
      <c r="R101" s="941"/>
      <c r="S101" s="941"/>
      <c r="T101" s="941"/>
      <c r="U101" s="954"/>
      <c r="V101" s="954"/>
      <c r="Y101" s="925"/>
      <c r="Z101" s="242"/>
    </row>
    <row r="102" s="178" customFormat="1">
      <c r="A102" s="178" t="s">
        <v>87</v>
      </c>
      <c r="B102" s="1178"/>
      <c r="C102" s="214" t="s">
        <v>415</v>
      </c>
      <c r="D102" s="189"/>
      <c r="E102" s="189"/>
      <c r="F102" s="189"/>
      <c r="G102" s="190"/>
      <c r="H102" s="190"/>
      <c r="M102" s="231"/>
      <c r="N102" s="229"/>
      <c r="O102" s="231"/>
      <c r="P102" s="231"/>
      <c r="Q102" s="231"/>
      <c r="R102" s="231"/>
      <c r="S102" s="230"/>
      <c r="T102" s="229"/>
      <c r="U102" s="187"/>
      <c r="V102" s="187"/>
      <c r="Y102" s="925"/>
      <c r="Z102" s="242"/>
    </row>
    <row r="103" s="178" customFormat="1">
      <c r="A103" s="213" t="s">
        <v>87</v>
      </c>
      <c r="B103" s="1178"/>
      <c r="C103" s="189"/>
      <c r="D103" s="189"/>
      <c r="E103" s="189"/>
      <c r="F103" s="189"/>
      <c r="G103" s="190"/>
      <c r="H103" s="190"/>
      <c r="O103" s="229"/>
      <c r="P103" s="229"/>
      <c r="Q103" s="229"/>
      <c r="S103" s="230"/>
      <c r="T103" s="229"/>
      <c r="U103" s="187"/>
      <c r="V103" s="187"/>
      <c r="Y103" s="925"/>
      <c r="Z103" s="242"/>
    </row>
    <row r="104" s="178" customFormat="1">
      <c r="A104" s="178" t="s">
        <v>87</v>
      </c>
      <c r="B104" s="1178"/>
      <c r="C104" s="189" t="s">
        <v>232</v>
      </c>
      <c r="D104" s="189"/>
      <c r="F104" s="215"/>
      <c r="G104" s="190"/>
      <c r="H104" s="190"/>
      <c r="L104" s="229"/>
      <c r="M104" s="181" t="s">
        <v>233</v>
      </c>
      <c r="N104" s="231"/>
      <c r="O104" s="181"/>
      <c r="P104" s="181"/>
      <c r="Q104" s="181"/>
      <c r="R104" s="544"/>
      <c r="U104" s="187"/>
      <c r="V104" s="187"/>
      <c r="Y104" s="925"/>
      <c r="Z104" s="242"/>
    </row>
    <row r="105" s="178" customFormat="1">
      <c r="A105" s="178" t="s">
        <v>87</v>
      </c>
      <c r="B105" s="1178"/>
      <c r="C105" s="189"/>
      <c r="D105" s="189"/>
      <c r="F105" s="215"/>
      <c r="G105" s="190"/>
      <c r="H105" s="190"/>
      <c r="I105" s="190"/>
      <c r="L105" s="229"/>
      <c r="R105" s="544"/>
      <c r="U105" s="187"/>
      <c r="V105" s="187"/>
      <c r="Y105" s="925"/>
      <c r="Z105" s="242"/>
    </row>
    <row r="106" s="178" customFormat="1">
      <c r="A106" s="178" t="s">
        <v>87</v>
      </c>
      <c r="B106" s="1178"/>
      <c r="C106" s="189"/>
      <c r="D106" s="189"/>
      <c r="F106" s="215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Y106" s="925"/>
      <c r="Z106" s="242"/>
    </row>
    <row r="107" s="178" customFormat="1">
      <c r="A107" s="178" t="s">
        <v>87</v>
      </c>
      <c r="B107" s="1178"/>
      <c r="C107" s="189"/>
      <c r="D107" s="189"/>
      <c r="F107" s="215"/>
      <c r="G107" s="190"/>
      <c r="H107" s="190"/>
      <c r="I107" s="190"/>
      <c r="L107" s="229"/>
      <c r="N107" s="231"/>
      <c r="R107" s="189"/>
      <c r="U107" s="187"/>
      <c r="V107" s="187"/>
      <c r="Y107" s="925"/>
      <c r="Z107" s="242"/>
    </row>
    <row r="108" s="178" customFormat="1">
      <c r="A108" s="178" t="s">
        <v>87</v>
      </c>
      <c r="B108" s="1178"/>
      <c r="C108" s="189"/>
      <c r="D108" s="189"/>
      <c r="F108" s="215"/>
      <c r="G108" s="190"/>
      <c r="H108" s="190"/>
      <c r="I108" s="190"/>
      <c r="L108" s="229"/>
      <c r="R108" s="189"/>
      <c r="U108" s="187"/>
      <c r="V108" s="187"/>
      <c r="Y108" s="925"/>
      <c r="Z108" s="242"/>
    </row>
    <row r="109" s="178" customFormat="1">
      <c r="A109" s="178" t="s">
        <v>87</v>
      </c>
      <c r="B109" s="1178"/>
      <c r="C109" s="189"/>
      <c r="D109" s="189"/>
      <c r="F109" s="215"/>
      <c r="G109" s="190"/>
      <c r="H109" s="190"/>
      <c r="I109" s="190"/>
      <c r="L109" s="229"/>
      <c r="R109" s="189"/>
      <c r="S109" s="189"/>
      <c r="U109" s="187"/>
      <c r="V109" s="955"/>
      <c r="Y109" s="925"/>
      <c r="Z109" s="242"/>
    </row>
    <row r="110" s="178" customFormat="1">
      <c r="A110" s="181" t="s">
        <v>87</v>
      </c>
      <c r="B110" s="1178"/>
      <c r="C110" s="189"/>
      <c r="D110" s="189"/>
      <c r="F110" s="189"/>
      <c r="G110" s="190"/>
      <c r="H110" s="190"/>
      <c r="I110" s="190"/>
      <c r="L110" s="229"/>
      <c r="R110" s="189"/>
      <c r="T110" s="181"/>
      <c r="U110" s="187"/>
      <c r="V110" s="955"/>
      <c r="Y110" s="925"/>
      <c r="Z110" s="242"/>
    </row>
    <row r="111" s="181" customFormat="1">
      <c r="A111" s="181" t="s">
        <v>87</v>
      </c>
      <c r="B111" s="1190"/>
      <c r="C111" s="214" t="s">
        <v>234</v>
      </c>
      <c r="D111" s="189"/>
      <c r="E111" s="189"/>
      <c r="F111" s="214"/>
      <c r="G111" s="190"/>
      <c r="H111" s="190"/>
      <c r="I111" s="190"/>
      <c r="J111" s="232" t="s">
        <v>235</v>
      </c>
      <c r="M111" s="213" t="s">
        <v>236</v>
      </c>
      <c r="O111" s="214" t="s">
        <v>237</v>
      </c>
      <c r="Q111" s="213" t="s">
        <v>238</v>
      </c>
      <c r="U111" s="189"/>
      <c r="V111" s="955"/>
      <c r="Y111" s="876"/>
      <c r="Z111" s="188"/>
    </row>
    <row r="112" s="181" customFormat="1">
      <c r="A112" s="181" t="s">
        <v>87</v>
      </c>
      <c r="B112" s="1190"/>
      <c r="C112" s="188"/>
      <c r="D112" s="189"/>
      <c r="E112" s="189"/>
      <c r="F112" s="189"/>
      <c r="G112" s="190"/>
      <c r="H112" s="190"/>
      <c r="I112" s="190"/>
      <c r="M112" s="190"/>
      <c r="U112" s="189"/>
      <c r="V112" s="955"/>
      <c r="Y112" s="876"/>
      <c r="Z112" s="188"/>
    </row>
    <row r="113" s="181" customFormat="1">
      <c r="A113" s="181" t="s">
        <v>87</v>
      </c>
      <c r="B113" s="1190"/>
      <c r="C113" s="188"/>
      <c r="D113" s="189"/>
      <c r="E113" s="189"/>
      <c r="F113" s="189"/>
      <c r="G113" s="190"/>
      <c r="H113" s="190"/>
      <c r="M113" s="190"/>
      <c r="U113" s="189"/>
      <c r="V113" s="955"/>
      <c r="Y113" s="876"/>
      <c r="Z113" s="188"/>
    </row>
    <row r="114" s="181" customFormat="1">
      <c r="A114" s="181" t="s">
        <v>87</v>
      </c>
      <c r="B114" s="1190"/>
      <c r="C114" s="188"/>
      <c r="D114" s="189"/>
      <c r="E114" s="189"/>
      <c r="F114" s="189"/>
      <c r="G114" s="190"/>
      <c r="H114" s="190"/>
      <c r="I114" s="216"/>
      <c r="M114" s="190"/>
      <c r="U114" s="189"/>
      <c r="V114" s="955"/>
      <c r="Y114" s="876"/>
      <c r="Z114" s="188"/>
    </row>
    <row r="115" s="181" customFormat="1">
      <c r="A115" s="181" t="s">
        <v>87</v>
      </c>
      <c r="B115" s="1190"/>
      <c r="C115" s="188"/>
      <c r="D115" s="189"/>
      <c r="E115" s="189"/>
      <c r="F115" s="189"/>
      <c r="G115" s="190"/>
      <c r="H115" s="190"/>
      <c r="M115" s="190"/>
      <c r="U115" s="189"/>
      <c r="V115" s="955"/>
      <c r="Y115" s="876"/>
      <c r="Z115" s="188"/>
    </row>
    <row r="116" s="181" customFormat="1">
      <c r="A116" s="181" t="s">
        <v>87</v>
      </c>
      <c r="B116" s="1191"/>
      <c r="C116" s="188"/>
      <c r="D116" s="189"/>
      <c r="E116" s="189"/>
      <c r="F116" s="189"/>
      <c r="G116" s="190"/>
      <c r="H116" s="190"/>
      <c r="M116" s="190"/>
      <c r="U116" s="189"/>
      <c r="V116" s="189"/>
      <c r="Y116" s="876"/>
      <c r="Z116" s="188"/>
    </row>
    <row r="117" s="181" customFormat="1">
      <c r="A117" s="181" t="s">
        <v>87</v>
      </c>
      <c r="B117" s="1190"/>
      <c r="C117" s="188"/>
      <c r="D117" s="942"/>
      <c r="E117" s="189"/>
      <c r="F117" s="189"/>
      <c r="G117" s="190"/>
      <c r="H117" s="190"/>
      <c r="M117" s="190"/>
      <c r="U117" s="189"/>
      <c r="V117" s="189"/>
      <c r="Y117" s="876"/>
      <c r="Z117" s="188"/>
    </row>
    <row r="118" s="181" customFormat="1">
      <c r="A118" s="181" t="s">
        <v>87</v>
      </c>
      <c r="B118" s="1190"/>
      <c r="C118" s="188"/>
      <c r="D118" s="189"/>
      <c r="E118" s="189"/>
      <c r="F118" s="189"/>
      <c r="G118" s="190"/>
      <c r="H118" s="190"/>
      <c r="M118" s="190"/>
      <c r="U118" s="189"/>
      <c r="V118" s="189"/>
      <c r="Y118" s="876"/>
      <c r="Z118" s="188"/>
    </row>
    <row r="119" s="181" customFormat="1">
      <c r="A119" s="181" t="s">
        <v>87</v>
      </c>
      <c r="B119" s="1190"/>
      <c r="C119" s="188"/>
      <c r="D119" s="189"/>
      <c r="E119" s="189"/>
      <c r="F119" s="189"/>
      <c r="G119" s="190"/>
      <c r="H119" s="190"/>
      <c r="M119" s="190"/>
      <c r="U119" s="189"/>
      <c r="V119" s="189"/>
      <c r="Y119" s="876"/>
      <c r="Z119" s="188"/>
    </row>
    <row r="120" s="181" customFormat="1">
      <c r="A120" s="181" t="s">
        <v>87</v>
      </c>
      <c r="B120" s="1190"/>
      <c r="C120" s="188"/>
      <c r="D120" s="189"/>
      <c r="E120" s="189"/>
      <c r="F120" s="215"/>
      <c r="G120" s="190"/>
      <c r="H120" s="190"/>
      <c r="M120" s="190"/>
      <c r="U120" s="189"/>
      <c r="V120" s="189"/>
      <c r="Y120" s="876"/>
      <c r="Z120" s="188"/>
    </row>
    <row r="121" s="181" customFormat="1">
      <c r="A121" s="181" t="s">
        <v>87</v>
      </c>
      <c r="B121" s="1190"/>
      <c r="C121" s="188"/>
      <c r="D121" s="189"/>
      <c r="E121" s="189"/>
      <c r="F121" s="215"/>
      <c r="G121" s="190"/>
      <c r="H121" s="190"/>
      <c r="M121" s="190"/>
      <c r="U121" s="189"/>
      <c r="V121" s="189"/>
      <c r="Y121" s="876"/>
      <c r="Z121" s="188"/>
    </row>
    <row r="122" s="181" customFormat="1">
      <c r="A122" s="181" t="s">
        <v>87</v>
      </c>
      <c r="B122" s="1190"/>
      <c r="C122" s="188"/>
      <c r="D122" s="189"/>
      <c r="E122" s="189"/>
      <c r="F122" s="215"/>
      <c r="G122" s="190"/>
      <c r="H122" s="190"/>
      <c r="M122" s="190"/>
      <c r="U122" s="189"/>
      <c r="V122" s="189"/>
      <c r="Y122" s="876"/>
      <c r="Z122" s="188"/>
    </row>
    <row r="123" s="181" customFormat="1">
      <c r="A123" s="181" t="s">
        <v>87</v>
      </c>
      <c r="B123" s="1190"/>
      <c r="C123" s="188"/>
      <c r="D123" s="189"/>
      <c r="E123" s="189"/>
      <c r="F123" s="215"/>
      <c r="G123" s="190"/>
      <c r="H123" s="190"/>
      <c r="M123" s="190"/>
      <c r="U123" s="189"/>
      <c r="V123" s="189"/>
      <c r="Y123" s="876"/>
      <c r="Z123" s="188"/>
    </row>
    <row r="124" s="181" customFormat="1">
      <c r="A124" s="181" t="s">
        <v>87</v>
      </c>
      <c r="B124" s="1190"/>
      <c r="C124" s="188"/>
      <c r="D124" s="189"/>
      <c r="E124" s="189"/>
      <c r="F124" s="215"/>
      <c r="G124" s="190"/>
      <c r="H124" s="190"/>
      <c r="M124" s="190"/>
      <c r="U124" s="189"/>
      <c r="V124" s="189"/>
      <c r="Y124" s="876"/>
      <c r="Z124" s="188"/>
    </row>
    <row r="125" s="181" customFormat="1">
      <c r="A125" s="181" t="s">
        <v>87</v>
      </c>
      <c r="B125" s="1190"/>
      <c r="C125" s="188"/>
      <c r="D125" s="189"/>
      <c r="E125" s="189"/>
      <c r="F125" s="215"/>
      <c r="G125" s="190"/>
      <c r="H125" s="190"/>
      <c r="M125" s="190"/>
      <c r="U125" s="189"/>
      <c r="V125" s="189"/>
      <c r="Y125" s="876"/>
      <c r="Z125" s="188"/>
    </row>
    <row r="126" s="181" customFormat="1">
      <c r="A126" s="181" t="s">
        <v>87</v>
      </c>
      <c r="B126" s="1190"/>
      <c r="C126" s="188"/>
      <c r="D126" s="189"/>
      <c r="E126" s="189"/>
      <c r="F126" s="215"/>
      <c r="G126" s="190"/>
      <c r="H126" s="190"/>
      <c r="M126" s="190"/>
      <c r="U126" s="189"/>
      <c r="V126" s="189"/>
      <c r="Y126" s="876"/>
      <c r="Z126" s="188"/>
    </row>
    <row r="127" s="181" customFormat="1">
      <c r="A127" s="181" t="s">
        <v>87</v>
      </c>
      <c r="B127" s="1190"/>
      <c r="F127" s="215"/>
      <c r="U127" s="189"/>
      <c r="V127" s="189"/>
      <c r="Y127" s="876"/>
      <c r="Z127" s="188"/>
    </row>
    <row r="128" s="181" customFormat="1">
      <c r="A128" s="181" t="s">
        <v>87</v>
      </c>
      <c r="B128" s="1190"/>
      <c r="F128" s="215"/>
      <c r="U128" s="189"/>
      <c r="V128" s="189"/>
      <c r="Y128" s="876"/>
      <c r="Z128" s="188"/>
    </row>
    <row r="129" s="181" customFormat="1">
      <c r="F129" s="215"/>
      <c r="U129" s="189"/>
      <c r="V129" s="189"/>
      <c r="Y129" s="876"/>
      <c r="Z129" s="188"/>
    </row>
  </sheetData>
  <sortState ref="A18:BN88">
    <sortCondition ref="B18:B88"/>
  </sortState>
  <mergeCells>
    <mergeCell ref="A17:F17"/>
    <mergeCell ref="A98:E98"/>
    <mergeCell ref="A100:E100"/>
  </mergeCells>
  <printOptions horizontalCentered="1"/>
  <pageMargins left="0" right="0" top="0" bottom="0" header="0.12" footer="0"/>
  <pageSetup paperSize="9" scale="58" fitToHeight="0" orientation="landscape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0">
    <tabColor theme="4" tint="-0.499984740745262"/>
  </sheetPr>
  <dimension ref="A1:X217"/>
  <sheetViews>
    <sheetView zoomScale="90" zoomScaleNormal="90" workbookViewId="0">
      <pane xSplit="7" ySplit="6" topLeftCell="J7" activePane="bottomRight" state="frozen"/>
      <selection pane="topRight"/>
      <selection pane="bottomLeft"/>
      <selection pane="bottomRight" activeCell="Q18" sqref="Q18"/>
    </sheetView>
  </sheetViews>
  <sheetFormatPr defaultColWidth="9" defaultRowHeight="12"/>
  <cols>
    <col min="1" max="1" width="4.85546875" customWidth="1" style="617"/>
    <col min="2" max="2" width="4.85546875" customWidth="1" style="618"/>
    <col min="3" max="3" width="24.140625" customWidth="1" style="619"/>
    <col min="4" max="4" width="16.42578125" customWidth="1" style="618"/>
    <col min="5" max="5" hidden="1" width="13.85546875" customWidth="1" style="618"/>
    <col min="6" max="6" hidden="1" width="9" customWidth="1" style="618"/>
    <col min="7" max="7" width="13.85546875" customWidth="1" style="620"/>
    <col min="8" max="8" width="13.42578125" customWidth="1" style="617"/>
    <col min="9" max="10" width="11.42578125" customWidth="1" style="617"/>
    <col min="11" max="11" width="12.140625" customWidth="1" style="617"/>
    <col min="12" max="12" width="13.42578125" customWidth="1" style="620"/>
    <col min="13" max="13" width="13.140625" customWidth="1" style="617"/>
    <col min="14" max="14" width="13.42578125" customWidth="1" style="617"/>
    <col min="15" max="15" width="12.85546875" customWidth="1" style="617"/>
    <col min="16" max="16" width="12.42578125" customWidth="1" style="617"/>
    <col min="17" max="17" width="13.42578125" customWidth="1" style="617"/>
    <col min="18" max="18" width="10.85546875" customWidth="1" style="617"/>
    <col min="19" max="19" width="12" customWidth="1" style="617"/>
    <col min="20" max="20" width="9.85546875" customWidth="1" style="618"/>
    <col min="21" max="21" width="10.28515625" customWidth="1" style="618"/>
    <col min="22" max="22" width="8.42578125" customWidth="1" style="617"/>
    <col min="23" max="23" width="10.140625" customWidth="1" style="617"/>
    <col min="24" max="16384" width="9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1154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79">
        <v>4450000</v>
      </c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80">
        <v>4416187</v>
      </c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62"/>
      <c r="H5" s="681"/>
      <c r="I5" s="502"/>
      <c r="L5" s="190"/>
      <c r="T5" s="189"/>
      <c r="U5" s="187"/>
    </row>
    <row r="6" ht="30.7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6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202" t="s">
        <v>59</v>
      </c>
      <c r="B7" s="380" t="s">
        <v>1155</v>
      </c>
      <c r="C7" s="600" t="s">
        <v>762</v>
      </c>
      <c r="D7" s="205" t="s">
        <v>1156</v>
      </c>
      <c r="E7" s="380" t="s">
        <v>664</v>
      </c>
      <c r="F7" s="380" t="s">
        <v>614</v>
      </c>
      <c r="G7" s="601">
        <f ref="G7:G13" t="shared" si="0">4416187</f>
        <v>4416187</v>
      </c>
      <c r="H7" s="224">
        <f ref="H7:H13" t="shared" si="1">+$G$4*4.89%</f>
        <v>215951.5443</v>
      </c>
      <c r="I7" s="224">
        <f ref="I7:I13" t="shared" si="2">+$G$4*4%</f>
        <v>176647.48</v>
      </c>
      <c r="J7" s="224">
        <f ref="J7:J13" t="shared" si="3">+$G$4*2%</f>
        <v>88323.74</v>
      </c>
      <c r="K7" s="224">
        <v>1667</v>
      </c>
      <c r="L7" s="304">
        <f>SUM(G7:K7)</f>
        <v>4898776.7643</v>
      </c>
      <c r="M7" s="304">
        <f>+L7*8%</f>
        <v>391902.141144</v>
      </c>
      <c r="N7" s="652">
        <v>1000000</v>
      </c>
      <c r="O7" s="654">
        <f>27*10000</f>
        <v>270000</v>
      </c>
      <c r="P7" s="304"/>
      <c r="Q7" s="309">
        <f>SUM(L7:P7)</f>
        <v>6560678.905444</v>
      </c>
      <c r="R7" s="309">
        <f>M7*0.1</f>
        <v>39190.2141144</v>
      </c>
      <c r="S7" s="310">
        <f>Q7+R7</f>
        <v>6599869.1195584</v>
      </c>
      <c r="T7" s="615">
        <v>44378</v>
      </c>
      <c r="U7" s="416">
        <v>44469</v>
      </c>
      <c r="V7" s="194"/>
      <c r="W7" s="495"/>
      <c r="X7" s="495"/>
    </row>
    <row r="8" ht="18" customHeight="1" s="178" customFormat="1">
      <c r="A8" s="202" t="s">
        <v>64</v>
      </c>
      <c r="B8" s="1180" t="s">
        <v>1157</v>
      </c>
      <c r="C8" s="1214" t="s">
        <v>763</v>
      </c>
      <c r="D8" s="205" t="s">
        <v>245</v>
      </c>
      <c r="E8" s="380" t="s">
        <v>664</v>
      </c>
      <c r="F8" s="380" t="s">
        <v>614</v>
      </c>
      <c r="G8" s="601">
        <f t="shared" si="0"/>
        <v>4416187</v>
      </c>
      <c r="H8" s="224">
        <f t="shared" si="1"/>
        <v>215951.5443</v>
      </c>
      <c r="I8" s="224">
        <f t="shared" si="2"/>
        <v>176647.48</v>
      </c>
      <c r="J8" s="224">
        <f t="shared" si="3"/>
        <v>88323.74</v>
      </c>
      <c r="K8" s="224">
        <v>1667</v>
      </c>
      <c r="L8" s="304">
        <f>SUM(G8:K8)</f>
        <v>4898776.7643</v>
      </c>
      <c r="M8" s="304">
        <f>+L8*8%</f>
        <v>391902.141144</v>
      </c>
      <c r="N8" s="652">
        <v>750000</v>
      </c>
      <c r="O8" s="633">
        <f>27*10000</f>
        <v>270000</v>
      </c>
      <c r="P8" s="304"/>
      <c r="Q8" s="309">
        <f>SUM(L8:P8)</f>
        <v>6310678.905444</v>
      </c>
      <c r="R8" s="309">
        <f>M8*0.1</f>
        <v>39190.2141144</v>
      </c>
      <c r="S8" s="310">
        <f>Q8+R8</f>
        <v>6349869.1195584</v>
      </c>
      <c r="T8" s="615">
        <v>44378</v>
      </c>
      <c r="U8" s="416">
        <v>44469</v>
      </c>
      <c r="V8" s="194"/>
      <c r="W8" s="495"/>
      <c r="X8" s="495"/>
    </row>
    <row r="9" ht="18" customHeight="1" s="178" customFormat="1">
      <c r="A9" s="202" t="s">
        <v>59</v>
      </c>
      <c r="B9" s="380" t="s">
        <v>1158</v>
      </c>
      <c r="C9" s="600" t="s">
        <v>1159</v>
      </c>
      <c r="D9" s="205" t="s">
        <v>1160</v>
      </c>
      <c r="E9" s="380" t="s">
        <v>664</v>
      </c>
      <c r="F9" s="380" t="s">
        <v>614</v>
      </c>
      <c r="G9" s="601">
        <f t="shared" si="0"/>
        <v>4416187</v>
      </c>
      <c r="H9" s="224">
        <f t="shared" si="1"/>
        <v>215951.5443</v>
      </c>
      <c r="I9" s="224">
        <f t="shared" si="2"/>
        <v>176647.48</v>
      </c>
      <c r="J9" s="224">
        <f t="shared" si="3"/>
        <v>88323.74</v>
      </c>
      <c r="K9" s="224">
        <v>1667</v>
      </c>
      <c r="L9" s="304">
        <f>SUM(G9:K9)</f>
        <v>4898776.7643</v>
      </c>
      <c r="M9" s="304">
        <f>+L9*8%</f>
        <v>391902.141144</v>
      </c>
      <c r="N9" s="652">
        <v>750000</v>
      </c>
      <c r="O9" s="633">
        <f>26*12000</f>
        <v>312000</v>
      </c>
      <c r="P9" s="304"/>
      <c r="Q9" s="309">
        <f>SUM(L9:P9)</f>
        <v>6352678.905444</v>
      </c>
      <c r="R9" s="309">
        <f>M9*0.1</f>
        <v>39190.2141144</v>
      </c>
      <c r="S9" s="310">
        <f>Q9+R9</f>
        <v>6391869.1195584</v>
      </c>
      <c r="T9" s="615">
        <v>44348</v>
      </c>
      <c r="U9" s="416">
        <v>44439</v>
      </c>
      <c r="V9" s="194"/>
      <c r="W9" s="495"/>
      <c r="X9" s="495"/>
    </row>
    <row r="10" ht="18" customHeight="1" s="178" customFormat="1">
      <c r="A10" s="202" t="s">
        <v>59</v>
      </c>
      <c r="B10" s="380" t="s">
        <v>826</v>
      </c>
      <c r="C10" s="600" t="s">
        <v>827</v>
      </c>
      <c r="D10" s="205" t="s">
        <v>1161</v>
      </c>
      <c r="E10" s="380" t="s">
        <v>664</v>
      </c>
      <c r="F10" s="380" t="s">
        <v>614</v>
      </c>
      <c r="G10" s="601">
        <f t="shared" si="0"/>
        <v>4416187</v>
      </c>
      <c r="H10" s="224">
        <f t="shared" si="1"/>
        <v>215951.5443</v>
      </c>
      <c r="I10" s="224">
        <f t="shared" si="2"/>
        <v>176647.48</v>
      </c>
      <c r="J10" s="224">
        <f t="shared" si="3"/>
        <v>88323.74</v>
      </c>
      <c r="K10" s="224">
        <v>1667</v>
      </c>
      <c r="L10" s="304">
        <f>SUM(G10:K10)</f>
        <v>4898776.7643</v>
      </c>
      <c r="M10" s="304">
        <f>+L10*8%</f>
        <v>391902.141144</v>
      </c>
      <c r="N10" s="652">
        <v>1000000</v>
      </c>
      <c r="O10" s="633">
        <f>26*12000</f>
        <v>312000</v>
      </c>
      <c r="P10" s="304"/>
      <c r="Q10" s="309">
        <f>SUM(L10:P10)</f>
        <v>6602678.905444</v>
      </c>
      <c r="R10" s="309">
        <f>M10*0.1</f>
        <v>39190.2141144</v>
      </c>
      <c r="S10" s="310">
        <f>Q10+R10</f>
        <v>6641869.1195584</v>
      </c>
      <c r="T10" s="689">
        <v>44348</v>
      </c>
      <c r="U10" s="312">
        <v>44439</v>
      </c>
      <c r="V10" s="194"/>
      <c r="W10" s="495"/>
      <c r="X10" s="495"/>
    </row>
    <row r="11" ht="18" customHeight="1" s="178" customFormat="1">
      <c r="A11" s="202" t="s">
        <v>59</v>
      </c>
      <c r="B11" s="965" t="s">
        <v>1162</v>
      </c>
      <c r="C11" s="600" t="s">
        <v>1163</v>
      </c>
      <c r="D11" s="205" t="s">
        <v>1161</v>
      </c>
      <c r="E11" s="380" t="s">
        <v>664</v>
      </c>
      <c r="F11" s="380" t="s">
        <v>614</v>
      </c>
      <c r="G11" s="601">
        <f t="shared" si="0"/>
        <v>4416187</v>
      </c>
      <c r="H11" s="224">
        <f t="shared" si="1"/>
        <v>215951.5443</v>
      </c>
      <c r="I11" s="224">
        <f t="shared" si="2"/>
        <v>176647.48</v>
      </c>
      <c r="J11" s="224">
        <f t="shared" si="3"/>
        <v>88323.74</v>
      </c>
      <c r="K11" s="224">
        <v>1667</v>
      </c>
      <c r="L11" s="304">
        <f>SUM(G11:K11)</f>
        <v>4898776.7643</v>
      </c>
      <c r="M11" s="304">
        <f>+L11*8%</f>
        <v>391902.141144</v>
      </c>
      <c r="N11" s="652">
        <v>1000000</v>
      </c>
      <c r="O11" s="633">
        <f>26*12000</f>
        <v>312000</v>
      </c>
      <c r="P11" s="304"/>
      <c r="Q11" s="309">
        <f>SUM(L11:P11)</f>
        <v>6602678.905444</v>
      </c>
      <c r="R11" s="309">
        <f>M11*0.1</f>
        <v>39190.2141144</v>
      </c>
      <c r="S11" s="310">
        <f>Q11+R11</f>
        <v>6641869.1195584</v>
      </c>
      <c r="T11" s="637">
        <v>44348</v>
      </c>
      <c r="U11" s="311">
        <v>44439</v>
      </c>
      <c r="V11" s="194"/>
      <c r="W11" s="495"/>
      <c r="X11" s="495"/>
    </row>
    <row r="12" ht="18" customHeight="1" s="178" customFormat="1">
      <c r="A12" s="202" t="s">
        <v>59</v>
      </c>
      <c r="B12" s="965" t="s">
        <v>1164</v>
      </c>
      <c r="C12" s="600" t="s">
        <v>1165</v>
      </c>
      <c r="D12" s="205" t="s">
        <v>1161</v>
      </c>
      <c r="E12" s="380" t="s">
        <v>664</v>
      </c>
      <c r="F12" s="380" t="s">
        <v>614</v>
      </c>
      <c r="G12" s="601">
        <f t="shared" si="0"/>
        <v>4416187</v>
      </c>
      <c r="H12" s="224">
        <f t="shared" si="1"/>
        <v>215951.5443</v>
      </c>
      <c r="I12" s="224">
        <f t="shared" si="2"/>
        <v>176647.48</v>
      </c>
      <c r="J12" s="224">
        <f t="shared" si="3"/>
        <v>88323.74</v>
      </c>
      <c r="K12" s="224">
        <v>1667</v>
      </c>
      <c r="L12" s="304">
        <f>SUM(G12:K12)</f>
        <v>4898776.7643</v>
      </c>
      <c r="M12" s="304">
        <f>+L12*8%</f>
        <v>391902.141144</v>
      </c>
      <c r="N12" s="652">
        <v>1000000</v>
      </c>
      <c r="O12" s="633">
        <f>26*12000</f>
        <v>312000</v>
      </c>
      <c r="P12" s="304"/>
      <c r="Q12" s="309">
        <f>SUM(L12:P12)</f>
        <v>6602678.905444</v>
      </c>
      <c r="R12" s="309">
        <f>M12*0.1</f>
        <v>39190.2141144</v>
      </c>
      <c r="S12" s="310">
        <f>Q12+R12</f>
        <v>6641869.1195584</v>
      </c>
      <c r="T12" s="637">
        <v>44358</v>
      </c>
      <c r="U12" s="311">
        <v>44439</v>
      </c>
      <c r="V12" s="194"/>
      <c r="W12" s="495"/>
      <c r="X12" s="495"/>
    </row>
    <row r="13" ht="18" customHeight="1" s="297" customFormat="1">
      <c r="A13" s="319" t="s">
        <v>64</v>
      </c>
      <c r="B13" s="1200" t="s">
        <v>1166</v>
      </c>
      <c r="C13" s="1201" t="s">
        <v>1167</v>
      </c>
      <c r="D13" s="321" t="s">
        <v>1160</v>
      </c>
      <c r="E13" s="385" t="s">
        <v>664</v>
      </c>
      <c r="F13" s="385" t="s">
        <v>614</v>
      </c>
      <c r="G13" s="687">
        <f t="shared" si="0"/>
        <v>4416187</v>
      </c>
      <c r="H13" s="323">
        <f t="shared" si="1"/>
        <v>215951.5443</v>
      </c>
      <c r="I13" s="323">
        <f t="shared" si="2"/>
        <v>176647.48</v>
      </c>
      <c r="J13" s="323">
        <f t="shared" si="3"/>
        <v>88323.74</v>
      </c>
      <c r="K13" s="323">
        <v>1667</v>
      </c>
      <c r="L13" s="339">
        <f>SUM(G13:K13)</f>
        <v>4898776.7643</v>
      </c>
      <c r="M13" s="339">
        <f>+L13*8%</f>
        <v>391902.141144</v>
      </c>
      <c r="N13" s="687">
        <f>750000/31*15</f>
        <v>362903.225806452</v>
      </c>
      <c r="O13" s="688">
        <f>14*10000</f>
        <v>140000</v>
      </c>
      <c r="P13" s="339"/>
      <c r="Q13" s="340">
        <f>SUM(L13:P13)</f>
        <v>5793582.13125045</v>
      </c>
      <c r="R13" s="340">
        <f>M13*0.1</f>
        <v>39190.2141144</v>
      </c>
      <c r="S13" s="341">
        <f>Q13+R13</f>
        <v>5832772.34536485</v>
      </c>
      <c r="T13" s="690">
        <v>44394</v>
      </c>
      <c r="U13" s="342">
        <v>44500</v>
      </c>
      <c r="V13" s="417"/>
      <c r="W13" s="691"/>
      <c r="X13" s="691"/>
    </row>
    <row r="14" ht="18" customHeight="1" s="180" customFormat="1">
      <c r="A14" s="1090" t="s">
        <v>87</v>
      </c>
      <c r="B14" s="1213"/>
      <c r="C14" s="1091"/>
      <c r="D14" s="1091"/>
      <c r="E14" s="1091"/>
      <c r="F14" s="1092"/>
      <c r="G14" s="629">
        <f ref="G14:R14" t="shared" si="15">SUM(G7:G13)</f>
        <v>30913309</v>
      </c>
      <c r="H14" s="629">
        <f t="shared" si="15"/>
        <v>1511660.8101</v>
      </c>
      <c r="I14" s="629">
        <f t="shared" si="15"/>
        <v>1236532.36</v>
      </c>
      <c r="J14" s="629">
        <f t="shared" si="15"/>
        <v>618266.18</v>
      </c>
      <c r="K14" s="629">
        <f t="shared" si="15"/>
        <v>11669</v>
      </c>
      <c r="L14" s="629">
        <f t="shared" si="15"/>
        <v>34291437.3501</v>
      </c>
      <c r="M14" s="629">
        <f t="shared" si="15"/>
        <v>2743314.988008</v>
      </c>
      <c r="N14" s="629">
        <f t="shared" si="15"/>
        <v>5862903.22580645</v>
      </c>
      <c r="O14" s="629">
        <f t="shared" si="15"/>
        <v>1928000</v>
      </c>
      <c r="P14" s="629">
        <f t="shared" si="15"/>
        <v>0</v>
      </c>
      <c r="Q14" s="629">
        <f t="shared" si="15"/>
        <v>44825655.5639145</v>
      </c>
      <c r="R14" s="629">
        <f t="shared" si="15"/>
        <v>274331.4988008</v>
      </c>
      <c r="S14" s="325">
        <f>SUM(S7:S13)</f>
        <v>45099987.0627153</v>
      </c>
      <c r="T14" s="638"/>
      <c r="U14" s="639"/>
    </row>
    <row r="15" s="181" customFormat="1">
      <c r="A15" s="181" t="s">
        <v>87</v>
      </c>
      <c r="B15" s="1191"/>
      <c r="C15" s="188"/>
      <c r="D15" s="189"/>
      <c r="E15" s="189"/>
      <c r="F15" s="189"/>
      <c r="G15" s="190"/>
      <c r="L15" s="190"/>
      <c r="N15" s="216"/>
      <c r="T15" s="189"/>
      <c r="U15" s="189"/>
    </row>
    <row r="16" s="178" customFormat="1">
      <c r="A16" s="213" t="s">
        <v>87</v>
      </c>
      <c r="B16" s="1178"/>
      <c r="C16" s="181"/>
      <c r="D16" s="189"/>
      <c r="E16" s="189"/>
      <c r="F16" s="189"/>
      <c r="M16" s="229"/>
      <c r="N16" s="229"/>
      <c r="O16" s="229"/>
      <c r="P16" s="229"/>
      <c r="R16" s="230"/>
      <c r="S16" s="229"/>
      <c r="T16" s="187"/>
      <c r="U16" s="187"/>
    </row>
    <row r="17" s="178" customFormat="1">
      <c r="A17" s="213" t="s">
        <v>87</v>
      </c>
      <c r="B17" s="1178"/>
      <c r="C17" s="181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187"/>
      <c r="U17" s="187"/>
    </row>
    <row r="18" s="178" customFormat="1">
      <c r="A18" s="178" t="s">
        <v>87</v>
      </c>
      <c r="B18" s="1178"/>
      <c r="C18" s="214" t="str">
        <f>+'BANJARMASIN '!C102</f>
        <v>Karawang,  16 Agustus 2020</v>
      </c>
      <c r="D18" s="189"/>
      <c r="E18" s="189"/>
      <c r="F18" s="189"/>
      <c r="G18" s="190"/>
      <c r="L18" s="231"/>
      <c r="M18" s="231"/>
      <c r="N18" s="231"/>
      <c r="O18" s="231"/>
      <c r="P18" s="231"/>
      <c r="Q18" s="231"/>
      <c r="R18" s="230"/>
      <c r="S18" s="229"/>
      <c r="T18" s="242"/>
      <c r="U18" s="242"/>
    </row>
    <row r="19" s="178" customFormat="1">
      <c r="A19" s="213" t="s">
        <v>87</v>
      </c>
      <c r="B19" s="1178"/>
      <c r="C19" s="189"/>
      <c r="D19" s="189"/>
      <c r="E19" s="189"/>
      <c r="F19" s="189"/>
      <c r="G19" s="190"/>
      <c r="M19" s="229"/>
      <c r="N19" s="229"/>
      <c r="O19" s="229"/>
      <c r="P19" s="229"/>
      <c r="R19" s="230"/>
      <c r="S19" s="229"/>
      <c r="T19" s="242"/>
      <c r="U19" s="242"/>
    </row>
    <row r="20" s="178" customFormat="1">
      <c r="A20" s="178" t="s">
        <v>87</v>
      </c>
      <c r="B20" s="1178"/>
      <c r="C20" s="189" t="s">
        <v>232</v>
      </c>
      <c r="D20" s="189"/>
      <c r="F20" s="215"/>
      <c r="G20" s="190"/>
      <c r="K20" s="229"/>
      <c r="L20" s="181" t="s">
        <v>233</v>
      </c>
      <c r="M20" s="231"/>
      <c r="N20" s="181"/>
      <c r="O20" s="181"/>
      <c r="P20" s="181"/>
      <c r="Q20" s="544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Q21" s="544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M22" s="230"/>
      <c r="Q22" s="189"/>
      <c r="T22" s="242"/>
      <c r="U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M23" s="231"/>
      <c r="Q23" s="189"/>
      <c r="T23" s="242"/>
      <c r="U23" s="242"/>
    </row>
    <row r="24" s="178" customFormat="1">
      <c r="A24" s="178" t="s">
        <v>87</v>
      </c>
      <c r="B24" s="1178"/>
      <c r="C24" s="189"/>
      <c r="D24" s="189"/>
      <c r="F24" s="215"/>
      <c r="G24" s="190"/>
      <c r="H24" s="190"/>
      <c r="K24" s="229"/>
      <c r="Q24" s="189"/>
      <c r="T24" s="242"/>
      <c r="U24" s="242"/>
    </row>
    <row r="25" s="178" customFormat="1">
      <c r="A25" s="178" t="s">
        <v>87</v>
      </c>
      <c r="B25" s="1178"/>
      <c r="C25" s="189"/>
      <c r="D25" s="189"/>
      <c r="F25" s="215"/>
      <c r="G25" s="190"/>
      <c r="H25" s="190"/>
      <c r="K25" s="229"/>
      <c r="Q25" s="189"/>
      <c r="R25" s="189"/>
      <c r="T25" s="242"/>
      <c r="U25" s="243"/>
    </row>
    <row r="26" s="178" customFormat="1">
      <c r="A26" s="181" t="s">
        <v>87</v>
      </c>
      <c r="B26" s="1178"/>
      <c r="C26" s="189"/>
      <c r="D26" s="189"/>
      <c r="F26" s="189"/>
      <c r="G26" s="190"/>
      <c r="H26" s="190"/>
      <c r="K26" s="229"/>
      <c r="Q26" s="189"/>
      <c r="S26" s="181"/>
      <c r="T26" s="242"/>
      <c r="U26" s="243"/>
    </row>
    <row r="27" s="181" customFormat="1">
      <c r="A27" s="181" t="s">
        <v>87</v>
      </c>
      <c r="B27" s="1191"/>
      <c r="C27" s="214" t="s">
        <v>234</v>
      </c>
      <c r="D27" s="189"/>
      <c r="E27" s="189"/>
      <c r="F27" s="214"/>
      <c r="G27" s="190"/>
      <c r="H27" s="190"/>
      <c r="I27" s="232" t="s">
        <v>235</v>
      </c>
      <c r="L27" s="213" t="s">
        <v>236</v>
      </c>
      <c r="N27" s="214" t="s">
        <v>237</v>
      </c>
      <c r="P27" s="213" t="s">
        <v>238</v>
      </c>
      <c r="T27" s="188"/>
      <c r="U27" s="243"/>
    </row>
    <row r="28" s="194" customFormat="1">
      <c r="A28" s="194" t="s">
        <v>87</v>
      </c>
      <c r="B28" s="1191"/>
      <c r="C28" s="192"/>
      <c r="D28" s="191"/>
      <c r="E28" s="191"/>
      <c r="F28" s="630"/>
      <c r="G28" s="193"/>
      <c r="L28" s="193"/>
      <c r="T28" s="191"/>
      <c r="U28" s="191"/>
    </row>
    <row r="29" s="194" customFormat="1">
      <c r="A29" s="194" t="s">
        <v>87</v>
      </c>
      <c r="B29" s="1191"/>
      <c r="C29" s="192"/>
      <c r="D29" s="191"/>
      <c r="E29" s="191"/>
      <c r="F29" s="630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630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630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191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191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191"/>
      <c r="G35" s="193"/>
      <c r="L35" s="193"/>
      <c r="T35" s="191"/>
      <c r="U35" s="191"/>
    </row>
    <row r="36" s="194" customFormat="1">
      <c r="A36" s="194" t="s">
        <v>87</v>
      </c>
      <c r="B36" s="1191"/>
      <c r="C36" s="192"/>
      <c r="D36" s="191"/>
      <c r="E36" s="191"/>
      <c r="F36" s="191"/>
      <c r="G36" s="193"/>
      <c r="L36" s="193"/>
      <c r="T36" s="191"/>
      <c r="U36" s="191"/>
    </row>
    <row r="37" s="194" customFormat="1">
      <c r="A37" s="194" t="s">
        <v>87</v>
      </c>
      <c r="B37" s="1191"/>
      <c r="C37" s="192"/>
      <c r="D37" s="191"/>
      <c r="E37" s="191"/>
      <c r="F37" s="191"/>
      <c r="G37" s="193"/>
      <c r="L37" s="193"/>
      <c r="T37" s="191"/>
      <c r="U37" s="191"/>
    </row>
    <row r="38" s="194" customFormat="1">
      <c r="A38" s="194" t="s">
        <v>87</v>
      </c>
      <c r="B38" s="1191"/>
      <c r="C38" s="192"/>
      <c r="D38" s="191"/>
      <c r="E38" s="191"/>
      <c r="F38" s="191"/>
      <c r="G38" s="193"/>
      <c r="L38" s="193"/>
      <c r="T38" s="191"/>
      <c r="U38" s="191"/>
    </row>
    <row r="39" s="194" customFormat="1">
      <c r="A39" s="194" t="s">
        <v>87</v>
      </c>
      <c r="B39" s="1191"/>
      <c r="C39" s="192"/>
      <c r="D39" s="191"/>
      <c r="E39" s="191"/>
      <c r="F39" s="191"/>
      <c r="G39" s="193"/>
      <c r="L39" s="193"/>
      <c r="T39" s="191"/>
      <c r="U39" s="191"/>
    </row>
    <row r="40" s="194" customFormat="1">
      <c r="A40" s="194" t="s">
        <v>87</v>
      </c>
      <c r="B40" s="1191"/>
      <c r="C40" s="192"/>
      <c r="D40" s="191"/>
      <c r="E40" s="191"/>
      <c r="F40" s="191"/>
      <c r="G40" s="193"/>
      <c r="L40" s="193"/>
      <c r="T40" s="191"/>
      <c r="U40" s="191"/>
    </row>
    <row r="41" s="194" customFormat="1">
      <c r="A41" s="194" t="s">
        <v>87</v>
      </c>
      <c r="B41" s="1191"/>
      <c r="C41" s="192"/>
      <c r="D41" s="191"/>
      <c r="E41" s="191"/>
      <c r="F41" s="191"/>
      <c r="G41" s="193"/>
      <c r="L41" s="193"/>
      <c r="T41" s="191"/>
      <c r="U41" s="191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1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1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1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1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1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1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1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1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1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1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1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1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1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1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1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1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1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1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1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1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1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1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1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1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1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1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1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1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1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1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1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1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1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1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1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1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1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1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1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1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1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1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1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1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1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1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1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1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1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1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1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1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1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1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1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1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1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1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1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1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1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1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1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1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1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1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1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1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1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1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1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1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1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1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1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1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1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1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1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1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1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1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1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1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1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1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1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1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1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1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1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1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1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1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1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1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1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1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A176" s="194" t="s">
        <v>87</v>
      </c>
      <c r="B176" s="1191"/>
      <c r="C176" s="192"/>
      <c r="D176" s="191"/>
      <c r="E176" s="191"/>
      <c r="F176" s="191"/>
      <c r="G176" s="193"/>
      <c r="L176" s="193"/>
      <c r="T176" s="191"/>
      <c r="U176" s="191"/>
    </row>
    <row r="177" s="194" customFormat="1">
      <c r="A177" s="194" t="s">
        <v>87</v>
      </c>
      <c r="B177" s="1191"/>
      <c r="C177" s="192"/>
      <c r="D177" s="191"/>
      <c r="E177" s="191"/>
      <c r="F177" s="191"/>
      <c r="G177" s="193"/>
      <c r="L177" s="193"/>
      <c r="T177" s="191"/>
      <c r="U177" s="191"/>
    </row>
    <row r="178" s="194" customFormat="1">
      <c r="A178" s="194" t="s">
        <v>87</v>
      </c>
      <c r="B178" s="1191"/>
      <c r="C178" s="192"/>
      <c r="D178" s="191"/>
      <c r="E178" s="191"/>
      <c r="F178" s="191"/>
      <c r="G178" s="193"/>
      <c r="L178" s="193"/>
      <c r="T178" s="191"/>
      <c r="U178" s="191"/>
    </row>
    <row r="179" s="194" customFormat="1">
      <c r="A179" s="194" t="s">
        <v>87</v>
      </c>
      <c r="B179" s="1191"/>
      <c r="C179" s="192"/>
      <c r="D179" s="191"/>
      <c r="E179" s="191"/>
      <c r="F179" s="191"/>
      <c r="G179" s="193"/>
      <c r="L179" s="193"/>
      <c r="T179" s="191"/>
      <c r="U179" s="191"/>
    </row>
    <row r="180" s="194" customFormat="1">
      <c r="A180" s="194" t="s">
        <v>87</v>
      </c>
      <c r="B180" s="1191"/>
      <c r="C180" s="192"/>
      <c r="D180" s="191"/>
      <c r="E180" s="191"/>
      <c r="F180" s="191"/>
      <c r="G180" s="193"/>
      <c r="L180" s="193"/>
      <c r="T180" s="191"/>
      <c r="U180" s="191"/>
    </row>
    <row r="181" s="194" customFormat="1">
      <c r="A181" s="194" t="s">
        <v>87</v>
      </c>
      <c r="B181" s="1191"/>
      <c r="C181" s="192"/>
      <c r="D181" s="191"/>
      <c r="E181" s="191"/>
      <c r="F181" s="191"/>
      <c r="G181" s="193"/>
      <c r="L181" s="193"/>
      <c r="T181" s="191"/>
      <c r="U181" s="191"/>
    </row>
    <row r="182" s="194" customFormat="1">
      <c r="A182" s="194" t="s">
        <v>87</v>
      </c>
      <c r="B182" s="1191"/>
      <c r="C182" s="192"/>
      <c r="D182" s="191"/>
      <c r="E182" s="191"/>
      <c r="F182" s="191"/>
      <c r="G182" s="193"/>
      <c r="L182" s="193"/>
      <c r="T182" s="191"/>
      <c r="U182" s="191"/>
    </row>
    <row r="183" s="194" customFormat="1">
      <c r="A183" s="194" t="s">
        <v>87</v>
      </c>
      <c r="B183" s="1191"/>
      <c r="C183" s="192"/>
      <c r="D183" s="191"/>
      <c r="E183" s="191"/>
      <c r="F183" s="191"/>
      <c r="G183" s="193"/>
      <c r="L183" s="193"/>
      <c r="T183" s="191"/>
      <c r="U183" s="191"/>
    </row>
    <row r="184" s="194" customFormat="1">
      <c r="A184" s="194" t="s">
        <v>87</v>
      </c>
      <c r="B184" s="1191"/>
      <c r="C184" s="192"/>
      <c r="D184" s="191"/>
      <c r="E184" s="191"/>
      <c r="F184" s="191"/>
      <c r="G184" s="193"/>
      <c r="L184" s="193"/>
      <c r="T184" s="191"/>
      <c r="U184" s="191"/>
    </row>
    <row r="185" s="194" customFormat="1">
      <c r="A185" s="194" t="s">
        <v>87</v>
      </c>
      <c r="B185" s="1191"/>
      <c r="C185" s="192"/>
      <c r="D185" s="191"/>
      <c r="E185" s="191"/>
      <c r="F185" s="191"/>
      <c r="G185" s="193"/>
      <c r="L185" s="193"/>
      <c r="T185" s="191"/>
      <c r="U185" s="191"/>
    </row>
    <row r="186" s="194" customFormat="1">
      <c r="A186" s="194" t="s">
        <v>87</v>
      </c>
      <c r="B186" s="1191"/>
      <c r="C186" s="192"/>
      <c r="D186" s="191"/>
      <c r="E186" s="191"/>
      <c r="F186" s="191"/>
      <c r="G186" s="193"/>
      <c r="L186" s="193"/>
      <c r="T186" s="191"/>
      <c r="U186" s="191"/>
    </row>
    <row r="187" s="194" customFormat="1">
      <c r="A187" s="194" t="s">
        <v>87</v>
      </c>
      <c r="B187" s="1191"/>
      <c r="C187" s="192"/>
      <c r="D187" s="191"/>
      <c r="E187" s="191"/>
      <c r="F187" s="191"/>
      <c r="G187" s="193"/>
      <c r="L187" s="193"/>
      <c r="T187" s="191"/>
      <c r="U187" s="191"/>
    </row>
    <row r="188" s="194" customFormat="1">
      <c r="A188" s="194" t="s">
        <v>87</v>
      </c>
      <c r="B188" s="1191"/>
      <c r="C188" s="192"/>
      <c r="D188" s="191"/>
      <c r="E188" s="191"/>
      <c r="F188" s="191"/>
      <c r="G188" s="193"/>
      <c r="L188" s="193"/>
      <c r="T188" s="191"/>
      <c r="U188" s="191"/>
    </row>
    <row r="189" s="194" customFormat="1">
      <c r="A189" s="194" t="s">
        <v>87</v>
      </c>
      <c r="B189" s="1191"/>
      <c r="C189" s="192"/>
      <c r="D189" s="191"/>
      <c r="E189" s="191"/>
      <c r="F189" s="191"/>
      <c r="G189" s="193"/>
      <c r="L189" s="193"/>
      <c r="T189" s="191"/>
      <c r="U189" s="191"/>
    </row>
    <row r="190" s="194" customFormat="1">
      <c r="A190" s="194" t="s">
        <v>87</v>
      </c>
      <c r="B190" s="1191"/>
      <c r="C190" s="192"/>
      <c r="D190" s="191"/>
      <c r="E190" s="191"/>
      <c r="F190" s="191"/>
      <c r="G190" s="193"/>
      <c r="L190" s="193"/>
      <c r="T190" s="191"/>
      <c r="U190" s="191"/>
    </row>
    <row r="191" s="194" customFormat="1">
      <c r="A191" s="194" t="s">
        <v>87</v>
      </c>
      <c r="B191" s="1191"/>
      <c r="C191" s="192"/>
      <c r="D191" s="191"/>
      <c r="E191" s="191"/>
      <c r="F191" s="191"/>
      <c r="G191" s="193"/>
      <c r="L191" s="193"/>
      <c r="T191" s="191"/>
      <c r="U191" s="191"/>
    </row>
    <row r="192" s="194" customFormat="1">
      <c r="A192" s="194" t="s">
        <v>87</v>
      </c>
      <c r="B192" s="1191"/>
      <c r="C192" s="192"/>
      <c r="D192" s="191"/>
      <c r="E192" s="191"/>
      <c r="F192" s="191"/>
      <c r="G192" s="193"/>
      <c r="L192" s="193"/>
      <c r="T192" s="191"/>
      <c r="U192" s="191"/>
    </row>
    <row r="193" s="194" customFormat="1">
      <c r="A193" s="194" t="s">
        <v>87</v>
      </c>
      <c r="B193" s="1191"/>
      <c r="C193" s="192"/>
      <c r="D193" s="191"/>
      <c r="E193" s="191"/>
      <c r="F193" s="191"/>
      <c r="G193" s="193"/>
      <c r="L193" s="193"/>
      <c r="T193" s="191"/>
      <c r="U193" s="191"/>
    </row>
    <row r="194" s="194" customFormat="1">
      <c r="A194" s="194" t="s">
        <v>87</v>
      </c>
      <c r="B194" s="1191"/>
      <c r="C194" s="192"/>
      <c r="D194" s="191"/>
      <c r="E194" s="191"/>
      <c r="F194" s="191"/>
      <c r="G194" s="193"/>
      <c r="L194" s="193"/>
      <c r="T194" s="191"/>
      <c r="U194" s="191"/>
    </row>
    <row r="195" s="194" customFormat="1">
      <c r="A195" s="194" t="s">
        <v>87</v>
      </c>
      <c r="B195" s="1191"/>
      <c r="C195" s="192"/>
      <c r="D195" s="191"/>
      <c r="E195" s="191"/>
      <c r="F195" s="191"/>
      <c r="G195" s="193"/>
      <c r="L195" s="193"/>
      <c r="T195" s="191"/>
      <c r="U195" s="191"/>
    </row>
    <row r="196" s="194" customFormat="1">
      <c r="A196" s="194" t="s">
        <v>87</v>
      </c>
      <c r="B196" s="1191"/>
      <c r="C196" s="192"/>
      <c r="D196" s="191"/>
      <c r="E196" s="191"/>
      <c r="F196" s="191"/>
      <c r="G196" s="193"/>
      <c r="L196" s="193"/>
      <c r="T196" s="191"/>
      <c r="U196" s="191"/>
    </row>
    <row r="197" s="194" customFormat="1">
      <c r="A197" s="194" t="s">
        <v>87</v>
      </c>
      <c r="B197" s="1191"/>
      <c r="C197" s="192"/>
      <c r="D197" s="191"/>
      <c r="E197" s="191"/>
      <c r="F197" s="191"/>
      <c r="G197" s="193"/>
      <c r="L197" s="193"/>
      <c r="T197" s="191"/>
      <c r="U197" s="191"/>
    </row>
    <row r="198" s="194" customFormat="1">
      <c r="A198" s="194" t="s">
        <v>87</v>
      </c>
      <c r="B198" s="1191"/>
      <c r="C198" s="192"/>
      <c r="D198" s="191"/>
      <c r="E198" s="191"/>
      <c r="F198" s="191"/>
      <c r="G198" s="193"/>
      <c r="L198" s="193"/>
      <c r="T198" s="191"/>
      <c r="U198" s="191"/>
    </row>
    <row r="199" s="194" customFormat="1">
      <c r="A199" s="194" t="s">
        <v>87</v>
      </c>
      <c r="B199" s="1191"/>
      <c r="C199" s="192"/>
      <c r="D199" s="191"/>
      <c r="E199" s="191"/>
      <c r="F199" s="191"/>
      <c r="G199" s="193"/>
      <c r="L199" s="193"/>
      <c r="T199" s="191"/>
      <c r="U199" s="191"/>
    </row>
    <row r="200" s="194" customFormat="1">
      <c r="A200" s="194" t="s">
        <v>87</v>
      </c>
      <c r="B200" s="1191"/>
      <c r="C200" s="192"/>
      <c r="D200" s="191"/>
      <c r="E200" s="191"/>
      <c r="F200" s="191"/>
      <c r="G200" s="193"/>
      <c r="L200" s="193"/>
      <c r="T200" s="191"/>
      <c r="U200" s="191"/>
    </row>
    <row r="201" s="194" customFormat="1">
      <c r="A201" s="194" t="s">
        <v>87</v>
      </c>
      <c r="B201" s="1191"/>
      <c r="C201" s="192"/>
      <c r="D201" s="191"/>
      <c r="E201" s="191"/>
      <c r="F201" s="191"/>
      <c r="G201" s="193"/>
      <c r="L201" s="193"/>
      <c r="T201" s="191"/>
      <c r="U201" s="191"/>
    </row>
    <row r="202" s="194" customFormat="1">
      <c r="A202" s="194" t="s">
        <v>87</v>
      </c>
      <c r="B202" s="1191"/>
      <c r="C202" s="192"/>
      <c r="D202" s="191"/>
      <c r="E202" s="191"/>
      <c r="F202" s="191"/>
      <c r="G202" s="193"/>
      <c r="L202" s="193"/>
      <c r="T202" s="191"/>
      <c r="U202" s="191"/>
    </row>
    <row r="203" s="194" customFormat="1">
      <c r="A203" s="194" t="s">
        <v>87</v>
      </c>
      <c r="B203" s="1191"/>
      <c r="C203" s="192"/>
      <c r="D203" s="191"/>
      <c r="E203" s="191"/>
      <c r="F203" s="191"/>
      <c r="G203" s="193"/>
      <c r="L203" s="193"/>
      <c r="T203" s="191"/>
      <c r="U203" s="191"/>
    </row>
    <row r="204" s="194" customFormat="1">
      <c r="A204" s="194" t="s">
        <v>87</v>
      </c>
      <c r="B204" s="1191"/>
      <c r="C204" s="192"/>
      <c r="D204" s="191"/>
      <c r="E204" s="191"/>
      <c r="F204" s="191"/>
      <c r="G204" s="193"/>
      <c r="L204" s="193"/>
      <c r="T204" s="191"/>
      <c r="U204" s="191"/>
    </row>
    <row r="205" s="194" customFormat="1">
      <c r="A205" s="194" t="s">
        <v>87</v>
      </c>
      <c r="B205" s="1191"/>
      <c r="C205" s="192"/>
      <c r="D205" s="191"/>
      <c r="E205" s="191"/>
      <c r="F205" s="191"/>
      <c r="G205" s="193"/>
      <c r="L205" s="193"/>
      <c r="T205" s="191"/>
      <c r="U205" s="191"/>
    </row>
    <row r="206" s="194" customFormat="1">
      <c r="A206" s="194" t="s">
        <v>87</v>
      </c>
      <c r="B206" s="1191"/>
      <c r="C206" s="192"/>
      <c r="D206" s="191"/>
      <c r="E206" s="191"/>
      <c r="F206" s="191"/>
      <c r="G206" s="193"/>
      <c r="L206" s="193"/>
      <c r="T206" s="191"/>
      <c r="U206" s="191"/>
    </row>
    <row r="207" s="194" customFormat="1">
      <c r="A207" s="194" t="s">
        <v>87</v>
      </c>
      <c r="B207" s="1191"/>
      <c r="C207" s="192"/>
      <c r="D207" s="191"/>
      <c r="E207" s="191"/>
      <c r="F207" s="191"/>
      <c r="G207" s="193"/>
      <c r="L207" s="193"/>
      <c r="T207" s="191"/>
      <c r="U207" s="191"/>
    </row>
    <row r="208" s="194" customFormat="1">
      <c r="A208" s="194" t="s">
        <v>87</v>
      </c>
      <c r="B208" s="1191"/>
      <c r="C208" s="192"/>
      <c r="D208" s="191"/>
      <c r="E208" s="191"/>
      <c r="F208" s="191"/>
      <c r="G208" s="193"/>
      <c r="L208" s="193"/>
      <c r="T208" s="191"/>
      <c r="U208" s="191"/>
    </row>
    <row r="209" s="194" customFormat="1">
      <c r="A209" s="194" t="s">
        <v>87</v>
      </c>
      <c r="B209" s="1191"/>
      <c r="C209" s="192"/>
      <c r="D209" s="191"/>
      <c r="E209" s="191"/>
      <c r="F209" s="191"/>
      <c r="G209" s="193"/>
      <c r="L209" s="193"/>
      <c r="T209" s="191"/>
      <c r="U209" s="191"/>
    </row>
    <row r="210" s="194" customFormat="1">
      <c r="A210" s="194" t="s">
        <v>87</v>
      </c>
      <c r="B210" s="1191"/>
      <c r="C210" s="192"/>
      <c r="D210" s="191"/>
      <c r="E210" s="191"/>
      <c r="F210" s="191"/>
      <c r="G210" s="193"/>
      <c r="L210" s="193"/>
      <c r="T210" s="191"/>
      <c r="U210" s="191"/>
    </row>
    <row r="211" s="194" customFormat="1">
      <c r="A211" s="194" t="s">
        <v>87</v>
      </c>
      <c r="B211" s="1191"/>
      <c r="C211" s="192"/>
      <c r="D211" s="191"/>
      <c r="E211" s="191"/>
      <c r="F211" s="191"/>
      <c r="G211" s="193"/>
      <c r="L211" s="193"/>
      <c r="T211" s="191"/>
      <c r="U211" s="191"/>
    </row>
    <row r="212" s="194" customFormat="1">
      <c r="A212" s="194" t="s">
        <v>87</v>
      </c>
      <c r="B212" s="1191"/>
      <c r="C212" s="192"/>
      <c r="D212" s="191"/>
      <c r="E212" s="191"/>
      <c r="F212" s="191"/>
      <c r="G212" s="193"/>
      <c r="L212" s="193"/>
      <c r="T212" s="191"/>
      <c r="U212" s="191"/>
    </row>
    <row r="213" s="194" customFormat="1">
      <c r="A213" s="194" t="s">
        <v>87</v>
      </c>
      <c r="B213" s="1191"/>
      <c r="C213" s="192"/>
      <c r="D213" s="191"/>
      <c r="E213" s="191"/>
      <c r="F213" s="191"/>
      <c r="G213" s="193"/>
      <c r="L213" s="193"/>
      <c r="T213" s="191"/>
      <c r="U213" s="191"/>
    </row>
    <row r="214" s="194" customFormat="1">
      <c r="A214" s="194" t="s">
        <v>87</v>
      </c>
      <c r="B214" s="1191"/>
      <c r="C214" s="192"/>
      <c r="D214" s="191"/>
      <c r="E214" s="191"/>
      <c r="F214" s="191"/>
      <c r="G214" s="193"/>
      <c r="L214" s="193"/>
      <c r="T214" s="191"/>
      <c r="U214" s="191"/>
    </row>
    <row r="215" s="194" customFormat="1">
      <c r="A215" s="194" t="s">
        <v>87</v>
      </c>
      <c r="B215" s="1191"/>
      <c r="C215" s="192"/>
      <c r="D215" s="191"/>
      <c r="E215" s="191"/>
      <c r="F215" s="191"/>
      <c r="G215" s="193"/>
      <c r="L215" s="193"/>
      <c r="T215" s="191"/>
      <c r="U215" s="191"/>
    </row>
    <row r="216" s="194" customFormat="1">
      <c r="A216" s="194" t="s">
        <v>87</v>
      </c>
      <c r="B216" s="1191"/>
      <c r="C216" s="192"/>
      <c r="D216" s="191"/>
      <c r="E216" s="191"/>
      <c r="F216" s="191"/>
      <c r="G216" s="193"/>
      <c r="L216" s="193"/>
      <c r="T216" s="191"/>
      <c r="U216" s="191"/>
    </row>
    <row r="217" s="194" customFormat="1">
      <c r="B217" s="191"/>
      <c r="C217" s="192"/>
      <c r="D217" s="191"/>
      <c r="E217" s="191"/>
      <c r="F217" s="191"/>
      <c r="G217" s="193"/>
      <c r="L217" s="193"/>
      <c r="T217" s="191"/>
      <c r="U217" s="191"/>
    </row>
  </sheetData>
  <sortState ref="A12:AE57">
    <sortCondition ref="C12:C57"/>
  </sortState>
  <mergeCells>
    <mergeCell ref="A14:F14"/>
  </mergeCells>
  <printOptions horizontalCentered="1"/>
  <pageMargins left="0" right="0" top="0.75" bottom="0.75" header="0.3" footer="0.3"/>
  <pageSetup paperSize="9" scale="60" orientation="landscape" horizontalDpi="120" verticalDpi="72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1">
    <tabColor theme="0"/>
  </sheetPr>
  <dimension ref="A1:AK11"/>
  <sheetViews>
    <sheetView topLeftCell="A4" workbookViewId="0">
      <pane xSplit="3" ySplit="4" topLeftCell="R8" activePane="bottomRight" state="frozen"/>
      <selection pane="topRight"/>
      <selection pane="bottomLeft"/>
      <selection pane="bottomRight" activeCell="AM10" sqref="AM10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7" width="5" customWidth="1"/>
    <col min="8" max="9" width="6" customWidth="1"/>
    <col min="10" max="12" width="5" customWidth="1"/>
    <col min="13" max="13" width="6.85546875" customWidth="1"/>
    <col min="14" max="14" width="5" customWidth="1"/>
    <col min="15" max="15" width="6.140625" customWidth="1"/>
    <col min="16" max="16" width="6" customWidth="1"/>
    <col min="17" max="19" width="5" customWidth="1"/>
    <col min="20" max="20" width="6.85546875" customWidth="1"/>
    <col min="21" max="21" width="5" customWidth="1"/>
    <col min="22" max="22" width="6.140625" customWidth="1"/>
    <col min="23" max="23" width="6.42578125" customWidth="1"/>
    <col min="24" max="24" width="6.140625" customWidth="1"/>
    <col min="25" max="28" width="5" customWidth="1"/>
    <col min="29" max="29" width="5.7109375" customWidth="1"/>
    <col min="30" max="30" width="6.28515625" customWidth="1"/>
    <col min="31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1193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82">
        <v>3940973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5" t="s">
        <v>4</v>
      </c>
      <c r="C6" s="1065" t="s">
        <v>5</v>
      </c>
      <c r="D6" s="1083" t="s">
        <v>1194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 s="99" customFormat="1">
      <c r="A8" s="1089">
        <v>1</v>
      </c>
      <c r="B8" s="683"/>
      <c r="C8" s="684" t="s">
        <v>1199</v>
      </c>
      <c r="D8" s="115">
        <v>4</v>
      </c>
      <c r="E8" s="115">
        <v>4</v>
      </c>
      <c r="F8" s="115">
        <v>4</v>
      </c>
      <c r="G8" s="115">
        <v>4</v>
      </c>
      <c r="H8" s="115">
        <v>10</v>
      </c>
      <c r="I8" s="115"/>
      <c r="J8" s="115">
        <v>4</v>
      </c>
      <c r="K8" s="115">
        <v>4</v>
      </c>
      <c r="L8" s="115">
        <v>4</v>
      </c>
      <c r="M8" s="115">
        <v>4</v>
      </c>
      <c r="N8" s="115">
        <v>4</v>
      </c>
      <c r="O8" s="115">
        <v>10</v>
      </c>
      <c r="P8" s="115"/>
      <c r="Q8" s="115">
        <v>4</v>
      </c>
      <c r="R8" s="115">
        <v>4</v>
      </c>
      <c r="S8" s="115">
        <v>4</v>
      </c>
      <c r="T8" s="115">
        <v>4</v>
      </c>
      <c r="U8" s="115">
        <v>4</v>
      </c>
      <c r="V8" s="115">
        <v>10</v>
      </c>
      <c r="W8" s="115"/>
      <c r="X8" s="115">
        <v>4</v>
      </c>
      <c r="Y8" s="115">
        <v>4</v>
      </c>
      <c r="Z8" s="115">
        <v>4</v>
      </c>
      <c r="AA8" s="115">
        <v>4</v>
      </c>
      <c r="AB8" s="115">
        <v>4</v>
      </c>
      <c r="AC8" s="115">
        <v>10</v>
      </c>
      <c r="AD8" s="115"/>
      <c r="AE8" s="115">
        <v>4</v>
      </c>
      <c r="AF8" s="115">
        <v>4</v>
      </c>
      <c r="AG8" s="115">
        <v>4</v>
      </c>
      <c r="AH8" s="115">
        <v>4</v>
      </c>
      <c r="AI8" s="685">
        <f>SUM(D8:AH8)</f>
        <v>132</v>
      </c>
      <c r="AJ8" s="125"/>
      <c r="AK8" s="126"/>
    </row>
    <row r="9" s="99" customFormat="1">
      <c r="A9" s="1089"/>
      <c r="B9" s="119"/>
      <c r="C9" s="120"/>
      <c r="D9" s="116">
        <v>7.5</v>
      </c>
      <c r="E9" s="116">
        <v>7.5</v>
      </c>
      <c r="F9" s="116">
        <v>7.5</v>
      </c>
      <c r="G9" s="116">
        <v>7.5</v>
      </c>
      <c r="H9" s="116">
        <v>19.5</v>
      </c>
      <c r="I9" s="116"/>
      <c r="J9" s="116">
        <v>7.5</v>
      </c>
      <c r="K9" s="116">
        <v>7.5</v>
      </c>
      <c r="L9" s="116">
        <v>7.5</v>
      </c>
      <c r="M9" s="116">
        <v>7.5</v>
      </c>
      <c r="N9" s="116">
        <v>7.5</v>
      </c>
      <c r="O9" s="116">
        <v>19.5</v>
      </c>
      <c r="P9" s="116"/>
      <c r="Q9" s="116">
        <v>7.5</v>
      </c>
      <c r="R9" s="116">
        <v>7.5</v>
      </c>
      <c r="S9" s="116">
        <v>7.5</v>
      </c>
      <c r="T9" s="116">
        <v>7.5</v>
      </c>
      <c r="U9" s="116">
        <v>7.5</v>
      </c>
      <c r="V9" s="116">
        <v>19.5</v>
      </c>
      <c r="W9" s="116"/>
      <c r="X9" s="116">
        <v>7.5</v>
      </c>
      <c r="Y9" s="116">
        <v>7.5</v>
      </c>
      <c r="Z9" s="116">
        <v>7.5</v>
      </c>
      <c r="AA9" s="116">
        <v>7.5</v>
      </c>
      <c r="AB9" s="116">
        <v>7.5</v>
      </c>
      <c r="AC9" s="116">
        <v>19.5</v>
      </c>
      <c r="AD9" s="116"/>
      <c r="AE9" s="116">
        <v>7.5</v>
      </c>
      <c r="AF9" s="116">
        <v>7.5</v>
      </c>
      <c r="AG9" s="116">
        <v>7.5</v>
      </c>
      <c r="AH9" s="116">
        <v>7.5</v>
      </c>
      <c r="AI9" s="685">
        <f>SUM(D9:AH9)</f>
        <v>250.5</v>
      </c>
      <c r="AJ9" s="128">
        <f>+$C$5/173*AI9</f>
        <v>5706437.78323699</v>
      </c>
      <c r="AK9" s="121"/>
    </row>
    <row r="10" s="99" customFormat="1">
      <c r="A10" s="1089">
        <v>1</v>
      </c>
      <c r="B10" s="117"/>
      <c r="C10" s="118" t="s">
        <v>1188</v>
      </c>
      <c r="D10" s="115">
        <v>3</v>
      </c>
      <c r="E10" s="115">
        <v>3</v>
      </c>
      <c r="F10" s="115">
        <v>3</v>
      </c>
      <c r="G10" s="115">
        <v>3</v>
      </c>
      <c r="H10" s="115"/>
      <c r="I10" s="115">
        <v>12</v>
      </c>
      <c r="J10" s="115">
        <v>8</v>
      </c>
      <c r="K10" s="115">
        <v>3</v>
      </c>
      <c r="L10" s="115">
        <v>3</v>
      </c>
      <c r="M10" s="115">
        <v>3</v>
      </c>
      <c r="N10" s="115">
        <v>3</v>
      </c>
      <c r="O10" s="115"/>
      <c r="P10" s="115">
        <v>12</v>
      </c>
      <c r="Q10" s="115">
        <v>8</v>
      </c>
      <c r="R10" s="115">
        <v>3</v>
      </c>
      <c r="S10" s="115">
        <v>3</v>
      </c>
      <c r="T10" s="115">
        <v>3</v>
      </c>
      <c r="U10" s="115">
        <v>3</v>
      </c>
      <c r="V10" s="115"/>
      <c r="W10" s="115">
        <v>12</v>
      </c>
      <c r="X10" s="115">
        <v>8</v>
      </c>
      <c r="Y10" s="115">
        <v>3</v>
      </c>
      <c r="Z10" s="115">
        <v>3</v>
      </c>
      <c r="AA10" s="115">
        <v>3</v>
      </c>
      <c r="AB10" s="115">
        <v>3</v>
      </c>
      <c r="AC10" s="115"/>
      <c r="AD10" s="115">
        <v>12</v>
      </c>
      <c r="AE10" s="115">
        <v>8</v>
      </c>
      <c r="AF10" s="115">
        <v>3</v>
      </c>
      <c r="AG10" s="115">
        <v>3</v>
      </c>
      <c r="AH10" s="115">
        <v>3</v>
      </c>
      <c r="AI10" s="685">
        <f>SUM(D10:AH10)</f>
        <v>137</v>
      </c>
      <c r="AJ10" s="125"/>
      <c r="AK10" s="126"/>
    </row>
    <row r="11" s="99" customFormat="1">
      <c r="A11" s="1089"/>
      <c r="B11" s="119"/>
      <c r="C11" s="120"/>
      <c r="D11" s="116">
        <v>5.5</v>
      </c>
      <c r="E11" s="116">
        <v>5.5</v>
      </c>
      <c r="F11" s="116">
        <v>5.5</v>
      </c>
      <c r="G11" s="116">
        <v>5.5</v>
      </c>
      <c r="H11" s="116"/>
      <c r="I11" s="116">
        <v>23.5</v>
      </c>
      <c r="J11" s="116">
        <v>15.5</v>
      </c>
      <c r="K11" s="116">
        <v>5.5</v>
      </c>
      <c r="L11" s="116">
        <v>5.5</v>
      </c>
      <c r="M11" s="116">
        <v>5.5</v>
      </c>
      <c r="N11" s="116">
        <v>5.5</v>
      </c>
      <c r="O11" s="116"/>
      <c r="P11" s="116">
        <v>23.5</v>
      </c>
      <c r="Q11" s="116">
        <v>15.5</v>
      </c>
      <c r="R11" s="116">
        <v>5.5</v>
      </c>
      <c r="S11" s="116">
        <v>5.5</v>
      </c>
      <c r="T11" s="116">
        <v>5.5</v>
      </c>
      <c r="U11" s="116">
        <v>5.5</v>
      </c>
      <c r="V11" s="116"/>
      <c r="W11" s="116">
        <v>23.5</v>
      </c>
      <c r="X11" s="116">
        <v>15.5</v>
      </c>
      <c r="Y11" s="116">
        <v>5.5</v>
      </c>
      <c r="Z11" s="116">
        <v>5.5</v>
      </c>
      <c r="AA11" s="116">
        <v>5.5</v>
      </c>
      <c r="AB11" s="116">
        <v>5.5</v>
      </c>
      <c r="AC11" s="116"/>
      <c r="AD11" s="116">
        <v>23.5</v>
      </c>
      <c r="AE11" s="116">
        <v>15.5</v>
      </c>
      <c r="AF11" s="116">
        <v>5.5</v>
      </c>
      <c r="AG11" s="116">
        <v>5.5</v>
      </c>
      <c r="AH11" s="116">
        <v>5.5</v>
      </c>
      <c r="AI11" s="685">
        <f>SUM(D11:AH11)</f>
        <v>260.5</v>
      </c>
      <c r="AJ11" s="128">
        <f>+$C$5/173*AI11</f>
        <v>5934239.69075145</v>
      </c>
      <c r="AK11" s="121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</sheetPr>
  <dimension ref="A1:X211"/>
  <sheetViews>
    <sheetView zoomScale="80" zoomScaleNormal="80" workbookViewId="0">
      <pane xSplit="7" ySplit="6" topLeftCell="L7" activePane="bottomRight" state="frozen"/>
      <selection pane="topRight"/>
      <selection pane="bottomLeft"/>
      <selection pane="bottomRight" activeCell="O1" sqref="O1:P1048576"/>
    </sheetView>
  </sheetViews>
  <sheetFormatPr defaultColWidth="9" defaultRowHeight="12"/>
  <cols>
    <col min="1" max="1" width="4.85546875" customWidth="1" style="617"/>
    <col min="2" max="2" width="4.85546875" customWidth="1" style="618"/>
    <col min="3" max="3" width="24.140625" customWidth="1" style="619"/>
    <col min="4" max="4" width="16.42578125" customWidth="1" style="618"/>
    <col min="5" max="5" hidden="1" width="11" customWidth="1" style="618"/>
    <col min="6" max="6" hidden="1" width="9" customWidth="1" style="618"/>
    <col min="7" max="7" width="12.85546875" customWidth="1" style="620"/>
    <col min="8" max="8" width="13.42578125" customWidth="1" style="617"/>
    <col min="9" max="10" width="11.42578125" customWidth="1" style="617"/>
    <col min="11" max="11" width="12.140625" customWidth="1" style="617"/>
    <col min="12" max="12" width="13.42578125" customWidth="1" style="620"/>
    <col min="13" max="13" width="13.140625" customWidth="1" style="617"/>
    <col min="14" max="14" width="13.42578125" customWidth="1" style="617"/>
    <col min="15" max="15" hidden="1" width="12.85546875" customWidth="1" style="617"/>
    <col min="16" max="16" hidden="1" width="12.42578125" customWidth="1" style="617"/>
    <col min="17" max="17" width="13.42578125" customWidth="1" style="617"/>
    <col min="18" max="18" width="10.85546875" customWidth="1" style="617"/>
    <col min="19" max="19" width="13.5703125" customWidth="1" style="617"/>
    <col min="20" max="21" width="9.85546875" customWidth="1" style="618"/>
    <col min="22" max="22" width="8.42578125" customWidth="1" style="617"/>
    <col min="23" max="16384" width="9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1154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79">
        <v>4450000</v>
      </c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80">
        <v>4416187</v>
      </c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62"/>
      <c r="H5" s="681"/>
      <c r="I5" s="502"/>
      <c r="L5" s="190"/>
      <c r="T5" s="189"/>
      <c r="U5" s="187"/>
    </row>
    <row r="6" ht="30.7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6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202" t="s">
        <v>64</v>
      </c>
      <c r="B7" s="1193" t="s">
        <v>1166</v>
      </c>
      <c r="C7" s="1214" t="s">
        <v>1167</v>
      </c>
      <c r="D7" s="205" t="s">
        <v>1161</v>
      </c>
      <c r="E7" s="380" t="s">
        <v>664</v>
      </c>
      <c r="F7" s="380" t="s">
        <v>614</v>
      </c>
      <c r="G7" s="601">
        <f>4416187/31*15</f>
        <v>2136864.67741936</v>
      </c>
      <c r="H7" s="224">
        <f>+$G$4*4.89%</f>
        <v>215951.5443</v>
      </c>
      <c r="I7" s="224">
        <f>+$G$4*4%</f>
        <v>176647.48</v>
      </c>
      <c r="J7" s="224">
        <f>+$G$4*2%</f>
        <v>88323.74</v>
      </c>
      <c r="K7" s="224">
        <v>1667</v>
      </c>
      <c r="L7" s="304">
        <f>SUM(G7:K7)</f>
        <v>2619454.44171936</v>
      </c>
      <c r="M7" s="304">
        <f>+L7*8%</f>
        <v>209556.355337548</v>
      </c>
      <c r="N7" s="652"/>
      <c r="O7" s="633"/>
      <c r="P7" s="304"/>
      <c r="Q7" s="309">
        <f>SUM(L7:P7)</f>
        <v>2829010.7970569</v>
      </c>
      <c r="R7" s="309">
        <f>M7*0.1</f>
        <v>20955.6355337548</v>
      </c>
      <c r="S7" s="310">
        <f>Q7+R7</f>
        <v>2849966.43259066</v>
      </c>
      <c r="T7" s="637">
        <v>44394</v>
      </c>
      <c r="U7" s="311">
        <v>44500</v>
      </c>
      <c r="V7" s="194"/>
      <c r="W7" s="495"/>
      <c r="X7" s="495"/>
    </row>
    <row r="8" ht="18" customHeight="1" s="180" customFormat="1">
      <c r="A8" s="1090" t="s">
        <v>87</v>
      </c>
      <c r="B8" s="1213"/>
      <c r="C8" s="1091"/>
      <c r="D8" s="1091"/>
      <c r="E8" s="1091"/>
      <c r="F8" s="1092"/>
      <c r="G8" s="629">
        <f>SUM(G7)</f>
        <v>2136864.67741936</v>
      </c>
      <c r="H8" s="629">
        <f ref="H8:S8" t="shared" si="8">SUM(H7)</f>
        <v>215951.5443</v>
      </c>
      <c r="I8" s="629">
        <f t="shared" si="8"/>
        <v>176647.48</v>
      </c>
      <c r="J8" s="629">
        <f t="shared" si="8"/>
        <v>88323.74</v>
      </c>
      <c r="K8" s="629">
        <f t="shared" si="8"/>
        <v>1667</v>
      </c>
      <c r="L8" s="629">
        <f t="shared" si="8"/>
        <v>2619454.44171936</v>
      </c>
      <c r="M8" s="629">
        <f t="shared" si="8"/>
        <v>209556.355337548</v>
      </c>
      <c r="N8" s="629">
        <f t="shared" si="8"/>
        <v>0</v>
      </c>
      <c r="O8" s="629">
        <f t="shared" si="8"/>
        <v>0</v>
      </c>
      <c r="P8" s="629">
        <f t="shared" si="8"/>
        <v>0</v>
      </c>
      <c r="Q8" s="629">
        <f t="shared" si="8"/>
        <v>2829010.7970569</v>
      </c>
      <c r="R8" s="629">
        <f t="shared" si="8"/>
        <v>20955.6355337548</v>
      </c>
      <c r="S8" s="629">
        <f t="shared" si="8"/>
        <v>2849966.43259066</v>
      </c>
      <c r="T8" s="638"/>
      <c r="U8" s="639"/>
    </row>
    <row r="9" s="181" customFormat="1">
      <c r="A9" s="181" t="s">
        <v>87</v>
      </c>
      <c r="B9" s="1191"/>
      <c r="C9" s="188"/>
      <c r="D9" s="189"/>
      <c r="E9" s="189"/>
      <c r="F9" s="189"/>
      <c r="G9" s="190"/>
      <c r="L9" s="190"/>
      <c r="N9" s="216"/>
      <c r="T9" s="189"/>
      <c r="U9" s="189"/>
    </row>
    <row r="10" s="178" customFormat="1">
      <c r="A10" s="213" t="s">
        <v>87</v>
      </c>
      <c r="B10" s="1178"/>
      <c r="C10" s="181"/>
      <c r="D10" s="189"/>
      <c r="E10" s="189"/>
      <c r="F10" s="189"/>
      <c r="M10" s="229"/>
      <c r="N10" s="229"/>
      <c r="O10" s="229"/>
      <c r="P10" s="229"/>
      <c r="R10" s="230"/>
      <c r="S10" s="229"/>
      <c r="T10" s="187"/>
      <c r="U10" s="187"/>
    </row>
    <row r="11" s="178" customFormat="1">
      <c r="A11" s="213" t="s">
        <v>87</v>
      </c>
      <c r="B11" s="1178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</row>
    <row r="12" s="178" customFormat="1">
      <c r="A12" s="178" t="s">
        <v>87</v>
      </c>
      <c r="B12" s="1178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1"/>
      <c r="Q12" s="231"/>
      <c r="R12" s="230"/>
      <c r="S12" s="229"/>
      <c r="T12" s="242"/>
      <c r="U12" s="242"/>
    </row>
    <row r="13" s="178" customFormat="1">
      <c r="A13" s="213" t="s">
        <v>87</v>
      </c>
      <c r="B13" s="1178"/>
      <c r="C13" s="189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242"/>
      <c r="U13" s="242"/>
    </row>
    <row r="14" s="178" customFormat="1">
      <c r="A14" s="178" t="s">
        <v>87</v>
      </c>
      <c r="B14" s="1178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81"/>
      <c r="P14" s="181"/>
      <c r="Q14" s="544"/>
      <c r="T14" s="242"/>
      <c r="U14" s="242"/>
    </row>
    <row r="15" s="178" customFormat="1">
      <c r="A15" s="178" t="s">
        <v>87</v>
      </c>
      <c r="B15" s="1178"/>
      <c r="C15" s="189"/>
      <c r="D15" s="189"/>
      <c r="F15" s="215"/>
      <c r="G15" s="190"/>
      <c r="H15" s="190"/>
      <c r="K15" s="229"/>
      <c r="Q15" s="544"/>
      <c r="T15" s="242"/>
      <c r="U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M16" s="230"/>
      <c r="Q16" s="189"/>
      <c r="T16" s="242"/>
      <c r="U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1"/>
      <c r="Q17" s="189"/>
      <c r="T17" s="242"/>
      <c r="U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189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189"/>
      <c r="R19" s="189"/>
      <c r="T19" s="242"/>
      <c r="U19" s="243"/>
    </row>
    <row r="20" s="178" customFormat="1">
      <c r="A20" s="181" t="s">
        <v>87</v>
      </c>
      <c r="B20" s="1178"/>
      <c r="C20" s="189"/>
      <c r="D20" s="189"/>
      <c r="F20" s="189"/>
      <c r="G20" s="190"/>
      <c r="H20" s="190"/>
      <c r="K20" s="229"/>
      <c r="Q20" s="189"/>
      <c r="S20" s="181"/>
      <c r="T20" s="242"/>
      <c r="U20" s="243"/>
    </row>
    <row r="21" s="181" customFormat="1">
      <c r="A21" s="181" t="s">
        <v>87</v>
      </c>
      <c r="B21" s="1191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13" t="s">
        <v>1198</v>
      </c>
      <c r="T21" s="188"/>
      <c r="U21" s="243"/>
    </row>
    <row r="22" s="194" customFormat="1">
      <c r="A22" s="194" t="s">
        <v>87</v>
      </c>
      <c r="B22" s="1191"/>
      <c r="C22" s="192"/>
      <c r="D22" s="191"/>
      <c r="E22" s="191"/>
      <c r="F22" s="630"/>
      <c r="G22" s="193"/>
      <c r="L22" s="193"/>
      <c r="T22" s="191"/>
      <c r="U22" s="191"/>
    </row>
    <row r="23" s="194" customFormat="1">
      <c r="A23" s="194" t="s">
        <v>87</v>
      </c>
      <c r="B23" s="1191"/>
      <c r="C23" s="192"/>
      <c r="D23" s="191"/>
      <c r="E23" s="191"/>
      <c r="F23" s="630"/>
      <c r="G23" s="193"/>
      <c r="L23" s="193"/>
      <c r="T23" s="191"/>
      <c r="U23" s="191"/>
    </row>
    <row r="24" s="194" customFormat="1">
      <c r="A24" s="194" t="s">
        <v>87</v>
      </c>
      <c r="B24" s="1191"/>
      <c r="C24" s="192"/>
      <c r="D24" s="191"/>
      <c r="E24" s="191"/>
      <c r="F24" s="630"/>
      <c r="G24" s="193"/>
      <c r="L24" s="193"/>
      <c r="T24" s="191"/>
      <c r="U24" s="191"/>
    </row>
    <row r="25" s="194" customFormat="1">
      <c r="A25" s="194" t="s">
        <v>87</v>
      </c>
      <c r="B25" s="1191"/>
      <c r="C25" s="192"/>
      <c r="D25" s="191"/>
      <c r="E25" s="191"/>
      <c r="F25" s="630"/>
      <c r="G25" s="193"/>
      <c r="L25" s="193"/>
      <c r="T25" s="191"/>
      <c r="U25" s="191"/>
    </row>
    <row r="26" s="194" customFormat="1">
      <c r="A26" s="194" t="s">
        <v>87</v>
      </c>
      <c r="B26" s="1191"/>
      <c r="C26" s="192"/>
      <c r="D26" s="191"/>
      <c r="E26" s="191"/>
      <c r="F26" s="191"/>
      <c r="G26" s="193"/>
      <c r="L26" s="193"/>
      <c r="T26" s="191"/>
      <c r="U26" s="191"/>
    </row>
    <row r="27" s="194" customFormat="1">
      <c r="A27" s="194" t="s">
        <v>87</v>
      </c>
      <c r="B27" s="1191"/>
      <c r="C27" s="192"/>
      <c r="D27" s="191"/>
      <c r="E27" s="191"/>
      <c r="F27" s="191"/>
      <c r="G27" s="193"/>
      <c r="L27" s="193"/>
      <c r="T27" s="191"/>
      <c r="U27" s="191"/>
    </row>
    <row r="28" s="194" customFormat="1">
      <c r="A28" s="194" t="s">
        <v>87</v>
      </c>
      <c r="B28" s="1191"/>
      <c r="C28" s="192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191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191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191"/>
      <c r="G35" s="193"/>
      <c r="L35" s="193"/>
      <c r="T35" s="191"/>
      <c r="U35" s="191"/>
    </row>
    <row r="36" s="194" customFormat="1">
      <c r="A36" s="194" t="s">
        <v>87</v>
      </c>
      <c r="B36" s="1191"/>
      <c r="C36" s="192"/>
      <c r="D36" s="191"/>
      <c r="E36" s="191"/>
      <c r="F36" s="191"/>
      <c r="G36" s="193"/>
      <c r="L36" s="193"/>
      <c r="T36" s="191"/>
      <c r="U36" s="191"/>
    </row>
    <row r="37" s="194" customFormat="1">
      <c r="A37" s="194" t="s">
        <v>87</v>
      </c>
      <c r="B37" s="1191"/>
      <c r="C37" s="192"/>
      <c r="D37" s="191"/>
      <c r="E37" s="191"/>
      <c r="F37" s="191"/>
      <c r="G37" s="193"/>
      <c r="L37" s="193"/>
      <c r="T37" s="191"/>
      <c r="U37" s="191"/>
    </row>
    <row r="38" s="194" customFormat="1">
      <c r="A38" s="194" t="s">
        <v>87</v>
      </c>
      <c r="B38" s="1191"/>
      <c r="C38" s="192"/>
      <c r="D38" s="191"/>
      <c r="E38" s="191"/>
      <c r="F38" s="191"/>
      <c r="G38" s="193"/>
      <c r="L38" s="193"/>
      <c r="T38" s="191"/>
      <c r="U38" s="191"/>
    </row>
    <row r="39" s="194" customFormat="1">
      <c r="A39" s="194" t="s">
        <v>87</v>
      </c>
      <c r="B39" s="1191"/>
      <c r="C39" s="192"/>
      <c r="D39" s="191"/>
      <c r="E39" s="191"/>
      <c r="F39" s="191"/>
      <c r="G39" s="193"/>
      <c r="L39" s="193"/>
      <c r="T39" s="191"/>
      <c r="U39" s="191"/>
    </row>
    <row r="40" s="194" customFormat="1">
      <c r="A40" s="194" t="s">
        <v>87</v>
      </c>
      <c r="B40" s="1191"/>
      <c r="C40" s="192"/>
      <c r="D40" s="191"/>
      <c r="E40" s="191"/>
      <c r="F40" s="191"/>
      <c r="G40" s="193"/>
      <c r="L40" s="193"/>
      <c r="T40" s="191"/>
      <c r="U40" s="191"/>
    </row>
    <row r="41" s="194" customFormat="1">
      <c r="A41" s="194" t="s">
        <v>87</v>
      </c>
      <c r="B41" s="1191"/>
      <c r="C41" s="192"/>
      <c r="D41" s="191"/>
      <c r="E41" s="191"/>
      <c r="F41" s="191"/>
      <c r="G41" s="193"/>
      <c r="L41" s="193"/>
      <c r="T41" s="191"/>
      <c r="U41" s="191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1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1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1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1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1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1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1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1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1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1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1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1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1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1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1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1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1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1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1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1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1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1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1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1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1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1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1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1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1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1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1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1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1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1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1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1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1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1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1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1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1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1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1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1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1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1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1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1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1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1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1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1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1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1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1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1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1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1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1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1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1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1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1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1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1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1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1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1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1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1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1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1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1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1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1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1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1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1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1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1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1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1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1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1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1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1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1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1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1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1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1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1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1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1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1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1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1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1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A176" s="194" t="s">
        <v>87</v>
      </c>
      <c r="B176" s="1191"/>
      <c r="C176" s="192"/>
      <c r="D176" s="191"/>
      <c r="E176" s="191"/>
      <c r="F176" s="191"/>
      <c r="G176" s="193"/>
      <c r="L176" s="193"/>
      <c r="T176" s="191"/>
      <c r="U176" s="191"/>
    </row>
    <row r="177" s="194" customFormat="1">
      <c r="A177" s="194" t="s">
        <v>87</v>
      </c>
      <c r="B177" s="1191"/>
      <c r="C177" s="192"/>
      <c r="D177" s="191"/>
      <c r="E177" s="191"/>
      <c r="F177" s="191"/>
      <c r="G177" s="193"/>
      <c r="L177" s="193"/>
      <c r="T177" s="191"/>
      <c r="U177" s="191"/>
    </row>
    <row r="178" s="194" customFormat="1">
      <c r="A178" s="194" t="s">
        <v>87</v>
      </c>
      <c r="B178" s="1191"/>
      <c r="C178" s="192"/>
      <c r="D178" s="191"/>
      <c r="E178" s="191"/>
      <c r="F178" s="191"/>
      <c r="G178" s="193"/>
      <c r="L178" s="193"/>
      <c r="T178" s="191"/>
      <c r="U178" s="191"/>
    </row>
    <row r="179" s="194" customFormat="1">
      <c r="A179" s="194" t="s">
        <v>87</v>
      </c>
      <c r="B179" s="1191"/>
      <c r="C179" s="192"/>
      <c r="D179" s="191"/>
      <c r="E179" s="191"/>
      <c r="F179" s="191"/>
      <c r="G179" s="193"/>
      <c r="L179" s="193"/>
      <c r="T179" s="191"/>
      <c r="U179" s="191"/>
    </row>
    <row r="180" s="194" customFormat="1">
      <c r="A180" s="194" t="s">
        <v>87</v>
      </c>
      <c r="B180" s="1191"/>
      <c r="C180" s="192"/>
      <c r="D180" s="191"/>
      <c r="E180" s="191"/>
      <c r="F180" s="191"/>
      <c r="G180" s="193"/>
      <c r="L180" s="193"/>
      <c r="T180" s="191"/>
      <c r="U180" s="191"/>
    </row>
    <row r="181" s="194" customFormat="1">
      <c r="A181" s="194" t="s">
        <v>87</v>
      </c>
      <c r="B181" s="1191"/>
      <c r="C181" s="192"/>
      <c r="D181" s="191"/>
      <c r="E181" s="191"/>
      <c r="F181" s="191"/>
      <c r="G181" s="193"/>
      <c r="L181" s="193"/>
      <c r="T181" s="191"/>
      <c r="U181" s="191"/>
    </row>
    <row r="182" s="194" customFormat="1">
      <c r="A182" s="194" t="s">
        <v>87</v>
      </c>
      <c r="B182" s="1191"/>
      <c r="C182" s="192"/>
      <c r="D182" s="191"/>
      <c r="E182" s="191"/>
      <c r="F182" s="191"/>
      <c r="G182" s="193"/>
      <c r="L182" s="193"/>
      <c r="T182" s="191"/>
      <c r="U182" s="191"/>
    </row>
    <row r="183" s="194" customFormat="1">
      <c r="A183" s="194" t="s">
        <v>87</v>
      </c>
      <c r="B183" s="1191"/>
      <c r="C183" s="192"/>
      <c r="D183" s="191"/>
      <c r="E183" s="191"/>
      <c r="F183" s="191"/>
      <c r="G183" s="193"/>
      <c r="L183" s="193"/>
      <c r="T183" s="191"/>
      <c r="U183" s="191"/>
    </row>
    <row r="184" s="194" customFormat="1">
      <c r="A184" s="194" t="s">
        <v>87</v>
      </c>
      <c r="B184" s="1191"/>
      <c r="C184" s="192"/>
      <c r="D184" s="191"/>
      <c r="E184" s="191"/>
      <c r="F184" s="191"/>
      <c r="G184" s="193"/>
      <c r="L184" s="193"/>
      <c r="T184" s="191"/>
      <c r="U184" s="191"/>
    </row>
    <row r="185" s="194" customFormat="1">
      <c r="A185" s="194" t="s">
        <v>87</v>
      </c>
      <c r="B185" s="1191"/>
      <c r="C185" s="192"/>
      <c r="D185" s="191"/>
      <c r="E185" s="191"/>
      <c r="F185" s="191"/>
      <c r="G185" s="193"/>
      <c r="L185" s="193"/>
      <c r="T185" s="191"/>
      <c r="U185" s="191"/>
    </row>
    <row r="186" s="194" customFormat="1">
      <c r="A186" s="194" t="s">
        <v>87</v>
      </c>
      <c r="B186" s="1191"/>
      <c r="C186" s="192"/>
      <c r="D186" s="191"/>
      <c r="E186" s="191"/>
      <c r="F186" s="191"/>
      <c r="G186" s="193"/>
      <c r="L186" s="193"/>
      <c r="T186" s="191"/>
      <c r="U186" s="191"/>
    </row>
    <row r="187" s="194" customFormat="1">
      <c r="A187" s="194" t="s">
        <v>87</v>
      </c>
      <c r="B187" s="1191"/>
      <c r="C187" s="192"/>
      <c r="D187" s="191"/>
      <c r="E187" s="191"/>
      <c r="F187" s="191"/>
      <c r="G187" s="193"/>
      <c r="L187" s="193"/>
      <c r="T187" s="191"/>
      <c r="U187" s="191"/>
    </row>
    <row r="188" s="194" customFormat="1">
      <c r="A188" s="194" t="s">
        <v>87</v>
      </c>
      <c r="B188" s="1191"/>
      <c r="C188" s="192"/>
      <c r="D188" s="191"/>
      <c r="E188" s="191"/>
      <c r="F188" s="191"/>
      <c r="G188" s="193"/>
      <c r="L188" s="193"/>
      <c r="T188" s="191"/>
      <c r="U188" s="191"/>
    </row>
    <row r="189" s="194" customFormat="1">
      <c r="A189" s="194" t="s">
        <v>87</v>
      </c>
      <c r="B189" s="1191"/>
      <c r="C189" s="192"/>
      <c r="D189" s="191"/>
      <c r="E189" s="191"/>
      <c r="F189" s="191"/>
      <c r="G189" s="193"/>
      <c r="L189" s="193"/>
      <c r="T189" s="191"/>
      <c r="U189" s="191"/>
    </row>
    <row r="190" s="194" customFormat="1">
      <c r="A190" s="194" t="s">
        <v>87</v>
      </c>
      <c r="B190" s="1191"/>
      <c r="C190" s="192"/>
      <c r="D190" s="191"/>
      <c r="E190" s="191"/>
      <c r="F190" s="191"/>
      <c r="G190" s="193"/>
      <c r="L190" s="193"/>
      <c r="T190" s="191"/>
      <c r="U190" s="191"/>
    </row>
    <row r="191" s="194" customFormat="1">
      <c r="A191" s="194" t="s">
        <v>87</v>
      </c>
      <c r="B191" s="1191"/>
      <c r="C191" s="192"/>
      <c r="D191" s="191"/>
      <c r="E191" s="191"/>
      <c r="F191" s="191"/>
      <c r="G191" s="193"/>
      <c r="L191" s="193"/>
      <c r="T191" s="191"/>
      <c r="U191" s="191"/>
    </row>
    <row r="192" s="194" customFormat="1">
      <c r="A192" s="194" t="s">
        <v>87</v>
      </c>
      <c r="B192" s="1191"/>
      <c r="C192" s="192"/>
      <c r="D192" s="191"/>
      <c r="E192" s="191"/>
      <c r="F192" s="191"/>
      <c r="G192" s="193"/>
      <c r="L192" s="193"/>
      <c r="T192" s="191"/>
      <c r="U192" s="191"/>
    </row>
    <row r="193" s="194" customFormat="1">
      <c r="A193" s="194" t="s">
        <v>87</v>
      </c>
      <c r="B193" s="1191"/>
      <c r="C193" s="192"/>
      <c r="D193" s="191"/>
      <c r="E193" s="191"/>
      <c r="F193" s="191"/>
      <c r="G193" s="193"/>
      <c r="L193" s="193"/>
      <c r="T193" s="191"/>
      <c r="U193" s="191"/>
    </row>
    <row r="194" s="194" customFormat="1">
      <c r="A194" s="194" t="s">
        <v>87</v>
      </c>
      <c r="B194" s="1191"/>
      <c r="C194" s="192"/>
      <c r="D194" s="191"/>
      <c r="E194" s="191"/>
      <c r="F194" s="191"/>
      <c r="G194" s="193"/>
      <c r="L194" s="193"/>
      <c r="T194" s="191"/>
      <c r="U194" s="191"/>
    </row>
    <row r="195" s="194" customFormat="1">
      <c r="A195" s="194" t="s">
        <v>87</v>
      </c>
      <c r="B195" s="1191"/>
      <c r="C195" s="192"/>
      <c r="D195" s="191"/>
      <c r="E195" s="191"/>
      <c r="F195" s="191"/>
      <c r="G195" s="193"/>
      <c r="L195" s="193"/>
      <c r="T195" s="191"/>
      <c r="U195" s="191"/>
    </row>
    <row r="196" s="194" customFormat="1">
      <c r="A196" s="194" t="s">
        <v>87</v>
      </c>
      <c r="B196" s="1191"/>
      <c r="C196" s="192"/>
      <c r="D196" s="191"/>
      <c r="E196" s="191"/>
      <c r="F196" s="191"/>
      <c r="G196" s="193"/>
      <c r="L196" s="193"/>
      <c r="T196" s="191"/>
      <c r="U196" s="191"/>
    </row>
    <row r="197" s="194" customFormat="1">
      <c r="A197" s="194" t="s">
        <v>87</v>
      </c>
      <c r="B197" s="1191"/>
      <c r="C197" s="192"/>
      <c r="D197" s="191"/>
      <c r="E197" s="191"/>
      <c r="F197" s="191"/>
      <c r="G197" s="193"/>
      <c r="L197" s="193"/>
      <c r="T197" s="191"/>
      <c r="U197" s="191"/>
    </row>
    <row r="198" s="194" customFormat="1">
      <c r="A198" s="194" t="s">
        <v>87</v>
      </c>
      <c r="B198" s="1191"/>
      <c r="C198" s="192"/>
      <c r="D198" s="191"/>
      <c r="E198" s="191"/>
      <c r="F198" s="191"/>
      <c r="G198" s="193"/>
      <c r="L198" s="193"/>
      <c r="T198" s="191"/>
      <c r="U198" s="191"/>
    </row>
    <row r="199" s="194" customFormat="1">
      <c r="A199" s="194" t="s">
        <v>87</v>
      </c>
      <c r="B199" s="1191"/>
      <c r="C199" s="192"/>
      <c r="D199" s="191"/>
      <c r="E199" s="191"/>
      <c r="F199" s="191"/>
      <c r="G199" s="193"/>
      <c r="L199" s="193"/>
      <c r="T199" s="191"/>
      <c r="U199" s="191"/>
    </row>
    <row r="200" s="194" customFormat="1">
      <c r="A200" s="194" t="s">
        <v>87</v>
      </c>
      <c r="B200" s="1191"/>
      <c r="C200" s="192"/>
      <c r="D200" s="191"/>
      <c r="E200" s="191"/>
      <c r="F200" s="191"/>
      <c r="G200" s="193"/>
      <c r="L200" s="193"/>
      <c r="T200" s="191"/>
      <c r="U200" s="191"/>
    </row>
    <row r="201" s="194" customFormat="1">
      <c r="A201" s="194" t="s">
        <v>87</v>
      </c>
      <c r="B201" s="1191"/>
      <c r="C201" s="192"/>
      <c r="D201" s="191"/>
      <c r="E201" s="191"/>
      <c r="F201" s="191"/>
      <c r="G201" s="193"/>
      <c r="L201" s="193"/>
      <c r="T201" s="191"/>
      <c r="U201" s="191"/>
    </row>
    <row r="202" s="194" customFormat="1">
      <c r="A202" s="194" t="s">
        <v>87</v>
      </c>
      <c r="B202" s="1191"/>
      <c r="C202" s="192"/>
      <c r="D202" s="191"/>
      <c r="E202" s="191"/>
      <c r="F202" s="191"/>
      <c r="G202" s="193"/>
      <c r="L202" s="193"/>
      <c r="T202" s="191"/>
      <c r="U202" s="191"/>
    </row>
    <row r="203" s="194" customFormat="1">
      <c r="A203" s="194" t="s">
        <v>87</v>
      </c>
      <c r="B203" s="1191"/>
      <c r="C203" s="192"/>
      <c r="D203" s="191"/>
      <c r="E203" s="191"/>
      <c r="F203" s="191"/>
      <c r="G203" s="193"/>
      <c r="L203" s="193"/>
      <c r="T203" s="191"/>
      <c r="U203" s="191"/>
    </row>
    <row r="204" s="194" customFormat="1">
      <c r="A204" s="194" t="s">
        <v>87</v>
      </c>
      <c r="B204" s="1191"/>
      <c r="C204" s="192"/>
      <c r="D204" s="191"/>
      <c r="E204" s="191"/>
      <c r="F204" s="191"/>
      <c r="G204" s="193"/>
      <c r="L204" s="193"/>
      <c r="T204" s="191"/>
      <c r="U204" s="191"/>
    </row>
    <row r="205" s="194" customFormat="1">
      <c r="A205" s="194" t="s">
        <v>87</v>
      </c>
      <c r="B205" s="1191"/>
      <c r="C205" s="192"/>
      <c r="D205" s="191"/>
      <c r="E205" s="191"/>
      <c r="F205" s="191"/>
      <c r="G205" s="193"/>
      <c r="L205" s="193"/>
      <c r="T205" s="191"/>
      <c r="U205" s="191"/>
    </row>
    <row r="206" s="194" customFormat="1">
      <c r="A206" s="194" t="s">
        <v>87</v>
      </c>
      <c r="B206" s="1191"/>
      <c r="C206" s="192"/>
      <c r="D206" s="191"/>
      <c r="E206" s="191"/>
      <c r="F206" s="191"/>
      <c r="G206" s="193"/>
      <c r="L206" s="193"/>
      <c r="T206" s="191"/>
      <c r="U206" s="191"/>
    </row>
    <row r="207" s="194" customFormat="1">
      <c r="A207" s="194" t="s">
        <v>87</v>
      </c>
      <c r="B207" s="1191"/>
      <c r="C207" s="192"/>
      <c r="D207" s="191"/>
      <c r="E207" s="191"/>
      <c r="F207" s="191"/>
      <c r="G207" s="193"/>
      <c r="L207" s="193"/>
      <c r="T207" s="191"/>
      <c r="U207" s="191"/>
    </row>
    <row r="208" s="194" customFormat="1">
      <c r="A208" s="194" t="s">
        <v>87</v>
      </c>
      <c r="B208" s="1191"/>
      <c r="C208" s="192"/>
      <c r="D208" s="191"/>
      <c r="E208" s="191"/>
      <c r="F208" s="191"/>
      <c r="G208" s="193"/>
      <c r="L208" s="193"/>
      <c r="T208" s="191"/>
      <c r="U208" s="191"/>
    </row>
    <row r="209" s="194" customFormat="1">
      <c r="A209" s="194" t="s">
        <v>87</v>
      </c>
      <c r="B209" s="1191"/>
      <c r="C209" s="192"/>
      <c r="D209" s="191"/>
      <c r="E209" s="191"/>
      <c r="F209" s="191"/>
      <c r="G209" s="193"/>
      <c r="L209" s="193"/>
      <c r="T209" s="191"/>
      <c r="U209" s="191"/>
    </row>
    <row r="210" s="194" customFormat="1">
      <c r="A210" s="194" t="s">
        <v>87</v>
      </c>
      <c r="B210" s="1191"/>
      <c r="C210" s="192"/>
      <c r="D210" s="191"/>
      <c r="E210" s="191"/>
      <c r="F210" s="191"/>
      <c r="G210" s="193"/>
      <c r="L210" s="193"/>
      <c r="T210" s="191"/>
      <c r="U210" s="191"/>
    </row>
    <row r="211" s="194" customFormat="1">
      <c r="B211" s="191"/>
      <c r="C211" s="192"/>
      <c r="D211" s="191"/>
      <c r="E211" s="191"/>
      <c r="F211" s="191"/>
      <c r="G211" s="193"/>
      <c r="L211" s="193"/>
      <c r="T211" s="191"/>
      <c r="U211" s="191"/>
    </row>
  </sheetData>
  <mergeCells>
    <mergeCell ref="A8:F8"/>
  </mergeCells>
  <printOptions horizontalCentered="1"/>
  <pageMargins left="0" right="0" top="0.75" bottom="0.75" header="0.3" footer="0.3"/>
  <pageSetup paperSize="9" scale="70" orientation="landscape" horizontalDpi="120" verticalDpi="72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2">
    <tabColor theme="4" tint="-0.499984740745262"/>
  </sheetPr>
  <dimension ref="A1:X127"/>
  <sheetViews>
    <sheetView zoomScale="90" zoomScaleNormal="90" workbookViewId="0">
      <pane xSplit="7" ySplit="6" topLeftCell="J7" activePane="bottomRight" state="frozen"/>
      <selection pane="topRight"/>
      <selection pane="bottomLeft"/>
      <selection pane="bottomRight" activeCell="E1" sqref="E1:F1048576"/>
    </sheetView>
  </sheetViews>
  <sheetFormatPr defaultColWidth="9" defaultRowHeight="12"/>
  <cols>
    <col min="1" max="1" width="4.5703125" customWidth="1" style="617"/>
    <col min="2" max="2" width="4.5703125" customWidth="1" style="618"/>
    <col min="3" max="3" width="18" customWidth="1" style="619"/>
    <col min="4" max="4" width="17.85546875" customWidth="1" style="618"/>
    <col min="5" max="5" hidden="1" width="14.42578125" customWidth="1" style="618"/>
    <col min="6" max="6" hidden="1" width="10.42578125" customWidth="1" style="618"/>
    <col min="7" max="7" width="13.28515625" customWidth="1" style="620"/>
    <col min="8" max="8" width="11" customWidth="1" style="617"/>
    <col min="9" max="9" width="12.140625" customWidth="1" style="617"/>
    <col min="10" max="10" width="11.7109375" customWidth="1" style="617"/>
    <col min="11" max="11" width="12.140625" customWidth="1" style="617"/>
    <col min="12" max="12" width="13" customWidth="1" style="620"/>
    <col min="13" max="13" width="12.140625" customWidth="1" style="617"/>
    <col min="14" max="14" width="10.5703125" customWidth="1" style="617"/>
    <col min="15" max="15" width="10.7109375" customWidth="1" style="617"/>
    <col min="16" max="16" width="10.5703125" customWidth="1" style="617"/>
    <col min="17" max="19" width="12.140625" customWidth="1" style="617"/>
    <col min="20" max="20" width="9.7109375" customWidth="1" style="618"/>
    <col min="21" max="21" width="9.85546875" customWidth="1" style="618"/>
    <col min="22" max="22" width="4.5703125" customWidth="1" style="617"/>
    <col min="23" max="16384" width="9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1301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21"/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61">
        <v>4416187</v>
      </c>
      <c r="H4" s="502"/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62"/>
      <c r="H5" s="502"/>
      <c r="I5" s="502"/>
      <c r="L5" s="190"/>
      <c r="T5" s="189"/>
      <c r="U5" s="187"/>
    </row>
    <row r="6" ht="28.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5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595" t="s">
        <v>59</v>
      </c>
      <c r="B7" s="596" t="s">
        <v>1302</v>
      </c>
      <c r="C7" s="663" t="s">
        <v>765</v>
      </c>
      <c r="D7" s="597" t="s">
        <v>1161</v>
      </c>
      <c r="E7" s="596" t="s">
        <v>1100</v>
      </c>
      <c r="F7" s="596" t="s">
        <v>614</v>
      </c>
      <c r="G7" s="598">
        <f>4416187</f>
        <v>4416187</v>
      </c>
      <c r="H7" s="599">
        <f>+$G$4*4.89%</f>
        <v>215951.5443</v>
      </c>
      <c r="I7" s="599">
        <f>+$G$4*4%</f>
        <v>176647.48</v>
      </c>
      <c r="J7" s="599">
        <f>+$G$4*2%</f>
        <v>88323.74</v>
      </c>
      <c r="K7" s="599">
        <v>1667</v>
      </c>
      <c r="L7" s="603">
        <f>SUM(G7:K7)</f>
        <v>4898776.7643</v>
      </c>
      <c r="M7" s="603">
        <f>+L7*8%</f>
        <v>391902.141144</v>
      </c>
      <c r="N7" s="669">
        <v>1000000</v>
      </c>
      <c r="O7" s="670">
        <f>26*12000</f>
        <v>312000</v>
      </c>
      <c r="P7" s="603"/>
      <c r="Q7" s="611">
        <f>SUM(L7:P7)</f>
        <v>6602678.905444</v>
      </c>
      <c r="R7" s="611">
        <f>M7*0.1</f>
        <v>39190.2141144</v>
      </c>
      <c r="S7" s="612">
        <f>Q7+R7</f>
        <v>6641869.1195584</v>
      </c>
      <c r="T7" s="674">
        <v>44378</v>
      </c>
      <c r="U7" s="614">
        <v>44469</v>
      </c>
      <c r="V7" s="231"/>
      <c r="W7" s="345"/>
      <c r="X7" s="345"/>
    </row>
    <row r="8" ht="18" customHeight="1" s="178" customFormat="1">
      <c r="A8" s="202" t="s">
        <v>59</v>
      </c>
      <c r="B8" s="380" t="s">
        <v>1303</v>
      </c>
      <c r="C8" s="600" t="s">
        <v>740</v>
      </c>
      <c r="D8" s="205" t="s">
        <v>1161</v>
      </c>
      <c r="E8" s="380" t="s">
        <v>1100</v>
      </c>
      <c r="F8" s="380" t="s">
        <v>614</v>
      </c>
      <c r="G8" s="601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4">
        <f>SUM(G8:K8)</f>
        <v>4898776.7643</v>
      </c>
      <c r="M8" s="304">
        <f>+L8*8%</f>
        <v>391902.141144</v>
      </c>
      <c r="N8" s="652">
        <v>1000000</v>
      </c>
      <c r="O8" s="633">
        <f>27*12000</f>
        <v>324000</v>
      </c>
      <c r="P8" s="397"/>
      <c r="Q8" s="309">
        <f>SUM(L8:P8)</f>
        <v>6614678.905444</v>
      </c>
      <c r="R8" s="309">
        <f>M8*0.1</f>
        <v>39190.2141144</v>
      </c>
      <c r="S8" s="310">
        <f>Q8+R8</f>
        <v>6653869.1195584</v>
      </c>
      <c r="T8" s="637">
        <v>44378</v>
      </c>
      <c r="U8" s="312">
        <v>44469</v>
      </c>
      <c r="V8" s="231"/>
      <c r="W8" s="345"/>
      <c r="X8" s="345"/>
    </row>
    <row r="9" ht="18" customHeight="1" s="178" customFormat="1">
      <c r="A9" s="202" t="s">
        <v>59</v>
      </c>
      <c r="B9" s="380" t="s">
        <v>1304</v>
      </c>
      <c r="C9" s="600" t="s">
        <v>900</v>
      </c>
      <c r="D9" s="205" t="s">
        <v>1161</v>
      </c>
      <c r="E9" s="380" t="s">
        <v>1100</v>
      </c>
      <c r="F9" s="380" t="s">
        <v>614</v>
      </c>
      <c r="G9" s="601">
        <f>4416187</f>
        <v>4416187</v>
      </c>
      <c r="H9" s="224">
        <f>+$G$4*4.89%</f>
        <v>215951.5443</v>
      </c>
      <c r="I9" s="224">
        <f>+$G$4*4%</f>
        <v>176647.48</v>
      </c>
      <c r="J9" s="224">
        <f>+$G$4*2%</f>
        <v>88323.74</v>
      </c>
      <c r="K9" s="224">
        <v>1667</v>
      </c>
      <c r="L9" s="304">
        <f>SUM(G9:K9)</f>
        <v>4898776.7643</v>
      </c>
      <c r="M9" s="304">
        <f>+L9*8%</f>
        <v>391902.141144</v>
      </c>
      <c r="N9" s="652">
        <v>1000000</v>
      </c>
      <c r="O9" s="633">
        <f>26*12000</f>
        <v>312000</v>
      </c>
      <c r="P9" s="304"/>
      <c r="Q9" s="309">
        <f>SUM(L9:P9)</f>
        <v>6602678.905444</v>
      </c>
      <c r="R9" s="309">
        <f>M9*0.1</f>
        <v>39190.2141144</v>
      </c>
      <c r="S9" s="310">
        <f>Q9+R9</f>
        <v>6641869.1195584</v>
      </c>
      <c r="T9" s="637">
        <v>44348</v>
      </c>
      <c r="U9" s="312">
        <v>44439</v>
      </c>
      <c r="V9" s="231"/>
      <c r="W9" s="345"/>
      <c r="X9" s="345"/>
    </row>
    <row r="10" ht="18" customHeight="1" s="178" customFormat="1">
      <c r="A10" s="202" t="s">
        <v>64</v>
      </c>
      <c r="B10" s="1180" t="s">
        <v>1305</v>
      </c>
      <c r="C10" s="1214" t="s">
        <v>1306</v>
      </c>
      <c r="D10" s="205" t="s">
        <v>253</v>
      </c>
      <c r="E10" s="380" t="s">
        <v>1100</v>
      </c>
      <c r="F10" s="380" t="s">
        <v>614</v>
      </c>
      <c r="G10" s="601">
        <f>4416187</f>
        <v>4416187</v>
      </c>
      <c r="H10" s="224">
        <f>+$G$4*4.89%</f>
        <v>215951.5443</v>
      </c>
      <c r="I10" s="224">
        <f>+$G$4*4%</f>
        <v>176647.48</v>
      </c>
      <c r="J10" s="224">
        <f>+$G$4*2%</f>
        <v>88323.74</v>
      </c>
      <c r="K10" s="224">
        <v>1667</v>
      </c>
      <c r="L10" s="304">
        <f>SUM(G10:K10)</f>
        <v>4898776.7643</v>
      </c>
      <c r="M10" s="304">
        <f>+L10*8%</f>
        <v>391902.141144</v>
      </c>
      <c r="N10" s="652">
        <v>750000</v>
      </c>
      <c r="O10" s="633">
        <f>26*10000</f>
        <v>260000</v>
      </c>
      <c r="P10" s="304"/>
      <c r="Q10" s="309">
        <f>SUM(L10:P10)</f>
        <v>6300678.905444</v>
      </c>
      <c r="R10" s="309">
        <f>M10*0.1</f>
        <v>39190.2141144</v>
      </c>
      <c r="S10" s="310">
        <f>Q10+R10</f>
        <v>6339869.1195584</v>
      </c>
      <c r="T10" s="637">
        <v>44409</v>
      </c>
      <c r="U10" s="312">
        <v>44500</v>
      </c>
      <c r="V10" s="231"/>
      <c r="W10" s="345"/>
      <c r="X10" s="345"/>
    </row>
    <row r="11" ht="18" customHeight="1" s="297" customFormat="1">
      <c r="A11" s="299" t="s">
        <v>87</v>
      </c>
      <c r="B11" s="1216"/>
      <c r="C11" s="665" t="s">
        <v>1307</v>
      </c>
      <c r="D11" s="301" t="s">
        <v>245</v>
      </c>
      <c r="E11" s="664" t="s">
        <v>1100</v>
      </c>
      <c r="F11" s="664" t="s">
        <v>614</v>
      </c>
      <c r="G11" s="666">
        <f>4416187</f>
        <v>4416187</v>
      </c>
      <c r="H11" s="667">
        <f>+$G$4*4.89%</f>
        <v>215951.5443</v>
      </c>
      <c r="I11" s="667">
        <f>+$G$4*4%</f>
        <v>176647.48</v>
      </c>
      <c r="J11" s="667">
        <f>+$G$4*2%</f>
        <v>88323.74</v>
      </c>
      <c r="K11" s="667">
        <v>1667</v>
      </c>
      <c r="L11" s="671">
        <f>SUM(G11:K11)</f>
        <v>4898776.7643</v>
      </c>
      <c r="M11" s="671">
        <f>+L11*8%</f>
        <v>391902.141144</v>
      </c>
      <c r="N11" s="672"/>
      <c r="O11" s="673"/>
      <c r="P11" s="671"/>
      <c r="Q11" s="675">
        <f>SUM(L11:P11)</f>
        <v>5290678.905444</v>
      </c>
      <c r="R11" s="675">
        <f>M11*0.1</f>
        <v>39190.2141144</v>
      </c>
      <c r="S11" s="676">
        <f>Q11+R11</f>
        <v>5329869.1195584</v>
      </c>
      <c r="T11" s="677">
        <v>44409</v>
      </c>
      <c r="U11" s="678">
        <v>44500</v>
      </c>
      <c r="V11" s="317"/>
      <c r="W11" s="346"/>
      <c r="X11" s="346"/>
    </row>
    <row r="12" ht="18" customHeight="1" s="180" customFormat="1">
      <c r="A12" s="1093" t="s">
        <v>87</v>
      </c>
      <c r="B12" s="1217"/>
      <c r="C12" s="1094"/>
      <c r="D12" s="1094"/>
      <c r="E12" s="1094"/>
      <c r="F12" s="1094"/>
      <c r="G12" s="390">
        <f>SUM(G7:G11)</f>
        <v>22080935</v>
      </c>
      <c r="H12" s="390">
        <f ref="H12:S12" t="shared" si="0">SUM(H7:H11)</f>
        <v>1079757.7215</v>
      </c>
      <c r="I12" s="390">
        <f t="shared" si="0"/>
        <v>883237.4</v>
      </c>
      <c r="J12" s="390">
        <f t="shared" si="0"/>
        <v>441618.7</v>
      </c>
      <c r="K12" s="390">
        <f t="shared" si="0"/>
        <v>8335</v>
      </c>
      <c r="L12" s="390">
        <f t="shared" si="0"/>
        <v>24493883.8215</v>
      </c>
      <c r="M12" s="390">
        <f t="shared" si="0"/>
        <v>1959510.70572</v>
      </c>
      <c r="N12" s="390">
        <f t="shared" si="0"/>
        <v>3750000</v>
      </c>
      <c r="O12" s="390">
        <f t="shared" si="0"/>
        <v>1208000</v>
      </c>
      <c r="P12" s="390">
        <f t="shared" si="0"/>
        <v>0</v>
      </c>
      <c r="Q12" s="390">
        <f t="shared" si="0"/>
        <v>31411394.52722</v>
      </c>
      <c r="R12" s="390">
        <f t="shared" si="0"/>
        <v>195951.070572</v>
      </c>
      <c r="S12" s="390">
        <f t="shared" si="0"/>
        <v>31607345.597792</v>
      </c>
      <c r="T12" s="240"/>
      <c r="U12" s="241"/>
    </row>
    <row r="13" s="181" customFormat="1">
      <c r="A13" s="181" t="s">
        <v>87</v>
      </c>
      <c r="B13" s="1191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78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78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78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544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78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1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P25" s="213" t="s">
        <v>238</v>
      </c>
      <c r="T25" s="188"/>
      <c r="U25" s="243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630"/>
      <c r="G35" s="193"/>
      <c r="L35" s="193"/>
      <c r="T35" s="191"/>
      <c r="U35" s="191"/>
    </row>
    <row r="36" s="193" customFormat="1">
      <c r="A36" s="194" t="s">
        <v>87</v>
      </c>
      <c r="B36" s="1191"/>
      <c r="C36" s="192"/>
      <c r="D36" s="191"/>
      <c r="E36" s="191"/>
      <c r="F36" s="630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1"/>
      <c r="C37" s="192"/>
      <c r="D37" s="191"/>
      <c r="E37" s="191"/>
      <c r="F37" s="630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1"/>
      <c r="C38" s="192"/>
      <c r="D38" s="191"/>
      <c r="E38" s="191"/>
      <c r="F38" s="630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1"/>
      <c r="C39" s="192"/>
      <c r="D39" s="191"/>
      <c r="E39" s="191"/>
      <c r="F39" s="630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1"/>
      <c r="C40" s="192"/>
      <c r="D40" s="191"/>
      <c r="E40" s="191"/>
      <c r="F40" s="630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1"/>
      <c r="C41" s="192"/>
      <c r="D41" s="191"/>
      <c r="E41" s="191"/>
      <c r="F41" s="630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3" customFormat="1">
      <c r="A42" s="194" t="s">
        <v>87</v>
      </c>
      <c r="B42" s="1191"/>
      <c r="C42" s="192"/>
      <c r="D42" s="191"/>
      <c r="E42" s="191"/>
      <c r="F42" s="630"/>
      <c r="H42" s="194"/>
      <c r="I42" s="194"/>
      <c r="J42" s="194"/>
      <c r="K42" s="194"/>
      <c r="M42" s="194"/>
      <c r="N42" s="194"/>
      <c r="O42" s="194"/>
      <c r="P42" s="194"/>
      <c r="Q42" s="194"/>
      <c r="R42" s="194"/>
      <c r="S42" s="194"/>
      <c r="T42" s="191"/>
      <c r="U42" s="191"/>
      <c r="V42" s="194"/>
      <c r="W42" s="194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1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1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1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1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1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1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1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1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1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1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1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1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1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1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1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1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1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1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1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1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1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1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1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1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1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1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1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1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1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1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1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1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1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1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1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1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1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1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1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1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1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1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1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1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1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1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1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1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1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B127" s="191"/>
      <c r="C127" s="192"/>
      <c r="D127" s="191"/>
      <c r="E127" s="191"/>
      <c r="F127" s="191"/>
      <c r="G127" s="193"/>
      <c r="L127" s="193"/>
      <c r="T127" s="191"/>
      <c r="U127" s="191"/>
    </row>
  </sheetData>
  <mergeCells>
    <mergeCell ref="A12:F12"/>
  </mergeCells>
  <printOptions horizontalCentered="1"/>
  <pageMargins left="0" right="0" top="0.75" bottom="0.75" header="0.3" footer="0.3"/>
  <pageSetup paperSize="9" scale="65" orientation="landscape" horizontalDpi="120" verticalDpi="72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3">
    <tabColor theme="4" tint="-0.499984740745262"/>
  </sheetPr>
  <dimension ref="A1:X176"/>
  <sheetViews>
    <sheetView workbookViewId="0">
      <pane xSplit="7" ySplit="6" topLeftCell="H7" activePane="bottomRight" state="frozen"/>
      <selection pane="topRight"/>
      <selection pane="bottomLeft"/>
      <selection pane="bottomRight" activeCell="S11" sqref="S11"/>
    </sheetView>
  </sheetViews>
  <sheetFormatPr defaultColWidth="9" defaultRowHeight="12"/>
  <cols>
    <col min="1" max="1" width="4.85546875" customWidth="1" style="617"/>
    <col min="2" max="2" width="4.85546875" customWidth="1" style="618"/>
    <col min="3" max="3" width="21.7109375" customWidth="1" style="619"/>
    <col min="4" max="4" width="13.7109375" customWidth="1" style="618"/>
    <col min="5" max="5" hidden="1" width="6.42578125" customWidth="1" style="618"/>
    <col min="6" max="6" hidden="1" width="9" customWidth="1" style="618"/>
    <col min="7" max="7" width="9.85546875" customWidth="1" style="620"/>
    <col min="8" max="11" width="10.28515625" customWidth="1" style="617"/>
    <col min="12" max="12" width="10.28515625" customWidth="1" style="620"/>
    <col min="13" max="14" width="10.28515625" customWidth="1" style="617"/>
    <col min="15" max="15" width="11.5703125" customWidth="1" style="617"/>
    <col min="16" max="19" width="10.28515625" customWidth="1" style="617"/>
    <col min="20" max="20" width="9.7109375" customWidth="1" style="618"/>
    <col min="21" max="21" width="9.85546875" customWidth="1" style="618"/>
    <col min="22" max="22" width="16.7109375" customWidth="1" style="617"/>
    <col min="23" max="23" width="9" customWidth="1" style="194"/>
    <col min="24" max="16384" width="9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1200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21"/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22">
        <v>4416187</v>
      </c>
      <c r="H4" s="502"/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22"/>
      <c r="H5" s="502"/>
      <c r="I5" s="502"/>
      <c r="L5" s="190"/>
      <c r="T5" s="189"/>
      <c r="U5" s="187"/>
    </row>
    <row r="6" ht="24" customHeight="1" s="640" customFormat="1">
      <c r="A6" s="641" t="s">
        <v>36</v>
      </c>
      <c r="B6" s="642" t="s">
        <v>37</v>
      </c>
      <c r="C6" s="642" t="s">
        <v>38</v>
      </c>
      <c r="D6" s="642" t="s">
        <v>39</v>
      </c>
      <c r="E6" s="642" t="s">
        <v>40</v>
      </c>
      <c r="F6" s="643" t="s">
        <v>41</v>
      </c>
      <c r="G6" s="644" t="s">
        <v>42</v>
      </c>
      <c r="H6" s="645" t="s">
        <v>44</v>
      </c>
      <c r="I6" s="647" t="s">
        <v>45</v>
      </c>
      <c r="J6" s="647" t="s">
        <v>46</v>
      </c>
      <c r="K6" s="648" t="s">
        <v>47</v>
      </c>
      <c r="L6" s="648" t="s">
        <v>48</v>
      </c>
      <c r="M6" s="649" t="s">
        <v>49</v>
      </c>
      <c r="N6" s="650" t="s">
        <v>50</v>
      </c>
      <c r="O6" s="651" t="s">
        <v>52</v>
      </c>
      <c r="P6" s="649" t="s">
        <v>53</v>
      </c>
      <c r="Q6" s="655" t="s">
        <v>54</v>
      </c>
      <c r="R6" s="656" t="s">
        <v>55</v>
      </c>
      <c r="S6" s="656" t="s">
        <v>56</v>
      </c>
      <c r="T6" s="656" t="s">
        <v>57</v>
      </c>
      <c r="U6" s="657" t="s">
        <v>58</v>
      </c>
      <c r="W6" s="658"/>
    </row>
    <row r="7" ht="18" customHeight="1" s="178" customFormat="1">
      <c r="A7" s="202" t="s">
        <v>59</v>
      </c>
      <c r="B7" s="380" t="s">
        <v>1201</v>
      </c>
      <c r="C7" s="600" t="s">
        <v>769</v>
      </c>
      <c r="D7" s="205" t="s">
        <v>1161</v>
      </c>
      <c r="E7" s="380" t="s">
        <v>768</v>
      </c>
      <c r="F7" s="380" t="s">
        <v>421</v>
      </c>
      <c r="G7" s="601">
        <f>4416187</f>
        <v>4416187</v>
      </c>
      <c r="H7" s="224">
        <f>+'ANTERAJA -BOGOR'!$G$4*4.89%</f>
        <v>215951.5443</v>
      </c>
      <c r="I7" s="224">
        <f>+'ANTERAJA -BOGOR'!$G$4*4%</f>
        <v>176647.48</v>
      </c>
      <c r="J7" s="224">
        <f>+'ANTERAJA -BOGOR'!$G$4*2%</f>
        <v>88323.74</v>
      </c>
      <c r="K7" s="224">
        <v>1667</v>
      </c>
      <c r="L7" s="304">
        <f>SUM(G7:K7)</f>
        <v>4898776.7643</v>
      </c>
      <c r="M7" s="304">
        <f>+L7*8%</f>
        <v>391902.141144</v>
      </c>
      <c r="N7" s="652">
        <v>1000000</v>
      </c>
      <c r="O7" s="633">
        <f>27*12000</f>
        <v>324000</v>
      </c>
      <c r="P7" s="304"/>
      <c r="Q7" s="309">
        <f>SUM(L7:P7)</f>
        <v>6614678.905444</v>
      </c>
      <c r="R7" s="309">
        <f>M7*0.1</f>
        <v>39190.2141144</v>
      </c>
      <c r="S7" s="310">
        <f>Q7+R7</f>
        <v>6653869.1195584</v>
      </c>
      <c r="T7" s="637">
        <v>44378</v>
      </c>
      <c r="U7" s="312">
        <v>44469</v>
      </c>
      <c r="V7" s="194"/>
      <c r="W7" s="495"/>
      <c r="X7" s="495"/>
    </row>
    <row r="8" ht="18" customHeight="1" s="178" customFormat="1">
      <c r="A8" s="205" t="s">
        <v>59</v>
      </c>
      <c r="B8" s="380" t="s">
        <v>1202</v>
      </c>
      <c r="C8" s="600" t="s">
        <v>1203</v>
      </c>
      <c r="D8" s="205" t="s">
        <v>1161</v>
      </c>
      <c r="E8" s="380" t="s">
        <v>768</v>
      </c>
      <c r="F8" s="380" t="s">
        <v>421</v>
      </c>
      <c r="G8" s="601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4">
        <f>SUM(G8:K8)</f>
        <v>4898776.7643</v>
      </c>
      <c r="M8" s="304">
        <f>+L8*8%</f>
        <v>391902.141144</v>
      </c>
      <c r="N8" s="652">
        <v>1000000</v>
      </c>
      <c r="O8" s="633">
        <f>13*12000</f>
        <v>156000</v>
      </c>
      <c r="P8" s="304"/>
      <c r="Q8" s="309">
        <f>SUM(L8:P8)</f>
        <v>6446678.905444</v>
      </c>
      <c r="R8" s="309">
        <f>M8*0.1</f>
        <v>39190.2141144</v>
      </c>
      <c r="S8" s="310">
        <f>Q8+R8</f>
        <v>6485869.1195584</v>
      </c>
      <c r="T8" s="637">
        <v>44409</v>
      </c>
      <c r="U8" s="311">
        <v>44439</v>
      </c>
      <c r="V8" s="231"/>
      <c r="W8" s="495"/>
      <c r="X8" s="495"/>
    </row>
    <row r="9" ht="18" customHeight="1" s="178" customFormat="1">
      <c r="A9" s="205" t="s">
        <v>59</v>
      </c>
      <c r="B9" s="380">
        <v>2143</v>
      </c>
      <c r="C9" s="600" t="s">
        <v>1204</v>
      </c>
      <c r="D9" s="205" t="s">
        <v>1161</v>
      </c>
      <c r="E9" s="380" t="s">
        <v>768</v>
      </c>
      <c r="F9" s="380" t="s">
        <v>421</v>
      </c>
      <c r="G9" s="601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4">
        <f>SUM(G9:K9)</f>
        <v>4898776.7643</v>
      </c>
      <c r="M9" s="304">
        <f>+L9*8%</f>
        <v>391902.141144</v>
      </c>
      <c r="N9" s="652">
        <v>1000000</v>
      </c>
      <c r="O9" s="633">
        <f>14*12000</f>
        <v>168000</v>
      </c>
      <c r="P9" s="304"/>
      <c r="Q9" s="309">
        <f>SUM(L9:P9)</f>
        <v>6458678.905444</v>
      </c>
      <c r="R9" s="309">
        <f>M9*0.1</f>
        <v>39190.2141144</v>
      </c>
      <c r="S9" s="310">
        <f>Q9+R9</f>
        <v>6497869.1195584</v>
      </c>
      <c r="T9" s="637">
        <v>44409</v>
      </c>
      <c r="U9" s="311">
        <v>44500</v>
      </c>
      <c r="W9" s="495"/>
      <c r="X9" s="495"/>
    </row>
    <row r="10" ht="18" customHeight="1" s="194" customFormat="1">
      <c r="A10" s="335" t="s">
        <v>59</v>
      </c>
      <c r="B10" s="978" t="s">
        <v>1205</v>
      </c>
      <c r="C10" s="646" t="s">
        <v>1206</v>
      </c>
      <c r="D10" s="335" t="s">
        <v>1161</v>
      </c>
      <c r="E10" s="625" t="s">
        <v>664</v>
      </c>
      <c r="F10" s="625" t="s">
        <v>614</v>
      </c>
      <c r="G10" s="628">
        <f>4416187</f>
        <v>4416187</v>
      </c>
      <c r="H10" s="332">
        <f>+'RAWA BUAYA'!$G$4*4.89%</f>
        <v>215951.5443</v>
      </c>
      <c r="I10" s="332">
        <f>+'RAWA BUAYA'!$G$4*4%</f>
        <v>176647.48</v>
      </c>
      <c r="J10" s="332">
        <f>+'RAWA BUAYA'!$G$4*2%</f>
        <v>88323.74</v>
      </c>
      <c r="K10" s="332">
        <v>1667</v>
      </c>
      <c r="L10" s="225">
        <f>SUM(G10:K10)</f>
        <v>4898776.7643</v>
      </c>
      <c r="M10" s="225">
        <f>+L10*8%</f>
        <v>391902.141144</v>
      </c>
      <c r="N10" s="653">
        <v>1000000</v>
      </c>
      <c r="O10" s="654">
        <f>27*12000</f>
        <v>324000</v>
      </c>
      <c r="P10" s="225"/>
      <c r="Q10" s="236">
        <f>SUM(L10:P10)</f>
        <v>6614678.905444</v>
      </c>
      <c r="R10" s="236">
        <f>M10*0.1</f>
        <v>39190.2141144</v>
      </c>
      <c r="S10" s="237">
        <f>Q10+R10</f>
        <v>6653869.1195584</v>
      </c>
      <c r="T10" s="659">
        <v>44348</v>
      </c>
      <c r="U10" s="660">
        <v>44439</v>
      </c>
      <c r="W10" s="495"/>
      <c r="X10" s="495"/>
    </row>
    <row r="11" ht="18" customHeight="1" s="180" customFormat="1">
      <c r="A11" s="1090" t="s">
        <v>87</v>
      </c>
      <c r="B11" s="1213"/>
      <c r="C11" s="1091"/>
      <c r="D11" s="1091"/>
      <c r="E11" s="1091"/>
      <c r="F11" s="1092"/>
      <c r="G11" s="629">
        <f>SUM(G7:G10)</f>
        <v>17664748</v>
      </c>
      <c r="H11" s="629">
        <f ref="H11:R11" t="shared" si="1">SUM(H7:H10)</f>
        <v>863806.1772</v>
      </c>
      <c r="I11" s="629">
        <f t="shared" si="1"/>
        <v>706589.92</v>
      </c>
      <c r="J11" s="629">
        <f t="shared" si="1"/>
        <v>353294.96</v>
      </c>
      <c r="K11" s="629">
        <f t="shared" si="1"/>
        <v>6668</v>
      </c>
      <c r="L11" s="629">
        <f t="shared" si="1"/>
        <v>19595107.0572</v>
      </c>
      <c r="M11" s="629">
        <f t="shared" si="1"/>
        <v>1567608.564576</v>
      </c>
      <c r="N11" s="629">
        <f t="shared" si="1"/>
        <v>4000000</v>
      </c>
      <c r="O11" s="629">
        <f t="shared" si="1"/>
        <v>972000</v>
      </c>
      <c r="P11" s="629">
        <f t="shared" si="1"/>
        <v>0</v>
      </c>
      <c r="Q11" s="629">
        <f t="shared" si="1"/>
        <v>26134715.621776</v>
      </c>
      <c r="R11" s="629">
        <f t="shared" si="1"/>
        <v>156760.8564576</v>
      </c>
      <c r="S11" s="629">
        <f>SUM(S7:S10)</f>
        <v>26291476.4782336</v>
      </c>
      <c r="T11" s="638"/>
      <c r="U11" s="639"/>
      <c r="W11" s="178"/>
    </row>
    <row r="12" s="181" customFormat="1">
      <c r="A12" s="181" t="s">
        <v>87</v>
      </c>
      <c r="B12" s="1191"/>
      <c r="C12" s="188"/>
      <c r="D12" s="189"/>
      <c r="E12" s="189"/>
      <c r="F12" s="189"/>
      <c r="G12" s="190"/>
      <c r="L12" s="190"/>
      <c r="T12" s="189"/>
      <c r="U12" s="189"/>
    </row>
    <row r="13" s="178" customFormat="1">
      <c r="A13" s="213" t="s">
        <v>87</v>
      </c>
      <c r="B13" s="1178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78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78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78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4"/>
      <c r="T17" s="242"/>
      <c r="U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78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1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1"/>
      <c r="C28" s="192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630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</row>
    <row r="35" s="193" customFormat="1">
      <c r="A35" s="194" t="s">
        <v>87</v>
      </c>
      <c r="B35" s="1191"/>
      <c r="C35" s="192"/>
      <c r="D35" s="191"/>
      <c r="E35" s="191"/>
      <c r="F35" s="630"/>
      <c r="H35" s="194"/>
      <c r="I35" s="194"/>
      <c r="J35" s="194"/>
      <c r="K35" s="194"/>
      <c r="M35" s="194"/>
      <c r="N35" s="194"/>
      <c r="O35" s="194"/>
      <c r="P35" s="194"/>
      <c r="Q35" s="194"/>
      <c r="R35" s="194"/>
      <c r="S35" s="194"/>
      <c r="T35" s="191"/>
      <c r="U35" s="191"/>
      <c r="V35" s="194"/>
      <c r="W35" s="194"/>
    </row>
    <row r="36" s="193" customFormat="1">
      <c r="A36" s="194" t="s">
        <v>87</v>
      </c>
      <c r="B36" s="1191"/>
      <c r="C36" s="192"/>
      <c r="D36" s="191"/>
      <c r="E36" s="191"/>
      <c r="F36" s="630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1"/>
      <c r="C37" s="192"/>
      <c r="D37" s="191"/>
      <c r="E37" s="191"/>
      <c r="F37" s="630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1"/>
      <c r="C38" s="192"/>
      <c r="D38" s="191"/>
      <c r="E38" s="191"/>
      <c r="F38" s="630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1"/>
      <c r="C39" s="192"/>
      <c r="D39" s="191"/>
      <c r="E39" s="191"/>
      <c r="F39" s="630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1"/>
      <c r="C40" s="192"/>
      <c r="D40" s="191"/>
      <c r="E40" s="191"/>
      <c r="F40" s="630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1"/>
      <c r="C41" s="192"/>
      <c r="D41" s="191"/>
      <c r="E41" s="191"/>
      <c r="F41" s="630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A78" s="194" t="s">
        <v>87</v>
      </c>
      <c r="B78" s="1191"/>
      <c r="C78" s="192"/>
      <c r="D78" s="191"/>
      <c r="E78" s="191"/>
      <c r="F78" s="191"/>
      <c r="G78" s="193"/>
      <c r="L78" s="193"/>
      <c r="T78" s="191"/>
      <c r="U78" s="191"/>
    </row>
    <row r="79" s="194" customFormat="1">
      <c r="A79" s="194" t="s">
        <v>87</v>
      </c>
      <c r="B79" s="1191"/>
      <c r="C79" s="192"/>
      <c r="D79" s="191"/>
      <c r="E79" s="191"/>
      <c r="F79" s="191"/>
      <c r="G79" s="193"/>
      <c r="L79" s="193"/>
      <c r="T79" s="191"/>
      <c r="U79" s="191"/>
    </row>
    <row r="80" s="194" customFormat="1">
      <c r="A80" s="194" t="s">
        <v>87</v>
      </c>
      <c r="B80" s="1191"/>
      <c r="C80" s="192"/>
      <c r="D80" s="191"/>
      <c r="E80" s="191"/>
      <c r="F80" s="191"/>
      <c r="G80" s="193"/>
      <c r="L80" s="193"/>
      <c r="T80" s="191"/>
      <c r="U80" s="191"/>
    </row>
    <row r="81" s="194" customFormat="1">
      <c r="A81" s="194" t="s">
        <v>87</v>
      </c>
      <c r="B81" s="1191"/>
      <c r="C81" s="192"/>
      <c r="D81" s="191"/>
      <c r="E81" s="191"/>
      <c r="F81" s="191"/>
      <c r="G81" s="193"/>
      <c r="L81" s="193"/>
      <c r="T81" s="191"/>
      <c r="U81" s="191"/>
    </row>
    <row r="82" s="194" customFormat="1">
      <c r="A82" s="194" t="s">
        <v>87</v>
      </c>
      <c r="B82" s="1191"/>
      <c r="C82" s="192"/>
      <c r="D82" s="191"/>
      <c r="E82" s="191"/>
      <c r="F82" s="191"/>
      <c r="G82" s="193"/>
      <c r="L82" s="193"/>
      <c r="T82" s="191"/>
      <c r="U82" s="191"/>
    </row>
    <row r="83" s="194" customFormat="1">
      <c r="A83" s="194" t="s">
        <v>87</v>
      </c>
      <c r="B83" s="1191"/>
      <c r="C83" s="192"/>
      <c r="D83" s="191"/>
      <c r="E83" s="191"/>
      <c r="F83" s="191"/>
      <c r="G83" s="193"/>
      <c r="L83" s="193"/>
      <c r="T83" s="191"/>
      <c r="U83" s="191"/>
    </row>
    <row r="84" s="194" customFormat="1">
      <c r="A84" s="194" t="s">
        <v>87</v>
      </c>
      <c r="B84" s="1191"/>
      <c r="C84" s="192"/>
      <c r="D84" s="191"/>
      <c r="E84" s="191"/>
      <c r="F84" s="191"/>
      <c r="G84" s="193"/>
      <c r="L84" s="193"/>
      <c r="T84" s="191"/>
      <c r="U84" s="191"/>
    </row>
    <row r="85" s="194" customFormat="1">
      <c r="A85" s="194" t="s">
        <v>87</v>
      </c>
      <c r="B85" s="1191"/>
      <c r="C85" s="192"/>
      <c r="D85" s="191"/>
      <c r="E85" s="191"/>
      <c r="F85" s="191"/>
      <c r="G85" s="193"/>
      <c r="L85" s="193"/>
      <c r="T85" s="191"/>
      <c r="U85" s="191"/>
    </row>
    <row r="86" s="194" customFormat="1">
      <c r="A86" s="194" t="s">
        <v>87</v>
      </c>
      <c r="B86" s="1191"/>
      <c r="C86" s="192"/>
      <c r="D86" s="191"/>
      <c r="E86" s="191"/>
      <c r="F86" s="191"/>
      <c r="G86" s="193"/>
      <c r="L86" s="193"/>
      <c r="T86" s="191"/>
      <c r="U86" s="191"/>
    </row>
    <row r="87" s="194" customFormat="1">
      <c r="A87" s="194" t="s">
        <v>87</v>
      </c>
      <c r="B87" s="1191"/>
      <c r="C87" s="192"/>
      <c r="D87" s="191"/>
      <c r="E87" s="191"/>
      <c r="F87" s="191"/>
      <c r="G87" s="193"/>
      <c r="L87" s="193"/>
      <c r="T87" s="191"/>
      <c r="U87" s="191"/>
    </row>
    <row r="88" s="194" customFormat="1">
      <c r="A88" s="194" t="s">
        <v>87</v>
      </c>
      <c r="B88" s="1191"/>
      <c r="C88" s="192"/>
      <c r="D88" s="191"/>
      <c r="E88" s="191"/>
      <c r="F88" s="191"/>
      <c r="G88" s="193"/>
      <c r="L88" s="193"/>
      <c r="T88" s="191"/>
      <c r="U88" s="191"/>
    </row>
    <row r="89" s="194" customFormat="1">
      <c r="A89" s="194" t="s">
        <v>87</v>
      </c>
      <c r="B89" s="1191"/>
      <c r="C89" s="192"/>
      <c r="D89" s="191"/>
      <c r="E89" s="191"/>
      <c r="F89" s="191"/>
      <c r="G89" s="193"/>
      <c r="L89" s="193"/>
      <c r="T89" s="191"/>
      <c r="U89" s="191"/>
    </row>
    <row r="90" s="194" customFormat="1">
      <c r="A90" s="194" t="s">
        <v>87</v>
      </c>
      <c r="B90" s="1191"/>
      <c r="C90" s="192"/>
      <c r="D90" s="191"/>
      <c r="E90" s="191"/>
      <c r="F90" s="191"/>
      <c r="G90" s="193"/>
      <c r="L90" s="193"/>
      <c r="T90" s="191"/>
      <c r="U90" s="191"/>
    </row>
    <row r="91" s="194" customFormat="1">
      <c r="A91" s="194" t="s">
        <v>87</v>
      </c>
      <c r="B91" s="1191"/>
      <c r="C91" s="192"/>
      <c r="D91" s="191"/>
      <c r="E91" s="191"/>
      <c r="F91" s="191"/>
      <c r="G91" s="193"/>
      <c r="L91" s="193"/>
      <c r="T91" s="191"/>
      <c r="U91" s="191"/>
    </row>
    <row r="92" s="194" customFormat="1">
      <c r="A92" s="194" t="s">
        <v>87</v>
      </c>
      <c r="B92" s="1191"/>
      <c r="C92" s="192"/>
      <c r="D92" s="191"/>
      <c r="E92" s="191"/>
      <c r="F92" s="191"/>
      <c r="G92" s="193"/>
      <c r="L92" s="193"/>
      <c r="T92" s="191"/>
      <c r="U92" s="191"/>
    </row>
    <row r="93" s="194" customFormat="1">
      <c r="A93" s="194" t="s">
        <v>87</v>
      </c>
      <c r="B93" s="1191"/>
      <c r="C93" s="192"/>
      <c r="D93" s="191"/>
      <c r="E93" s="191"/>
      <c r="F93" s="191"/>
      <c r="G93" s="193"/>
      <c r="L93" s="193"/>
      <c r="T93" s="191"/>
      <c r="U93" s="191"/>
    </row>
    <row r="94" s="194" customFormat="1">
      <c r="A94" s="194" t="s">
        <v>87</v>
      </c>
      <c r="B94" s="1191"/>
      <c r="C94" s="192"/>
      <c r="D94" s="191"/>
      <c r="E94" s="191"/>
      <c r="F94" s="191"/>
      <c r="G94" s="193"/>
      <c r="L94" s="193"/>
      <c r="T94" s="191"/>
      <c r="U94" s="191"/>
    </row>
    <row r="95" s="194" customFormat="1">
      <c r="A95" s="194" t="s">
        <v>87</v>
      </c>
      <c r="B95" s="1191"/>
      <c r="C95" s="192"/>
      <c r="D95" s="191"/>
      <c r="E95" s="191"/>
      <c r="F95" s="191"/>
      <c r="G95" s="193"/>
      <c r="L95" s="193"/>
      <c r="T95" s="191"/>
      <c r="U95" s="191"/>
    </row>
    <row r="96" s="194" customFormat="1">
      <c r="A96" s="194" t="s">
        <v>87</v>
      </c>
      <c r="B96" s="1191"/>
      <c r="C96" s="192"/>
      <c r="D96" s="191"/>
      <c r="E96" s="191"/>
      <c r="F96" s="191"/>
      <c r="G96" s="193"/>
      <c r="L96" s="193"/>
      <c r="T96" s="191"/>
      <c r="U96" s="191"/>
    </row>
    <row r="97" s="194" customFormat="1">
      <c r="A97" s="194" t="s">
        <v>87</v>
      </c>
      <c r="B97" s="1191"/>
      <c r="C97" s="192"/>
      <c r="D97" s="191"/>
      <c r="E97" s="191"/>
      <c r="F97" s="191"/>
      <c r="G97" s="193"/>
      <c r="L97" s="193"/>
      <c r="T97" s="191"/>
      <c r="U97" s="191"/>
    </row>
    <row r="98" s="194" customFormat="1">
      <c r="A98" s="194" t="s">
        <v>87</v>
      </c>
      <c r="B98" s="1191"/>
      <c r="C98" s="192"/>
      <c r="D98" s="191"/>
      <c r="E98" s="191"/>
      <c r="F98" s="191"/>
      <c r="G98" s="193"/>
      <c r="L98" s="193"/>
      <c r="T98" s="191"/>
      <c r="U98" s="191"/>
    </row>
    <row r="99" s="194" customFormat="1">
      <c r="A99" s="194" t="s">
        <v>87</v>
      </c>
      <c r="B99" s="1191"/>
      <c r="C99" s="192"/>
      <c r="D99" s="191"/>
      <c r="E99" s="191"/>
      <c r="F99" s="191"/>
      <c r="G99" s="193"/>
      <c r="L99" s="193"/>
      <c r="T99" s="191"/>
      <c r="U99" s="191"/>
    </row>
    <row r="100" s="194" customFormat="1">
      <c r="A100" s="194" t="s">
        <v>87</v>
      </c>
      <c r="B100" s="1191"/>
      <c r="C100" s="192"/>
      <c r="D100" s="191"/>
      <c r="E100" s="191"/>
      <c r="F100" s="191"/>
      <c r="G100" s="193"/>
      <c r="L100" s="193"/>
      <c r="T100" s="191"/>
      <c r="U100" s="191"/>
    </row>
    <row r="101" s="194" customFormat="1">
      <c r="A101" s="194" t="s">
        <v>87</v>
      </c>
      <c r="B101" s="1191"/>
      <c r="C101" s="192"/>
      <c r="D101" s="191"/>
      <c r="E101" s="191"/>
      <c r="F101" s="191"/>
      <c r="G101" s="193"/>
      <c r="L101" s="193"/>
      <c r="T101" s="191"/>
      <c r="U101" s="191"/>
    </row>
    <row r="102" s="194" customFormat="1">
      <c r="A102" s="194" t="s">
        <v>87</v>
      </c>
      <c r="B102" s="1191"/>
      <c r="C102" s="192"/>
      <c r="D102" s="191"/>
      <c r="E102" s="191"/>
      <c r="F102" s="191"/>
      <c r="G102" s="193"/>
      <c r="L102" s="193"/>
      <c r="T102" s="191"/>
      <c r="U102" s="191"/>
    </row>
    <row r="103" s="194" customFormat="1">
      <c r="A103" s="194" t="s">
        <v>87</v>
      </c>
      <c r="B103" s="1191"/>
      <c r="C103" s="192"/>
      <c r="D103" s="191"/>
      <c r="E103" s="191"/>
      <c r="F103" s="191"/>
      <c r="G103" s="193"/>
      <c r="L103" s="193"/>
      <c r="T103" s="191"/>
      <c r="U103" s="191"/>
    </row>
    <row r="104" s="194" customFormat="1">
      <c r="A104" s="194" t="s">
        <v>87</v>
      </c>
      <c r="B104" s="1191"/>
      <c r="C104" s="192"/>
      <c r="D104" s="191"/>
      <c r="E104" s="191"/>
      <c r="F104" s="191"/>
      <c r="G104" s="193"/>
      <c r="L104" s="193"/>
      <c r="T104" s="191"/>
      <c r="U104" s="191"/>
    </row>
    <row r="105" s="194" customFormat="1">
      <c r="A105" s="194" t="s">
        <v>87</v>
      </c>
      <c r="B105" s="1191"/>
      <c r="C105" s="192"/>
      <c r="D105" s="191"/>
      <c r="E105" s="191"/>
      <c r="F105" s="191"/>
      <c r="G105" s="193"/>
      <c r="L105" s="193"/>
      <c r="T105" s="191"/>
      <c r="U105" s="191"/>
    </row>
    <row r="106" s="194" customFormat="1">
      <c r="A106" s="194" t="s">
        <v>87</v>
      </c>
      <c r="B106" s="1191"/>
      <c r="C106" s="192"/>
      <c r="D106" s="191"/>
      <c r="E106" s="191"/>
      <c r="F106" s="191"/>
      <c r="G106" s="193"/>
      <c r="L106" s="193"/>
      <c r="T106" s="191"/>
      <c r="U106" s="191"/>
    </row>
    <row r="107" s="194" customFormat="1">
      <c r="A107" s="194" t="s">
        <v>87</v>
      </c>
      <c r="B107" s="1191"/>
      <c r="C107" s="192"/>
      <c r="D107" s="191"/>
      <c r="E107" s="191"/>
      <c r="F107" s="191"/>
      <c r="G107" s="193"/>
      <c r="L107" s="193"/>
      <c r="T107" s="191"/>
      <c r="U107" s="191"/>
    </row>
    <row r="108" s="194" customFormat="1">
      <c r="A108" s="194" t="s">
        <v>87</v>
      </c>
      <c r="B108" s="1191"/>
      <c r="C108" s="192"/>
      <c r="D108" s="191"/>
      <c r="E108" s="191"/>
      <c r="F108" s="191"/>
      <c r="G108" s="193"/>
      <c r="L108" s="193"/>
      <c r="T108" s="191"/>
      <c r="U108" s="191"/>
    </row>
    <row r="109" s="194" customFormat="1">
      <c r="A109" s="194" t="s">
        <v>87</v>
      </c>
      <c r="B109" s="1191"/>
      <c r="C109" s="192"/>
      <c r="D109" s="191"/>
      <c r="E109" s="191"/>
      <c r="F109" s="191"/>
      <c r="G109" s="193"/>
      <c r="L109" s="193"/>
      <c r="T109" s="191"/>
      <c r="U109" s="191"/>
    </row>
    <row r="110" s="194" customFormat="1">
      <c r="A110" s="194" t="s">
        <v>87</v>
      </c>
      <c r="B110" s="1191"/>
      <c r="C110" s="192"/>
      <c r="D110" s="191"/>
      <c r="E110" s="191"/>
      <c r="F110" s="191"/>
      <c r="G110" s="193"/>
      <c r="L110" s="193"/>
      <c r="T110" s="191"/>
      <c r="U110" s="191"/>
    </row>
    <row r="111" s="194" customFormat="1">
      <c r="A111" s="194" t="s">
        <v>87</v>
      </c>
      <c r="B111" s="1191"/>
      <c r="C111" s="192"/>
      <c r="D111" s="191"/>
      <c r="E111" s="191"/>
      <c r="F111" s="191"/>
      <c r="G111" s="193"/>
      <c r="L111" s="193"/>
      <c r="T111" s="191"/>
      <c r="U111" s="191"/>
    </row>
    <row r="112" s="194" customFormat="1">
      <c r="A112" s="194" t="s">
        <v>87</v>
      </c>
      <c r="B112" s="1191"/>
      <c r="C112" s="192"/>
      <c r="D112" s="191"/>
      <c r="E112" s="191"/>
      <c r="F112" s="191"/>
      <c r="G112" s="193"/>
      <c r="L112" s="193"/>
      <c r="T112" s="191"/>
      <c r="U112" s="191"/>
    </row>
    <row r="113" s="194" customFormat="1">
      <c r="A113" s="194" t="s">
        <v>87</v>
      </c>
      <c r="B113" s="1191"/>
      <c r="C113" s="192"/>
      <c r="D113" s="191"/>
      <c r="E113" s="191"/>
      <c r="F113" s="191"/>
      <c r="G113" s="193"/>
      <c r="L113" s="193"/>
      <c r="T113" s="191"/>
      <c r="U113" s="191"/>
    </row>
    <row r="114" s="194" customFormat="1">
      <c r="A114" s="194" t="s">
        <v>87</v>
      </c>
      <c r="B114" s="1191"/>
      <c r="C114" s="192"/>
      <c r="D114" s="191"/>
      <c r="E114" s="191"/>
      <c r="F114" s="191"/>
      <c r="G114" s="193"/>
      <c r="L114" s="193"/>
      <c r="T114" s="191"/>
      <c r="U114" s="191"/>
    </row>
    <row r="115" s="194" customFormat="1">
      <c r="A115" s="194" t="s">
        <v>87</v>
      </c>
      <c r="B115" s="1191"/>
      <c r="C115" s="192"/>
      <c r="D115" s="191"/>
      <c r="E115" s="191"/>
      <c r="F115" s="191"/>
      <c r="G115" s="193"/>
      <c r="L115" s="193"/>
      <c r="T115" s="191"/>
      <c r="U115" s="191"/>
    </row>
    <row r="116" s="194" customFormat="1">
      <c r="A116" s="194" t="s">
        <v>87</v>
      </c>
      <c r="B116" s="1191"/>
      <c r="C116" s="192"/>
      <c r="D116" s="191"/>
      <c r="E116" s="191"/>
      <c r="F116" s="191"/>
      <c r="G116" s="193"/>
      <c r="L116" s="193"/>
      <c r="T116" s="191"/>
      <c r="U116" s="191"/>
    </row>
    <row r="117" s="194" customFormat="1">
      <c r="A117" s="194" t="s">
        <v>87</v>
      </c>
      <c r="B117" s="1191"/>
      <c r="C117" s="192"/>
      <c r="D117" s="191"/>
      <c r="E117" s="191"/>
      <c r="F117" s="191"/>
      <c r="G117" s="193"/>
      <c r="L117" s="193"/>
      <c r="T117" s="191"/>
      <c r="U117" s="191"/>
    </row>
    <row r="118" s="194" customFormat="1">
      <c r="A118" s="194" t="s">
        <v>87</v>
      </c>
      <c r="B118" s="1191"/>
      <c r="C118" s="192"/>
      <c r="D118" s="191"/>
      <c r="E118" s="191"/>
      <c r="F118" s="191"/>
      <c r="G118" s="193"/>
      <c r="L118" s="193"/>
      <c r="T118" s="191"/>
      <c r="U118" s="191"/>
    </row>
    <row r="119" s="194" customFormat="1">
      <c r="A119" s="194" t="s">
        <v>87</v>
      </c>
      <c r="B119" s="1191"/>
      <c r="C119" s="192"/>
      <c r="D119" s="191"/>
      <c r="E119" s="191"/>
      <c r="F119" s="191"/>
      <c r="G119" s="193"/>
      <c r="L119" s="193"/>
      <c r="T119" s="191"/>
      <c r="U119" s="191"/>
    </row>
    <row r="120" s="194" customFormat="1">
      <c r="A120" s="194" t="s">
        <v>87</v>
      </c>
      <c r="B120" s="1191"/>
      <c r="C120" s="192"/>
      <c r="D120" s="191"/>
      <c r="E120" s="191"/>
      <c r="F120" s="191"/>
      <c r="G120" s="193"/>
      <c r="L120" s="193"/>
      <c r="T120" s="191"/>
      <c r="U120" s="191"/>
    </row>
    <row r="121" s="194" customFormat="1">
      <c r="A121" s="194" t="s">
        <v>87</v>
      </c>
      <c r="B121" s="1191"/>
      <c r="C121" s="192"/>
      <c r="D121" s="191"/>
      <c r="E121" s="191"/>
      <c r="F121" s="191"/>
      <c r="G121" s="193"/>
      <c r="L121" s="193"/>
      <c r="T121" s="191"/>
      <c r="U121" s="191"/>
    </row>
    <row r="122" s="194" customFormat="1">
      <c r="A122" s="194" t="s">
        <v>87</v>
      </c>
      <c r="B122" s="1191"/>
      <c r="C122" s="192"/>
      <c r="D122" s="191"/>
      <c r="E122" s="191"/>
      <c r="F122" s="191"/>
      <c r="G122" s="193"/>
      <c r="L122" s="193"/>
      <c r="T122" s="191"/>
      <c r="U122" s="191"/>
    </row>
    <row r="123" s="194" customFormat="1">
      <c r="A123" s="194" t="s">
        <v>87</v>
      </c>
      <c r="B123" s="1191"/>
      <c r="C123" s="192"/>
      <c r="D123" s="191"/>
      <c r="E123" s="191"/>
      <c r="F123" s="191"/>
      <c r="G123" s="193"/>
      <c r="L123" s="193"/>
      <c r="T123" s="191"/>
      <c r="U123" s="191"/>
    </row>
    <row r="124" s="194" customFormat="1">
      <c r="A124" s="194" t="s">
        <v>87</v>
      </c>
      <c r="B124" s="1191"/>
      <c r="C124" s="192"/>
      <c r="D124" s="191"/>
      <c r="E124" s="191"/>
      <c r="F124" s="191"/>
      <c r="G124" s="193"/>
      <c r="L124" s="193"/>
      <c r="T124" s="191"/>
      <c r="U124" s="191"/>
    </row>
    <row r="125" s="194" customFormat="1">
      <c r="A125" s="194" t="s">
        <v>87</v>
      </c>
      <c r="B125" s="1191"/>
      <c r="C125" s="192"/>
      <c r="D125" s="191"/>
      <c r="E125" s="191"/>
      <c r="F125" s="191"/>
      <c r="G125" s="193"/>
      <c r="L125" s="193"/>
      <c r="T125" s="191"/>
      <c r="U125" s="191"/>
    </row>
    <row r="126" s="194" customFormat="1">
      <c r="A126" s="194" t="s">
        <v>87</v>
      </c>
      <c r="B126" s="1191"/>
      <c r="C126" s="192"/>
      <c r="D126" s="191"/>
      <c r="E126" s="191"/>
      <c r="F126" s="191"/>
      <c r="G126" s="193"/>
      <c r="L126" s="193"/>
      <c r="T126" s="191"/>
      <c r="U126" s="191"/>
    </row>
    <row r="127" s="194" customFormat="1">
      <c r="A127" s="194" t="s">
        <v>87</v>
      </c>
      <c r="B127" s="1191"/>
      <c r="C127" s="192"/>
      <c r="D127" s="191"/>
      <c r="E127" s="191"/>
      <c r="F127" s="191"/>
      <c r="G127" s="193"/>
      <c r="L127" s="193"/>
      <c r="T127" s="191"/>
      <c r="U127" s="191"/>
    </row>
    <row r="128" s="194" customFormat="1">
      <c r="A128" s="194" t="s">
        <v>87</v>
      </c>
      <c r="B128" s="1191"/>
      <c r="C128" s="192"/>
      <c r="D128" s="191"/>
      <c r="E128" s="191"/>
      <c r="F128" s="191"/>
      <c r="G128" s="193"/>
      <c r="L128" s="193"/>
      <c r="T128" s="191"/>
      <c r="U128" s="191"/>
    </row>
    <row r="129" s="194" customFormat="1">
      <c r="A129" s="194" t="s">
        <v>87</v>
      </c>
      <c r="B129" s="1191"/>
      <c r="C129" s="192"/>
      <c r="D129" s="191"/>
      <c r="E129" s="191"/>
      <c r="F129" s="191"/>
      <c r="G129" s="193"/>
      <c r="L129" s="193"/>
      <c r="T129" s="191"/>
      <c r="U129" s="191"/>
    </row>
    <row r="130" s="194" customFormat="1">
      <c r="A130" s="194" t="s">
        <v>87</v>
      </c>
      <c r="B130" s="1191"/>
      <c r="C130" s="192"/>
      <c r="D130" s="191"/>
      <c r="E130" s="191"/>
      <c r="F130" s="191"/>
      <c r="G130" s="193"/>
      <c r="L130" s="193"/>
      <c r="T130" s="191"/>
      <c r="U130" s="191"/>
    </row>
    <row r="131" s="194" customFormat="1">
      <c r="A131" s="194" t="s">
        <v>87</v>
      </c>
      <c r="B131" s="1191"/>
      <c r="C131" s="192"/>
      <c r="D131" s="191"/>
      <c r="E131" s="191"/>
      <c r="F131" s="191"/>
      <c r="G131" s="193"/>
      <c r="L131" s="193"/>
      <c r="T131" s="191"/>
      <c r="U131" s="191"/>
    </row>
    <row r="132" s="194" customFormat="1">
      <c r="A132" s="194" t="s">
        <v>87</v>
      </c>
      <c r="B132" s="1191"/>
      <c r="C132" s="192"/>
      <c r="D132" s="191"/>
      <c r="E132" s="191"/>
      <c r="F132" s="191"/>
      <c r="G132" s="193"/>
      <c r="L132" s="193"/>
      <c r="T132" s="191"/>
      <c r="U132" s="191"/>
    </row>
    <row r="133" s="194" customFormat="1">
      <c r="A133" s="194" t="s">
        <v>87</v>
      </c>
      <c r="B133" s="1191"/>
      <c r="C133" s="192"/>
      <c r="D133" s="191"/>
      <c r="E133" s="191"/>
      <c r="F133" s="191"/>
      <c r="G133" s="193"/>
      <c r="L133" s="193"/>
      <c r="T133" s="191"/>
      <c r="U133" s="191"/>
    </row>
    <row r="134" s="194" customFormat="1">
      <c r="A134" s="194" t="s">
        <v>87</v>
      </c>
      <c r="B134" s="1191"/>
      <c r="C134" s="192"/>
      <c r="D134" s="191"/>
      <c r="E134" s="191"/>
      <c r="F134" s="191"/>
      <c r="G134" s="193"/>
      <c r="L134" s="193"/>
      <c r="T134" s="191"/>
      <c r="U134" s="191"/>
    </row>
    <row r="135" s="194" customFormat="1">
      <c r="A135" s="194" t="s">
        <v>87</v>
      </c>
      <c r="B135" s="1191"/>
      <c r="C135" s="192"/>
      <c r="D135" s="191"/>
      <c r="E135" s="191"/>
      <c r="F135" s="191"/>
      <c r="G135" s="193"/>
      <c r="L135" s="193"/>
      <c r="T135" s="191"/>
      <c r="U135" s="191"/>
    </row>
    <row r="136" s="194" customFormat="1">
      <c r="A136" s="194" t="s">
        <v>87</v>
      </c>
      <c r="B136" s="1191"/>
      <c r="C136" s="192"/>
      <c r="D136" s="191"/>
      <c r="E136" s="191"/>
      <c r="F136" s="191"/>
      <c r="G136" s="193"/>
      <c r="L136" s="193"/>
      <c r="T136" s="191"/>
      <c r="U136" s="191"/>
    </row>
    <row r="137" s="194" customFormat="1">
      <c r="A137" s="194" t="s">
        <v>87</v>
      </c>
      <c r="B137" s="1191"/>
      <c r="C137" s="192"/>
      <c r="D137" s="191"/>
      <c r="E137" s="191"/>
      <c r="F137" s="191"/>
      <c r="G137" s="193"/>
      <c r="L137" s="193"/>
      <c r="T137" s="191"/>
      <c r="U137" s="191"/>
    </row>
    <row r="138" s="194" customFormat="1">
      <c r="A138" s="194" t="s">
        <v>87</v>
      </c>
      <c r="B138" s="1191"/>
      <c r="C138" s="192"/>
      <c r="D138" s="191"/>
      <c r="E138" s="191"/>
      <c r="F138" s="191"/>
      <c r="G138" s="193"/>
      <c r="L138" s="193"/>
      <c r="T138" s="191"/>
      <c r="U138" s="191"/>
    </row>
    <row r="139" s="194" customFormat="1">
      <c r="A139" s="194" t="s">
        <v>87</v>
      </c>
      <c r="B139" s="1191"/>
      <c r="C139" s="192"/>
      <c r="D139" s="191"/>
      <c r="E139" s="191"/>
      <c r="F139" s="191"/>
      <c r="G139" s="193"/>
      <c r="L139" s="193"/>
      <c r="T139" s="191"/>
      <c r="U139" s="191"/>
    </row>
    <row r="140" s="194" customFormat="1">
      <c r="A140" s="194" t="s">
        <v>87</v>
      </c>
      <c r="B140" s="1191"/>
      <c r="C140" s="192"/>
      <c r="D140" s="191"/>
      <c r="E140" s="191"/>
      <c r="F140" s="191"/>
      <c r="G140" s="193"/>
      <c r="L140" s="193"/>
      <c r="T140" s="191"/>
      <c r="U140" s="191"/>
    </row>
    <row r="141" s="194" customFormat="1">
      <c r="A141" s="194" t="s">
        <v>87</v>
      </c>
      <c r="B141" s="1191"/>
      <c r="C141" s="192"/>
      <c r="D141" s="191"/>
      <c r="E141" s="191"/>
      <c r="F141" s="191"/>
      <c r="G141" s="193"/>
      <c r="L141" s="193"/>
      <c r="T141" s="191"/>
      <c r="U141" s="191"/>
    </row>
    <row r="142" s="194" customFormat="1">
      <c r="A142" s="194" t="s">
        <v>87</v>
      </c>
      <c r="B142" s="1191"/>
      <c r="C142" s="192"/>
      <c r="D142" s="191"/>
      <c r="E142" s="191"/>
      <c r="F142" s="191"/>
      <c r="G142" s="193"/>
      <c r="L142" s="193"/>
      <c r="T142" s="191"/>
      <c r="U142" s="191"/>
    </row>
    <row r="143" s="194" customFormat="1">
      <c r="A143" s="194" t="s">
        <v>87</v>
      </c>
      <c r="B143" s="1191"/>
      <c r="C143" s="192"/>
      <c r="D143" s="191"/>
      <c r="E143" s="191"/>
      <c r="F143" s="191"/>
      <c r="G143" s="193"/>
      <c r="L143" s="193"/>
      <c r="T143" s="191"/>
      <c r="U143" s="191"/>
    </row>
    <row r="144" s="194" customFormat="1">
      <c r="A144" s="194" t="s">
        <v>87</v>
      </c>
      <c r="B144" s="1191"/>
      <c r="C144" s="192"/>
      <c r="D144" s="191"/>
      <c r="E144" s="191"/>
      <c r="F144" s="191"/>
      <c r="G144" s="193"/>
      <c r="L144" s="193"/>
      <c r="T144" s="191"/>
      <c r="U144" s="191"/>
    </row>
    <row r="145" s="194" customFormat="1">
      <c r="A145" s="194" t="s">
        <v>87</v>
      </c>
      <c r="B145" s="1191"/>
      <c r="C145" s="192"/>
      <c r="D145" s="191"/>
      <c r="E145" s="191"/>
      <c r="F145" s="191"/>
      <c r="G145" s="193"/>
      <c r="L145" s="193"/>
      <c r="T145" s="191"/>
      <c r="U145" s="191"/>
    </row>
    <row r="146" s="194" customFormat="1">
      <c r="A146" s="194" t="s">
        <v>87</v>
      </c>
      <c r="B146" s="1191"/>
      <c r="C146" s="192"/>
      <c r="D146" s="191"/>
      <c r="E146" s="191"/>
      <c r="F146" s="191"/>
      <c r="G146" s="193"/>
      <c r="L146" s="193"/>
      <c r="T146" s="191"/>
      <c r="U146" s="191"/>
    </row>
    <row r="147" s="194" customFormat="1">
      <c r="A147" s="194" t="s">
        <v>87</v>
      </c>
      <c r="B147" s="1191"/>
      <c r="C147" s="192"/>
      <c r="D147" s="191"/>
      <c r="E147" s="191"/>
      <c r="F147" s="191"/>
      <c r="G147" s="193"/>
      <c r="L147" s="193"/>
      <c r="T147" s="191"/>
      <c r="U147" s="191"/>
    </row>
    <row r="148" s="194" customFormat="1">
      <c r="A148" s="194" t="s">
        <v>87</v>
      </c>
      <c r="B148" s="1191"/>
      <c r="C148" s="192"/>
      <c r="D148" s="191"/>
      <c r="E148" s="191"/>
      <c r="F148" s="191"/>
      <c r="G148" s="193"/>
      <c r="L148" s="193"/>
      <c r="T148" s="191"/>
      <c r="U148" s="191"/>
    </row>
    <row r="149" s="194" customFormat="1">
      <c r="A149" s="194" t="s">
        <v>87</v>
      </c>
      <c r="B149" s="1191"/>
      <c r="C149" s="192"/>
      <c r="D149" s="191"/>
      <c r="E149" s="191"/>
      <c r="F149" s="191"/>
      <c r="G149" s="193"/>
      <c r="L149" s="193"/>
      <c r="T149" s="191"/>
      <c r="U149" s="191"/>
    </row>
    <row r="150" s="194" customFormat="1">
      <c r="A150" s="194" t="s">
        <v>87</v>
      </c>
      <c r="B150" s="1191"/>
      <c r="C150" s="192"/>
      <c r="D150" s="191"/>
      <c r="E150" s="191"/>
      <c r="F150" s="191"/>
      <c r="G150" s="193"/>
      <c r="L150" s="193"/>
      <c r="T150" s="191"/>
      <c r="U150" s="191"/>
    </row>
    <row r="151" s="194" customFormat="1">
      <c r="A151" s="194" t="s">
        <v>87</v>
      </c>
      <c r="B151" s="1191"/>
      <c r="C151" s="192"/>
      <c r="D151" s="191"/>
      <c r="E151" s="191"/>
      <c r="F151" s="191"/>
      <c r="G151" s="193"/>
      <c r="L151" s="193"/>
      <c r="T151" s="191"/>
      <c r="U151" s="191"/>
    </row>
    <row r="152" s="194" customFormat="1">
      <c r="A152" s="194" t="s">
        <v>87</v>
      </c>
      <c r="B152" s="1191"/>
      <c r="C152" s="192"/>
      <c r="D152" s="191"/>
      <c r="E152" s="191"/>
      <c r="F152" s="191"/>
      <c r="G152" s="193"/>
      <c r="L152" s="193"/>
      <c r="T152" s="191"/>
      <c r="U152" s="191"/>
    </row>
    <row r="153" s="194" customFormat="1">
      <c r="A153" s="194" t="s">
        <v>87</v>
      </c>
      <c r="B153" s="1191"/>
      <c r="C153" s="192"/>
      <c r="D153" s="191"/>
      <c r="E153" s="191"/>
      <c r="F153" s="191"/>
      <c r="G153" s="193"/>
      <c r="L153" s="193"/>
      <c r="T153" s="191"/>
      <c r="U153" s="191"/>
    </row>
    <row r="154" s="194" customFormat="1">
      <c r="A154" s="194" t="s">
        <v>87</v>
      </c>
      <c r="B154" s="1191"/>
      <c r="C154" s="192"/>
      <c r="D154" s="191"/>
      <c r="E154" s="191"/>
      <c r="F154" s="191"/>
      <c r="G154" s="193"/>
      <c r="L154" s="193"/>
      <c r="T154" s="191"/>
      <c r="U154" s="191"/>
    </row>
    <row r="155" s="194" customFormat="1">
      <c r="A155" s="194" t="s">
        <v>87</v>
      </c>
      <c r="B155" s="1191"/>
      <c r="C155" s="192"/>
      <c r="D155" s="191"/>
      <c r="E155" s="191"/>
      <c r="F155" s="191"/>
      <c r="G155" s="193"/>
      <c r="L155" s="193"/>
      <c r="T155" s="191"/>
      <c r="U155" s="191"/>
    </row>
    <row r="156" s="194" customFormat="1">
      <c r="A156" s="194" t="s">
        <v>87</v>
      </c>
      <c r="B156" s="1191"/>
      <c r="C156" s="192"/>
      <c r="D156" s="191"/>
      <c r="E156" s="191"/>
      <c r="F156" s="191"/>
      <c r="G156" s="193"/>
      <c r="L156" s="193"/>
      <c r="T156" s="191"/>
      <c r="U156" s="191"/>
    </row>
    <row r="157" s="194" customFormat="1">
      <c r="A157" s="194" t="s">
        <v>87</v>
      </c>
      <c r="B157" s="1191"/>
      <c r="C157" s="192"/>
      <c r="D157" s="191"/>
      <c r="E157" s="191"/>
      <c r="F157" s="191"/>
      <c r="G157" s="193"/>
      <c r="L157" s="193"/>
      <c r="T157" s="191"/>
      <c r="U157" s="191"/>
    </row>
    <row r="158" s="194" customFormat="1">
      <c r="A158" s="194" t="s">
        <v>87</v>
      </c>
      <c r="B158" s="1191"/>
      <c r="C158" s="192"/>
      <c r="D158" s="191"/>
      <c r="E158" s="191"/>
      <c r="F158" s="191"/>
      <c r="G158" s="193"/>
      <c r="L158" s="193"/>
      <c r="T158" s="191"/>
      <c r="U158" s="191"/>
    </row>
    <row r="159" s="194" customFormat="1">
      <c r="A159" s="194" t="s">
        <v>87</v>
      </c>
      <c r="B159" s="1191"/>
      <c r="C159" s="192"/>
      <c r="D159" s="191"/>
      <c r="E159" s="191"/>
      <c r="F159" s="191"/>
      <c r="G159" s="193"/>
      <c r="L159" s="193"/>
      <c r="T159" s="191"/>
      <c r="U159" s="191"/>
    </row>
    <row r="160" s="194" customFormat="1">
      <c r="A160" s="194" t="s">
        <v>87</v>
      </c>
      <c r="B160" s="1191"/>
      <c r="C160" s="192"/>
      <c r="D160" s="191"/>
      <c r="E160" s="191"/>
      <c r="F160" s="191"/>
      <c r="G160" s="193"/>
      <c r="L160" s="193"/>
      <c r="T160" s="191"/>
      <c r="U160" s="191"/>
    </row>
    <row r="161" s="194" customFormat="1">
      <c r="A161" s="194" t="s">
        <v>87</v>
      </c>
      <c r="B161" s="1191"/>
      <c r="C161" s="192"/>
      <c r="D161" s="191"/>
      <c r="E161" s="191"/>
      <c r="F161" s="191"/>
      <c r="G161" s="193"/>
      <c r="L161" s="193"/>
      <c r="T161" s="191"/>
      <c r="U161" s="191"/>
    </row>
    <row r="162" s="194" customFormat="1">
      <c r="A162" s="194" t="s">
        <v>87</v>
      </c>
      <c r="B162" s="1191"/>
      <c r="C162" s="192"/>
      <c r="D162" s="191"/>
      <c r="E162" s="191"/>
      <c r="F162" s="191"/>
      <c r="G162" s="193"/>
      <c r="L162" s="193"/>
      <c r="T162" s="191"/>
      <c r="U162" s="191"/>
    </row>
    <row r="163" s="194" customFormat="1">
      <c r="A163" s="194" t="s">
        <v>87</v>
      </c>
      <c r="B163" s="1191"/>
      <c r="C163" s="192"/>
      <c r="D163" s="191"/>
      <c r="E163" s="191"/>
      <c r="F163" s="191"/>
      <c r="G163" s="193"/>
      <c r="L163" s="193"/>
      <c r="T163" s="191"/>
      <c r="U163" s="191"/>
    </row>
    <row r="164" s="194" customFormat="1">
      <c r="A164" s="194" t="s">
        <v>87</v>
      </c>
      <c r="B164" s="1191"/>
      <c r="C164" s="192"/>
      <c r="D164" s="191"/>
      <c r="E164" s="191"/>
      <c r="F164" s="191"/>
      <c r="G164" s="193"/>
      <c r="L164" s="193"/>
      <c r="T164" s="191"/>
      <c r="U164" s="191"/>
    </row>
    <row r="165" s="194" customFormat="1">
      <c r="A165" s="194" t="s">
        <v>87</v>
      </c>
      <c r="B165" s="1191"/>
      <c r="C165" s="192"/>
      <c r="D165" s="191"/>
      <c r="E165" s="191"/>
      <c r="F165" s="191"/>
      <c r="G165" s="193"/>
      <c r="L165" s="193"/>
      <c r="T165" s="191"/>
      <c r="U165" s="191"/>
    </row>
    <row r="166" s="194" customFormat="1">
      <c r="A166" s="194" t="s">
        <v>87</v>
      </c>
      <c r="B166" s="1191"/>
      <c r="C166" s="192"/>
      <c r="D166" s="191"/>
      <c r="E166" s="191"/>
      <c r="F166" s="191"/>
      <c r="G166" s="193"/>
      <c r="L166" s="193"/>
      <c r="T166" s="191"/>
      <c r="U166" s="191"/>
    </row>
    <row r="167" s="194" customFormat="1">
      <c r="A167" s="194" t="s">
        <v>87</v>
      </c>
      <c r="B167" s="1191"/>
      <c r="C167" s="192"/>
      <c r="D167" s="191"/>
      <c r="E167" s="191"/>
      <c r="F167" s="191"/>
      <c r="G167" s="193"/>
      <c r="L167" s="193"/>
      <c r="T167" s="191"/>
      <c r="U167" s="191"/>
    </row>
    <row r="168" s="194" customFormat="1">
      <c r="A168" s="194" t="s">
        <v>87</v>
      </c>
      <c r="B168" s="1191"/>
      <c r="C168" s="192"/>
      <c r="D168" s="191"/>
      <c r="E168" s="191"/>
      <c r="F168" s="191"/>
      <c r="G168" s="193"/>
      <c r="L168" s="193"/>
      <c r="T168" s="191"/>
      <c r="U168" s="191"/>
    </row>
    <row r="169" s="194" customFormat="1">
      <c r="A169" s="194" t="s">
        <v>87</v>
      </c>
      <c r="B169" s="1191"/>
      <c r="C169" s="192"/>
      <c r="D169" s="191"/>
      <c r="E169" s="191"/>
      <c r="F169" s="191"/>
      <c r="G169" s="193"/>
      <c r="L169" s="193"/>
      <c r="T169" s="191"/>
      <c r="U169" s="191"/>
    </row>
    <row r="170" s="194" customFormat="1">
      <c r="A170" s="194" t="s">
        <v>87</v>
      </c>
      <c r="B170" s="1191"/>
      <c r="C170" s="192"/>
      <c r="D170" s="191"/>
      <c r="E170" s="191"/>
      <c r="F170" s="191"/>
      <c r="G170" s="193"/>
      <c r="L170" s="193"/>
      <c r="T170" s="191"/>
      <c r="U170" s="191"/>
    </row>
    <row r="171" s="194" customFormat="1">
      <c r="A171" s="194" t="s">
        <v>87</v>
      </c>
      <c r="B171" s="1191"/>
      <c r="C171" s="192"/>
      <c r="D171" s="191"/>
      <c r="E171" s="191"/>
      <c r="F171" s="191"/>
      <c r="G171" s="193"/>
      <c r="L171" s="193"/>
      <c r="T171" s="191"/>
      <c r="U171" s="191"/>
    </row>
    <row r="172" s="194" customFormat="1">
      <c r="A172" s="194" t="s">
        <v>87</v>
      </c>
      <c r="B172" s="1191"/>
      <c r="C172" s="192"/>
      <c r="D172" s="191"/>
      <c r="E172" s="191"/>
      <c r="F172" s="191"/>
      <c r="G172" s="193"/>
      <c r="L172" s="193"/>
      <c r="T172" s="191"/>
      <c r="U172" s="191"/>
    </row>
    <row r="173" s="194" customFormat="1">
      <c r="A173" s="194" t="s">
        <v>87</v>
      </c>
      <c r="B173" s="1191"/>
      <c r="C173" s="192"/>
      <c r="D173" s="191"/>
      <c r="E173" s="191"/>
      <c r="F173" s="191"/>
      <c r="G173" s="193"/>
      <c r="L173" s="193"/>
      <c r="T173" s="191"/>
      <c r="U173" s="191"/>
    </row>
    <row r="174" s="194" customFormat="1">
      <c r="A174" s="194" t="s">
        <v>87</v>
      </c>
      <c r="B174" s="1191"/>
      <c r="C174" s="192"/>
      <c r="D174" s="191"/>
      <c r="E174" s="191"/>
      <c r="F174" s="191"/>
      <c r="G174" s="193"/>
      <c r="L174" s="193"/>
      <c r="T174" s="191"/>
      <c r="U174" s="191"/>
    </row>
    <row r="175" s="194" customFormat="1">
      <c r="A175" s="194" t="s">
        <v>87</v>
      </c>
      <c r="B175" s="1191"/>
      <c r="C175" s="192"/>
      <c r="D175" s="191"/>
      <c r="E175" s="191"/>
      <c r="F175" s="191"/>
      <c r="G175" s="193"/>
      <c r="L175" s="193"/>
      <c r="T175" s="191"/>
      <c r="U175" s="191"/>
    </row>
    <row r="176" s="194" customFormat="1">
      <c r="B176" s="191"/>
      <c r="C176" s="192"/>
      <c r="D176" s="191"/>
      <c r="E176" s="191"/>
      <c r="F176" s="191"/>
      <c r="G176" s="193"/>
      <c r="L176" s="193"/>
      <c r="T176" s="191"/>
      <c r="U176" s="191"/>
    </row>
  </sheetData>
  <mergeCells>
    <mergeCell ref="A11:F11"/>
  </mergeCells>
  <printOptions horizontalCentered="1"/>
  <pageMargins left="0" right="0" top="0.75" bottom="0.75" header="0.3" footer="0.3"/>
  <pageSetup paperSize="9" scale="70" orientation="landscape" horizontalDpi="120" verticalDpi="7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4">
    <tabColor theme="4" tint="-0.499984740745262"/>
  </sheetPr>
  <dimension ref="A1:X6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P1" sqref="P1:P1048576"/>
    </sheetView>
  </sheetViews>
  <sheetFormatPr defaultColWidth="9" defaultRowHeight="12"/>
  <cols>
    <col min="1" max="1" width="4.42578125" customWidth="1" style="617"/>
    <col min="2" max="2" width="4.42578125" customWidth="1" style="618"/>
    <col min="3" max="3" width="22.85546875" customWidth="1" style="619"/>
    <col min="4" max="4" width="10.5703125" customWidth="1" style="618"/>
    <col min="5" max="5" hidden="1" width="6.85546875" customWidth="1" style="618"/>
    <col min="6" max="6" hidden="1" width="9" customWidth="1" style="618"/>
    <col min="7" max="7" width="10.5703125" customWidth="1" style="620"/>
    <col min="8" max="11" width="11.7109375" customWidth="1" style="617"/>
    <col min="12" max="12" width="11.7109375" customWidth="1" style="620"/>
    <col min="13" max="13" width="11.7109375" customWidth="1" style="617"/>
    <col min="14" max="14" width="10" customWidth="1" style="617"/>
    <col min="15" max="15" width="9.7109375" customWidth="1" style="617"/>
    <col min="16" max="16" hidden="1" width="12.42578125" customWidth="1" style="617"/>
    <col min="17" max="17" width="11.7109375" customWidth="1" style="617"/>
    <col min="18" max="18" width="10.28515625" customWidth="1" style="617"/>
    <col min="19" max="19" width="12" customWidth="1" style="617"/>
    <col min="20" max="20" width="9.7109375" customWidth="1" style="618"/>
    <col min="21" max="21" width="9.85546875" customWidth="1" style="618"/>
    <col min="22" max="22" width="25.140625" customWidth="1" style="617"/>
    <col min="23" max="16384" width="9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1313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91"/>
      <c r="G3" s="193"/>
      <c r="H3" s="621"/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22">
        <v>4416187</v>
      </c>
      <c r="H4" s="502"/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22"/>
      <c r="H5" s="502"/>
      <c r="I5" s="502"/>
      <c r="L5" s="190"/>
      <c r="T5" s="189"/>
      <c r="U5" s="187"/>
    </row>
    <row r="6" ht="24.7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6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623" t="s">
        <v>59</v>
      </c>
      <c r="B7" s="378" t="s">
        <v>1314</v>
      </c>
      <c r="C7" s="624" t="s">
        <v>759</v>
      </c>
      <c r="D7" s="205" t="s">
        <v>1161</v>
      </c>
      <c r="E7" s="625" t="s">
        <v>771</v>
      </c>
      <c r="F7" s="380" t="s">
        <v>421</v>
      </c>
      <c r="G7" s="601">
        <f>4416187</f>
        <v>4416187</v>
      </c>
      <c r="H7" s="626">
        <f>G4*4.89%</f>
        <v>215951.5443</v>
      </c>
      <c r="I7" s="626">
        <f>G4*4%</f>
        <v>176647.48</v>
      </c>
      <c r="J7" s="626">
        <f>G4*2%</f>
        <v>88323.74</v>
      </c>
      <c r="K7" s="224">
        <v>1667</v>
      </c>
      <c r="L7" s="631">
        <f ref="L7:L11" t="shared" si="0">SUM(G7:K7)</f>
        <v>4898776.7643</v>
      </c>
      <c r="M7" s="631">
        <f ref="M7:M11" t="shared" si="1">+L7*8%</f>
        <v>391902.141144</v>
      </c>
      <c r="N7" s="394">
        <v>1000000</v>
      </c>
      <c r="O7" s="632">
        <f>27*12000</f>
        <v>324000</v>
      </c>
      <c r="P7" s="225"/>
      <c r="Q7" s="634">
        <f ref="Q7:Q10" t="shared" si="2">SUM(L7:P7)</f>
        <v>6614678.905444</v>
      </c>
      <c r="R7" s="309">
        <f ref="R7:R11" t="shared" si="3">M7*0.1</f>
        <v>39190.2141144</v>
      </c>
      <c r="S7" s="310">
        <f ref="S7:S11" t="shared" si="4">Q7+R7</f>
        <v>6653869.1195584</v>
      </c>
      <c r="T7" s="635">
        <v>44378</v>
      </c>
      <c r="U7" s="636">
        <v>44469</v>
      </c>
      <c r="V7" s="231"/>
      <c r="W7" s="500"/>
      <c r="X7" s="500"/>
    </row>
    <row r="8" ht="18" customHeight="1" s="178" customFormat="1">
      <c r="A8" s="623" t="s">
        <v>59</v>
      </c>
      <c r="B8" s="625" t="s">
        <v>991</v>
      </c>
      <c r="C8" s="627" t="s">
        <v>992</v>
      </c>
      <c r="D8" s="205" t="s">
        <v>1161</v>
      </c>
      <c r="E8" s="625" t="s">
        <v>771</v>
      </c>
      <c r="F8" s="625" t="s">
        <v>614</v>
      </c>
      <c r="G8" s="628">
        <f>4416187</f>
        <v>4416187</v>
      </c>
      <c r="H8" s="332">
        <f>G4*4.89%</f>
        <v>215951.5443</v>
      </c>
      <c r="I8" s="332">
        <f>G4*4%</f>
        <v>176647.48</v>
      </c>
      <c r="J8" s="332">
        <f>G4*2%</f>
        <v>88323.74</v>
      </c>
      <c r="K8" s="332">
        <v>1667</v>
      </c>
      <c r="L8" s="225">
        <f t="shared" si="0"/>
        <v>4898776.7643</v>
      </c>
      <c r="M8" s="225">
        <f t="shared" si="1"/>
        <v>391902.141144</v>
      </c>
      <c r="N8" s="490">
        <v>1000000</v>
      </c>
      <c r="O8" s="632">
        <f>26*12000</f>
        <v>312000</v>
      </c>
      <c r="P8" s="225"/>
      <c r="Q8" s="634">
        <f t="shared" si="2"/>
        <v>6602678.905444</v>
      </c>
      <c r="R8" s="236">
        <f t="shared" si="3"/>
        <v>39190.2141144</v>
      </c>
      <c r="S8" s="237">
        <f t="shared" si="4"/>
        <v>6641869.1195584</v>
      </c>
      <c r="T8" s="637">
        <v>44348</v>
      </c>
      <c r="U8" s="311">
        <v>44439</v>
      </c>
      <c r="V8" s="231"/>
      <c r="W8" s="500"/>
      <c r="X8" s="500"/>
    </row>
    <row r="9" ht="18" customHeight="1" s="178" customFormat="1">
      <c r="A9" s="623" t="s">
        <v>64</v>
      </c>
      <c r="B9" s="1180" t="s">
        <v>1315</v>
      </c>
      <c r="C9" s="1214" t="s">
        <v>918</v>
      </c>
      <c r="D9" s="205" t="s">
        <v>245</v>
      </c>
      <c r="E9" s="625" t="s">
        <v>771</v>
      </c>
      <c r="F9" s="380" t="s">
        <v>614</v>
      </c>
      <c r="G9" s="601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4">
        <f t="shared" si="0"/>
        <v>4898776.7643</v>
      </c>
      <c r="M9" s="304">
        <f t="shared" si="1"/>
        <v>391902.141144</v>
      </c>
      <c r="N9" s="394">
        <v>750000</v>
      </c>
      <c r="O9" s="633">
        <f>26*10000</f>
        <v>260000</v>
      </c>
      <c r="P9" s="304"/>
      <c r="Q9" s="309">
        <f t="shared" si="2"/>
        <v>6300678.905444</v>
      </c>
      <c r="R9" s="309">
        <f t="shared" si="3"/>
        <v>39190.2141144</v>
      </c>
      <c r="S9" s="310">
        <f t="shared" si="4"/>
        <v>6339869.1195584</v>
      </c>
      <c r="T9" s="311">
        <v>44378</v>
      </c>
      <c r="U9" s="311">
        <v>44469</v>
      </c>
      <c r="V9" s="194"/>
      <c r="W9" s="500"/>
      <c r="X9" s="500"/>
    </row>
    <row r="10" ht="18" customHeight="1" s="178" customFormat="1">
      <c r="A10" s="623" t="s">
        <v>59</v>
      </c>
      <c r="B10" s="380" t="s">
        <v>1316</v>
      </c>
      <c r="C10" s="600" t="s">
        <v>1317</v>
      </c>
      <c r="D10" s="205" t="s">
        <v>69</v>
      </c>
      <c r="E10" s="625" t="s">
        <v>771</v>
      </c>
      <c r="F10" s="380" t="s">
        <v>614</v>
      </c>
      <c r="G10" s="601">
        <f>4416187</f>
        <v>4416187</v>
      </c>
      <c r="H10" s="224">
        <f>+'HALIM '!$G$5*4.89%</f>
        <v>215951.5443</v>
      </c>
      <c r="I10" s="224">
        <f>+'HALIM '!$G$5*4%</f>
        <v>176647.48</v>
      </c>
      <c r="J10" s="224">
        <f>+'HALIM '!$G$5*2%</f>
        <v>88323.74</v>
      </c>
      <c r="K10" s="224">
        <v>1667</v>
      </c>
      <c r="L10" s="304">
        <f t="shared" si="0"/>
        <v>4898776.7643</v>
      </c>
      <c r="M10" s="304">
        <f t="shared" si="1"/>
        <v>391902.141144</v>
      </c>
      <c r="N10" s="490">
        <v>1000000</v>
      </c>
      <c r="O10" s="633">
        <f>26*12000</f>
        <v>312000</v>
      </c>
      <c r="P10" s="304"/>
      <c r="Q10" s="309">
        <f t="shared" si="2"/>
        <v>6602678.905444</v>
      </c>
      <c r="R10" s="309">
        <f t="shared" si="3"/>
        <v>39190.2141144</v>
      </c>
      <c r="S10" s="310">
        <f t="shared" si="4"/>
        <v>6641869.1195584</v>
      </c>
      <c r="T10" s="311">
        <v>44356</v>
      </c>
      <c r="U10" s="311">
        <v>44439</v>
      </c>
      <c r="V10" s="194"/>
      <c r="W10" s="345"/>
      <c r="X10" s="345"/>
    </row>
    <row r="11" ht="18" customHeight="1" s="178" customFormat="1">
      <c r="A11" s="202" t="s">
        <v>59</v>
      </c>
      <c r="B11" s="380" t="s">
        <v>1318</v>
      </c>
      <c r="C11" s="600" t="s">
        <v>1319</v>
      </c>
      <c r="D11" s="205" t="s">
        <v>69</v>
      </c>
      <c r="E11" s="625" t="s">
        <v>771</v>
      </c>
      <c r="F11" s="380" t="s">
        <v>614</v>
      </c>
      <c r="G11" s="601">
        <f>4416187</f>
        <v>4416187</v>
      </c>
      <c r="H11" s="224">
        <f>+'HALIM '!$G$5*4.89%</f>
        <v>215951.5443</v>
      </c>
      <c r="I11" s="224">
        <f>+'HALIM '!$G$5*4%</f>
        <v>176647.48</v>
      </c>
      <c r="J11" s="224">
        <f>+'HALIM '!$G$5*2%</f>
        <v>88323.74</v>
      </c>
      <c r="K11" s="224">
        <v>1667</v>
      </c>
      <c r="L11" s="304">
        <f t="shared" si="0"/>
        <v>4898776.7643</v>
      </c>
      <c r="M11" s="304">
        <f t="shared" si="1"/>
        <v>391902.141144</v>
      </c>
      <c r="N11" s="490">
        <v>1000000</v>
      </c>
      <c r="O11" s="633">
        <f>27*12000</f>
        <v>324000</v>
      </c>
      <c r="P11" s="304"/>
      <c r="Q11" s="309">
        <f>SUM(L11:P11)</f>
        <v>6614678.905444</v>
      </c>
      <c r="R11" s="309">
        <f t="shared" si="3"/>
        <v>39190.2141144</v>
      </c>
      <c r="S11" s="310">
        <f t="shared" si="4"/>
        <v>6653869.1195584</v>
      </c>
      <c r="T11" s="311">
        <v>44378</v>
      </c>
      <c r="U11" s="311">
        <v>44469</v>
      </c>
      <c r="V11" s="194"/>
      <c r="W11" s="345"/>
      <c r="X11" s="345"/>
    </row>
    <row r="12" ht="18" customHeight="1" s="180" customFormat="1">
      <c r="A12" s="1090" t="s">
        <v>87</v>
      </c>
      <c r="B12" s="1213"/>
      <c r="C12" s="1091"/>
      <c r="D12" s="1091"/>
      <c r="E12" s="1091"/>
      <c r="F12" s="1092"/>
      <c r="G12" s="629">
        <f ref="G12:R12" t="shared" si="6">SUM(G7:G11)</f>
        <v>22080935</v>
      </c>
      <c r="H12" s="629">
        <f t="shared" si="6"/>
        <v>1079757.7215</v>
      </c>
      <c r="I12" s="629">
        <f t="shared" si="6"/>
        <v>883237.4</v>
      </c>
      <c r="J12" s="629">
        <f t="shared" si="6"/>
        <v>441618.7</v>
      </c>
      <c r="K12" s="629">
        <f t="shared" si="6"/>
        <v>8335</v>
      </c>
      <c r="L12" s="629">
        <f t="shared" si="6"/>
        <v>24493883.8215</v>
      </c>
      <c r="M12" s="629">
        <f t="shared" si="6"/>
        <v>1959510.70572</v>
      </c>
      <c r="N12" s="629">
        <f t="shared" si="6"/>
        <v>4750000</v>
      </c>
      <c r="O12" s="629">
        <f t="shared" si="6"/>
        <v>1532000</v>
      </c>
      <c r="P12" s="629">
        <f t="shared" si="6"/>
        <v>0</v>
      </c>
      <c r="Q12" s="629">
        <f t="shared" si="6"/>
        <v>32735394.52722</v>
      </c>
      <c r="R12" s="629">
        <f t="shared" si="6"/>
        <v>195951.070572</v>
      </c>
      <c r="S12" s="629">
        <f>SUM(S7:S11)</f>
        <v>32931345.597792</v>
      </c>
      <c r="T12" s="638"/>
      <c r="U12" s="639"/>
    </row>
    <row r="13" s="181" customFormat="1">
      <c r="A13" s="181" t="s">
        <v>87</v>
      </c>
      <c r="B13" s="1191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78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78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78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544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78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1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P25" s="213"/>
      <c r="Q25" s="213" t="s">
        <v>1198</v>
      </c>
      <c r="T25" s="188"/>
      <c r="U25" s="243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191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1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191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630"/>
      <c r="G35" s="193"/>
      <c r="L35" s="193"/>
      <c r="T35" s="191"/>
      <c r="U35" s="191"/>
    </row>
    <row r="36" s="193" customFormat="1">
      <c r="A36" s="194" t="s">
        <v>87</v>
      </c>
      <c r="B36" s="1191"/>
      <c r="C36" s="192"/>
      <c r="D36" s="191"/>
      <c r="E36" s="191"/>
      <c r="F36" s="630"/>
      <c r="H36" s="194"/>
      <c r="I36" s="194"/>
      <c r="J36" s="194"/>
      <c r="K36" s="194"/>
      <c r="M36" s="194"/>
      <c r="N36" s="194"/>
      <c r="O36" s="194"/>
      <c r="P36" s="194"/>
      <c r="Q36" s="194"/>
      <c r="R36" s="194"/>
      <c r="S36" s="194"/>
      <c r="T36" s="191"/>
      <c r="U36" s="191"/>
      <c r="V36" s="194"/>
      <c r="W36" s="194"/>
    </row>
    <row r="37" s="193" customFormat="1">
      <c r="A37" s="194" t="s">
        <v>87</v>
      </c>
      <c r="B37" s="1191"/>
      <c r="C37" s="192"/>
      <c r="D37" s="191"/>
      <c r="E37" s="191"/>
      <c r="F37" s="630"/>
      <c r="H37" s="194"/>
      <c r="I37" s="194"/>
      <c r="J37" s="194"/>
      <c r="K37" s="194"/>
      <c r="M37" s="194"/>
      <c r="N37" s="194"/>
      <c r="O37" s="194"/>
      <c r="P37" s="194"/>
      <c r="Q37" s="194"/>
      <c r="R37" s="194"/>
      <c r="S37" s="194"/>
      <c r="T37" s="191"/>
      <c r="U37" s="191"/>
      <c r="V37" s="194"/>
      <c r="W37" s="194"/>
    </row>
    <row r="38" s="193" customFormat="1">
      <c r="A38" s="194" t="s">
        <v>87</v>
      </c>
      <c r="B38" s="1191"/>
      <c r="C38" s="192"/>
      <c r="D38" s="191"/>
      <c r="E38" s="191"/>
      <c r="F38" s="630"/>
      <c r="H38" s="194"/>
      <c r="I38" s="194"/>
      <c r="J38" s="194"/>
      <c r="K38" s="194"/>
      <c r="M38" s="194"/>
      <c r="N38" s="194"/>
      <c r="O38" s="194"/>
      <c r="P38" s="194"/>
      <c r="Q38" s="194"/>
      <c r="R38" s="194"/>
      <c r="S38" s="194"/>
      <c r="T38" s="191"/>
      <c r="U38" s="191"/>
      <c r="V38" s="194"/>
      <c r="W38" s="194"/>
    </row>
    <row r="39" s="193" customFormat="1">
      <c r="A39" s="194" t="s">
        <v>87</v>
      </c>
      <c r="B39" s="1191"/>
      <c r="C39" s="192"/>
      <c r="D39" s="191"/>
      <c r="E39" s="191"/>
      <c r="F39" s="630"/>
      <c r="H39" s="194"/>
      <c r="I39" s="194"/>
      <c r="J39" s="194"/>
      <c r="K39" s="194"/>
      <c r="M39" s="194"/>
      <c r="N39" s="194"/>
      <c r="O39" s="194"/>
      <c r="P39" s="194"/>
      <c r="Q39" s="194"/>
      <c r="R39" s="194"/>
      <c r="S39" s="194"/>
      <c r="T39" s="191"/>
      <c r="U39" s="191"/>
      <c r="V39" s="194"/>
      <c r="W39" s="194"/>
    </row>
    <row r="40" s="193" customFormat="1">
      <c r="A40" s="194" t="s">
        <v>87</v>
      </c>
      <c r="B40" s="1191"/>
      <c r="C40" s="192"/>
      <c r="D40" s="191"/>
      <c r="E40" s="191"/>
      <c r="F40" s="630"/>
      <c r="H40" s="194"/>
      <c r="I40" s="194"/>
      <c r="J40" s="194"/>
      <c r="K40" s="194"/>
      <c r="M40" s="194"/>
      <c r="N40" s="194"/>
      <c r="O40" s="194"/>
      <c r="P40" s="194"/>
      <c r="Q40" s="194"/>
      <c r="R40" s="194"/>
      <c r="S40" s="194"/>
      <c r="T40" s="191"/>
      <c r="U40" s="191"/>
      <c r="V40" s="194"/>
      <c r="W40" s="194"/>
    </row>
    <row r="41" s="193" customFormat="1">
      <c r="A41" s="194" t="s">
        <v>87</v>
      </c>
      <c r="B41" s="1191"/>
      <c r="C41" s="192"/>
      <c r="D41" s="191"/>
      <c r="E41" s="191"/>
      <c r="F41" s="630"/>
      <c r="H41" s="194"/>
      <c r="I41" s="194"/>
      <c r="J41" s="194"/>
      <c r="K41" s="194"/>
      <c r="M41" s="194"/>
      <c r="N41" s="194"/>
      <c r="O41" s="194"/>
      <c r="P41" s="194"/>
      <c r="Q41" s="194"/>
      <c r="R41" s="194"/>
      <c r="S41" s="194"/>
      <c r="T41" s="191"/>
      <c r="U41" s="191"/>
      <c r="V41" s="194"/>
      <c r="W41" s="194"/>
    </row>
    <row r="42" s="193" customFormat="1">
      <c r="A42" s="194" t="s">
        <v>87</v>
      </c>
      <c r="B42" s="1191"/>
      <c r="C42" s="192"/>
      <c r="D42" s="191"/>
      <c r="E42" s="191"/>
      <c r="F42" s="630"/>
      <c r="H42" s="194"/>
      <c r="I42" s="194"/>
      <c r="J42" s="194"/>
      <c r="K42" s="194"/>
      <c r="M42" s="194"/>
      <c r="N42" s="194"/>
      <c r="O42" s="194"/>
      <c r="P42" s="194"/>
      <c r="Q42" s="194"/>
      <c r="R42" s="194"/>
      <c r="S42" s="194"/>
      <c r="T42" s="191"/>
      <c r="U42" s="191"/>
      <c r="V42" s="194"/>
      <c r="W42" s="194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B68" s="191"/>
      <c r="C68" s="192"/>
      <c r="D68" s="191"/>
      <c r="E68" s="191"/>
      <c r="F68" s="191"/>
      <c r="G68" s="193"/>
      <c r="L68" s="193"/>
      <c r="T68" s="191"/>
      <c r="U68" s="191"/>
    </row>
  </sheetData>
  <mergeCells>
    <mergeCell ref="A12:F12"/>
  </mergeCells>
  <printOptions horizontalCentered="1"/>
  <pageMargins left="0" right="0" top="0.75" bottom="0.75" header="0.3" footer="0.3"/>
  <pageSetup paperSize="9" scale="69" orientation="landscape" horizontalDpi="120" verticalDpi="7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5">
    <tabColor theme="4" tint="-0.499984740745262"/>
  </sheetPr>
  <dimension ref="A1:X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P1" sqref="P1:P1048576"/>
    </sheetView>
  </sheetViews>
  <sheetFormatPr defaultColWidth="9.140625" defaultRowHeight="12"/>
  <cols>
    <col min="1" max="1" width="4.5703125" customWidth="1" style="182"/>
    <col min="2" max="2" width="4.5703125" customWidth="1" style="183"/>
    <col min="3" max="3" width="20.42578125" customWidth="1" style="184"/>
    <col min="4" max="4" width="19.42578125" customWidth="1" style="183"/>
    <col min="5" max="5" hidden="1" width="8.85546875" customWidth="1" style="183"/>
    <col min="6" max="6" hidden="1" width="9" customWidth="1" style="183"/>
    <col min="7" max="7" width="10.5703125" customWidth="1" style="185"/>
    <col min="8" max="11" width="11" customWidth="1" style="182"/>
    <col min="12" max="12" width="11" customWidth="1" style="185"/>
    <col min="13" max="15" width="11" customWidth="1" style="182"/>
    <col min="16" max="16" hidden="1" width="11" customWidth="1" style="182"/>
    <col min="17" max="19" width="11" customWidth="1" style="182"/>
    <col min="20" max="20" width="9.42578125" customWidth="1" style="183"/>
    <col min="21" max="21" width="9.7109375" customWidth="1" style="183"/>
    <col min="22" max="22" width="9.2851562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1333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0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589">
        <v>4416187</v>
      </c>
      <c r="H5" s="504"/>
      <c r="L5" s="190"/>
      <c r="N5" s="519"/>
      <c r="O5" s="519"/>
      <c r="T5" s="189"/>
      <c r="U5" s="187"/>
    </row>
    <row r="6" ht="27.75" customHeight="1" s="179" customFormat="1">
      <c r="A6" s="590" t="s">
        <v>36</v>
      </c>
      <c r="B6" s="591" t="s">
        <v>37</v>
      </c>
      <c r="C6" s="591" t="s">
        <v>38</v>
      </c>
      <c r="D6" s="591" t="s">
        <v>39</v>
      </c>
      <c r="E6" s="591" t="s">
        <v>40</v>
      </c>
      <c r="F6" s="592" t="s">
        <v>41</v>
      </c>
      <c r="G6" s="593" t="s">
        <v>42</v>
      </c>
      <c r="H6" s="594" t="s">
        <v>44</v>
      </c>
      <c r="I6" s="526" t="s">
        <v>45</v>
      </c>
      <c r="J6" s="526" t="s">
        <v>46</v>
      </c>
      <c r="K6" s="602" t="s">
        <v>47</v>
      </c>
      <c r="L6" s="602" t="s">
        <v>48</v>
      </c>
      <c r="M6" s="528" t="s">
        <v>49</v>
      </c>
      <c r="N6" s="529" t="s">
        <v>50</v>
      </c>
      <c r="O6" s="529" t="s">
        <v>52</v>
      </c>
      <c r="P6" s="529" t="s">
        <v>1284</v>
      </c>
      <c r="Q6" s="608" t="s">
        <v>54</v>
      </c>
      <c r="R6" s="609" t="s">
        <v>55</v>
      </c>
      <c r="S6" s="609" t="s">
        <v>56</v>
      </c>
      <c r="T6" s="609" t="s">
        <v>57</v>
      </c>
      <c r="U6" s="610" t="s">
        <v>58</v>
      </c>
    </row>
    <row r="7" ht="18" customHeight="1" s="178" customFormat="1">
      <c r="A7" s="595" t="s">
        <v>64</v>
      </c>
      <c r="B7" s="1218" t="s">
        <v>1334</v>
      </c>
      <c r="C7" s="1219" t="s">
        <v>1335</v>
      </c>
      <c r="D7" s="597" t="s">
        <v>1336</v>
      </c>
      <c r="E7" s="597" t="s">
        <v>732</v>
      </c>
      <c r="F7" s="380" t="s">
        <v>614</v>
      </c>
      <c r="G7" s="598">
        <f>4416187</f>
        <v>4416187</v>
      </c>
      <c r="H7" s="599">
        <f>+$G$5*4.89%</f>
        <v>215951.5443</v>
      </c>
      <c r="I7" s="599">
        <f>+$G$5*4%</f>
        <v>176647.48</v>
      </c>
      <c r="J7" s="599">
        <f>+$G$5*2%</f>
        <v>88323.74</v>
      </c>
      <c r="K7" s="599">
        <v>1667</v>
      </c>
      <c r="L7" s="603">
        <f>SUM(G7:K7)</f>
        <v>4898776.7643</v>
      </c>
      <c r="M7" s="603">
        <f>+L7*8%</f>
        <v>391902.141144</v>
      </c>
      <c r="N7" s="604">
        <v>1000000</v>
      </c>
      <c r="O7" s="604">
        <f>26*10000</f>
        <v>260000</v>
      </c>
      <c r="P7" s="605"/>
      <c r="Q7" s="611">
        <f>SUM(L7:P7)</f>
        <v>6550678.905444</v>
      </c>
      <c r="R7" s="611">
        <f>M7*0.1</f>
        <v>39190.2141144</v>
      </c>
      <c r="S7" s="612">
        <f>Q7+R7</f>
        <v>6589869.1195584</v>
      </c>
      <c r="T7" s="613">
        <v>44348</v>
      </c>
      <c r="U7" s="614">
        <v>44439</v>
      </c>
      <c r="V7" s="194"/>
      <c r="W7" s="345"/>
      <c r="X7" s="345"/>
    </row>
    <row r="8" ht="18" customHeight="1" s="178" customFormat="1">
      <c r="A8" s="202" t="s">
        <v>59</v>
      </c>
      <c r="B8" s="380" t="s">
        <v>1337</v>
      </c>
      <c r="C8" s="600" t="s">
        <v>760</v>
      </c>
      <c r="D8" s="478" t="s">
        <v>1161</v>
      </c>
      <c r="E8" s="205" t="s">
        <v>732</v>
      </c>
      <c r="F8" s="380" t="s">
        <v>614</v>
      </c>
      <c r="G8" s="601">
        <f>4416187</f>
        <v>4416187</v>
      </c>
      <c r="H8" s="224">
        <f>+'HALIM '!$G$5*4.89%</f>
        <v>215951.5443</v>
      </c>
      <c r="I8" s="224">
        <f>+'HALIM '!$G$5*4%</f>
        <v>176647.48</v>
      </c>
      <c r="J8" s="224">
        <f>+'HALIM '!$G$5*2%</f>
        <v>88323.74</v>
      </c>
      <c r="K8" s="224">
        <v>1667</v>
      </c>
      <c r="L8" s="304">
        <f>SUM(G8:K8)</f>
        <v>4898776.7643</v>
      </c>
      <c r="M8" s="304">
        <f>+L8*8%</f>
        <v>391902.141144</v>
      </c>
      <c r="N8" s="394">
        <v>1000000</v>
      </c>
      <c r="O8" s="394">
        <f>26*12000</f>
        <v>312000</v>
      </c>
      <c r="P8" s="606"/>
      <c r="Q8" s="309">
        <f>SUM(L8:P8)</f>
        <v>6602678.905444</v>
      </c>
      <c r="R8" s="309">
        <f>M8*0.1</f>
        <v>39190.2141144</v>
      </c>
      <c r="S8" s="310">
        <f>Q8+R8</f>
        <v>6641869.1195584</v>
      </c>
      <c r="T8" s="615">
        <v>44348</v>
      </c>
      <c r="U8" s="416">
        <v>44439</v>
      </c>
      <c r="V8" s="231"/>
      <c r="W8" s="345"/>
      <c r="X8" s="345"/>
    </row>
    <row r="9" ht="18" customHeight="1" s="178" customFormat="1">
      <c r="A9" s="202" t="s">
        <v>59</v>
      </c>
      <c r="B9" s="380" t="s">
        <v>993</v>
      </c>
      <c r="C9" s="600" t="s">
        <v>994</v>
      </c>
      <c r="D9" s="478" t="s">
        <v>1161</v>
      </c>
      <c r="E9" s="205" t="s">
        <v>732</v>
      </c>
      <c r="F9" s="380" t="s">
        <v>614</v>
      </c>
      <c r="G9" s="601">
        <f>4416187</f>
        <v>4416187</v>
      </c>
      <c r="H9" s="224">
        <f>+'HALIM '!$G$5*4.89%</f>
        <v>215951.5443</v>
      </c>
      <c r="I9" s="224">
        <f>+'HALIM '!$G$5*4%</f>
        <v>176647.48</v>
      </c>
      <c r="J9" s="224">
        <f>+'HALIM '!$G$5*2%</f>
        <v>88323.74</v>
      </c>
      <c r="K9" s="224">
        <v>1667</v>
      </c>
      <c r="L9" s="304">
        <f>SUM(G9:K9)</f>
        <v>4898776.7643</v>
      </c>
      <c r="M9" s="304">
        <f>+L9*8%</f>
        <v>391902.141144</v>
      </c>
      <c r="N9" s="394">
        <v>1000000</v>
      </c>
      <c r="O9" s="394">
        <f>25*12000</f>
        <v>300000</v>
      </c>
      <c r="P9" s="606"/>
      <c r="Q9" s="309">
        <f>SUM(L9:P9)</f>
        <v>6590678.905444</v>
      </c>
      <c r="R9" s="309">
        <f>M9*0.1</f>
        <v>39190.2141144</v>
      </c>
      <c r="S9" s="310">
        <f>Q9+R9</f>
        <v>6629869.1195584</v>
      </c>
      <c r="T9" s="615">
        <v>44348</v>
      </c>
      <c r="U9" s="416">
        <v>44439</v>
      </c>
      <c r="V9" s="231"/>
      <c r="W9" s="345"/>
      <c r="X9" s="345"/>
    </row>
    <row r="10" ht="18" customHeight="1" s="1036" customFormat="1">
      <c r="A10" s="1026" t="s">
        <v>64</v>
      </c>
      <c r="B10" s="1176" t="s">
        <v>1338</v>
      </c>
      <c r="C10" s="1220" t="s">
        <v>1339</v>
      </c>
      <c r="D10" s="1027" t="s">
        <v>1161</v>
      </c>
      <c r="E10" s="1028" t="s">
        <v>732</v>
      </c>
      <c r="F10" s="992" t="s">
        <v>614</v>
      </c>
      <c r="G10" s="1029"/>
      <c r="H10" s="997"/>
      <c r="I10" s="997"/>
      <c r="J10" s="997"/>
      <c r="K10" s="997"/>
      <c r="L10" s="999">
        <f>SUM(G10:K10)</f>
        <v>0</v>
      </c>
      <c r="M10" s="999">
        <f>+L10*8%</f>
        <v>0</v>
      </c>
      <c r="N10" s="999">
        <v>1000000</v>
      </c>
      <c r="O10" s="999">
        <f>26*12000</f>
        <v>312000</v>
      </c>
      <c r="P10" s="1030"/>
      <c r="Q10" s="1003">
        <f>SUM(L10:P10)</f>
        <v>1312000</v>
      </c>
      <c r="R10" s="1003">
        <f>M10*0.1</f>
        <v>0</v>
      </c>
      <c r="S10" s="1031">
        <f>Q10+R10</f>
        <v>1312000</v>
      </c>
      <c r="T10" s="1032">
        <v>44348</v>
      </c>
      <c r="U10" s="1033">
        <v>44439</v>
      </c>
      <c r="V10" s="1034" t="s">
        <v>1340</v>
      </c>
      <c r="W10" s="1035"/>
      <c r="X10" s="1035"/>
    </row>
    <row r="11" ht="18" customHeight="1" s="178" customFormat="1">
      <c r="A11" s="202" t="s">
        <v>59</v>
      </c>
      <c r="B11" s="380" t="s">
        <v>1341</v>
      </c>
      <c r="C11" s="600" t="s">
        <v>1342</v>
      </c>
      <c r="D11" s="478" t="s">
        <v>1161</v>
      </c>
      <c r="E11" s="205" t="s">
        <v>732</v>
      </c>
      <c r="F11" s="380" t="s">
        <v>614</v>
      </c>
      <c r="G11" s="601">
        <f>4416187</f>
        <v>4416187</v>
      </c>
      <c r="H11" s="224">
        <f>+'HALIM '!$G$5*4.89%</f>
        <v>215951.5443</v>
      </c>
      <c r="I11" s="224">
        <f>+'HALIM '!$G$5*4%</f>
        <v>176647.48</v>
      </c>
      <c r="J11" s="224">
        <f>+'HALIM '!$G$5*2%</f>
        <v>88323.74</v>
      </c>
      <c r="K11" s="224">
        <v>1667</v>
      </c>
      <c r="L11" s="304">
        <f>SUM(G11:K11)</f>
        <v>4898776.7643</v>
      </c>
      <c r="M11" s="304">
        <f>+L11*8%</f>
        <v>391902.141144</v>
      </c>
      <c r="N11" s="394">
        <v>1000000</v>
      </c>
      <c r="O11" s="394">
        <f>27*12000</f>
        <v>324000</v>
      </c>
      <c r="P11" s="607"/>
      <c r="Q11" s="309">
        <f>SUM(L11:P11)</f>
        <v>6614678.905444</v>
      </c>
      <c r="R11" s="309">
        <f>M11*0.1</f>
        <v>39190.2141144</v>
      </c>
      <c r="S11" s="310">
        <f>Q11+R11</f>
        <v>6653869.1195584</v>
      </c>
      <c r="T11" s="615">
        <v>44378</v>
      </c>
      <c r="U11" s="416">
        <v>44469</v>
      </c>
      <c r="V11" s="231"/>
      <c r="W11" s="345"/>
      <c r="X11" s="345"/>
    </row>
    <row r="12" ht="18" customHeight="1" s="180" customFormat="1">
      <c r="A12" s="1095" t="s">
        <v>87</v>
      </c>
      <c r="B12" s="1221"/>
      <c r="C12" s="1096"/>
      <c r="D12" s="1096"/>
      <c r="E12" s="1096"/>
      <c r="F12" s="1096"/>
      <c r="G12" s="356">
        <f>SUM(G7:G11)</f>
        <v>17664748</v>
      </c>
      <c r="H12" s="356">
        <f ref="H12:R12" t="shared" si="1">SUM(H7:H11)</f>
        <v>863806.1772</v>
      </c>
      <c r="I12" s="356">
        <f t="shared" si="1"/>
        <v>706589.92</v>
      </c>
      <c r="J12" s="356">
        <f t="shared" si="1"/>
        <v>353294.96</v>
      </c>
      <c r="K12" s="356">
        <f t="shared" si="1"/>
        <v>6668</v>
      </c>
      <c r="L12" s="356">
        <f t="shared" si="1"/>
        <v>19595107.0572</v>
      </c>
      <c r="M12" s="356">
        <f t="shared" si="1"/>
        <v>1567608.564576</v>
      </c>
      <c r="N12" s="356">
        <f t="shared" si="1"/>
        <v>5000000</v>
      </c>
      <c r="O12" s="356">
        <f t="shared" si="1"/>
        <v>1508000</v>
      </c>
      <c r="P12" s="356">
        <f t="shared" si="1"/>
        <v>0</v>
      </c>
      <c r="Q12" s="616">
        <f t="shared" si="1"/>
        <v>27670715.621776</v>
      </c>
      <c r="R12" s="356">
        <f t="shared" si="1"/>
        <v>156760.8564576</v>
      </c>
      <c r="S12" s="616">
        <f>SUM(S7:S11)</f>
        <v>27827476.4782336</v>
      </c>
      <c r="T12" s="368"/>
      <c r="U12" s="369"/>
    </row>
    <row r="13" s="181" customFormat="1">
      <c r="A13" s="181" t="s">
        <v>87</v>
      </c>
      <c r="B13" s="1191"/>
      <c r="C13" s="188"/>
      <c r="D13" s="189"/>
      <c r="E13" s="189"/>
      <c r="F13" s="189"/>
      <c r="G13" s="190"/>
      <c r="L13" s="190"/>
      <c r="T13" s="189"/>
      <c r="U13" s="189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</row>
    <row r="16" s="178" customFormat="1">
      <c r="A16" s="178" t="s">
        <v>87</v>
      </c>
      <c r="B16" s="1178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1"/>
      <c r="Q16" s="231"/>
      <c r="R16" s="230"/>
      <c r="S16" s="229"/>
      <c r="T16" s="242"/>
      <c r="U16" s="242"/>
    </row>
    <row r="17" s="178" customFormat="1">
      <c r="A17" s="213" t="s">
        <v>87</v>
      </c>
      <c r="B17" s="1178"/>
      <c r="C17" s="189"/>
      <c r="D17" s="189"/>
      <c r="E17" s="189"/>
      <c r="F17" s="189"/>
      <c r="G17" s="190"/>
      <c r="M17" s="229"/>
      <c r="N17" s="229"/>
      <c r="O17" s="229"/>
      <c r="P17" s="229"/>
      <c r="R17" s="230"/>
      <c r="S17" s="229"/>
      <c r="T17" s="242"/>
      <c r="U17" s="242"/>
    </row>
    <row r="18" s="178" customFormat="1">
      <c r="A18" s="178" t="s">
        <v>87</v>
      </c>
      <c r="B18" s="1178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  <c r="P18" s="181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544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0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1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T22" s="242"/>
      <c r="U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189"/>
      <c r="R23" s="189"/>
      <c r="T23" s="242"/>
      <c r="U23" s="243"/>
    </row>
    <row r="24" s="178" customFormat="1">
      <c r="A24" s="181" t="s">
        <v>87</v>
      </c>
      <c r="B24" s="1178"/>
      <c r="C24" s="189"/>
      <c r="D24" s="189"/>
      <c r="F24" s="189"/>
      <c r="G24" s="190"/>
      <c r="H24" s="190"/>
      <c r="K24" s="229"/>
      <c r="Q24" s="189"/>
      <c r="S24" s="181"/>
      <c r="T24" s="242"/>
      <c r="U24" s="243"/>
    </row>
    <row r="25" s="181" customFormat="1">
      <c r="A25" s="181" t="s">
        <v>87</v>
      </c>
      <c r="B25" s="1190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O25" s="214"/>
      <c r="Q25" s="213" t="s">
        <v>238</v>
      </c>
      <c r="T25" s="188"/>
      <c r="U25" s="243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T29" s="189"/>
      <c r="U29" s="189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1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 s="181" customFormat="1">
      <c r="A36" s="181" t="s">
        <v>87</v>
      </c>
      <c r="B36" s="1191"/>
      <c r="F36" s="215"/>
    </row>
    <row r="37" s="181" customFormat="1">
      <c r="A37" s="181" t="s">
        <v>87</v>
      </c>
      <c r="B37" s="1191"/>
      <c r="F37" s="215"/>
    </row>
    <row r="38" s="181" customFormat="1">
      <c r="A38" s="181" t="s">
        <v>87</v>
      </c>
      <c r="B38" s="1191"/>
      <c r="F38" s="215"/>
    </row>
    <row r="39" s="181" customFormat="1">
      <c r="A39" s="181" t="s">
        <v>87</v>
      </c>
      <c r="B39" s="1191"/>
      <c r="F39" s="215"/>
    </row>
    <row r="40" s="181" customFormat="1">
      <c r="A40" s="181" t="s">
        <v>87</v>
      </c>
      <c r="B40" s="1191"/>
      <c r="F40" s="215"/>
    </row>
    <row r="41" s="181" customFormat="1">
      <c r="B41" s="189"/>
      <c r="F41" s="215"/>
    </row>
  </sheetData>
  <mergeCells>
    <mergeCell ref="A12:F12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7">
    <tabColor theme="4" tint="-0.499984740745262"/>
  </sheetPr>
  <dimension ref="A1:X53"/>
  <sheetViews>
    <sheetView zoomScale="85" zoomScaleNormal="85" workbookViewId="0">
      <pane xSplit="7" ySplit="12" topLeftCell="H13" activePane="bottomRight" state="frozen"/>
      <selection pane="topRight"/>
      <selection pane="bottomLeft"/>
      <selection pane="bottomRight" activeCell="O7" sqref="O7"/>
    </sheetView>
  </sheetViews>
  <sheetFormatPr defaultColWidth="9.140625" defaultRowHeight="12"/>
  <cols>
    <col min="1" max="1" width="4.42578125" customWidth="1" style="182"/>
    <col min="2" max="2" width="4.42578125" customWidth="1" style="183"/>
    <col min="3" max="3" width="21" customWidth="1" style="184"/>
    <col min="4" max="4" width="11.7109375" customWidth="1" style="183"/>
    <col min="5" max="5" hidden="1" width="10.7109375" customWidth="1" style="183"/>
    <col min="6" max="6" hidden="1" width="10.42578125" customWidth="1" style="183"/>
    <col min="7" max="7" width="10.8554687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1.7109375" customWidth="1" style="185"/>
    <col min="13" max="13" width="12.28515625" customWidth="1" style="182"/>
    <col min="14" max="14" width="11.7109375" customWidth="1" style="182"/>
    <col min="15" max="15" width="11.140625" customWidth="1" style="182"/>
    <col min="16" max="16" hidden="1" width="16.140625" customWidth="1" style="182"/>
    <col min="17" max="17" width="10.5703125" customWidth="1" style="182"/>
    <col min="18" max="18" width="8.28515625" customWidth="1" style="182"/>
    <col min="19" max="19" bestFit="1" width="13.7109375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71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5"/>
      <c r="X1" s="345"/>
    </row>
    <row r="2" ht="12.75" s="178" customFormat="1">
      <c r="A2" s="186" t="s">
        <v>1320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5"/>
      <c r="X3" s="345"/>
    </row>
    <row r="4" s="178" customFormat="1">
      <c r="A4" s="195"/>
      <c r="B4" s="187"/>
      <c r="C4" s="188"/>
      <c r="D4" s="189"/>
      <c r="E4" s="189"/>
      <c r="F4" s="189"/>
      <c r="G4" s="546">
        <v>3255403</v>
      </c>
      <c r="H4" s="504"/>
      <c r="L4" s="190"/>
      <c r="N4" s="519" t="s">
        <v>712</v>
      </c>
      <c r="T4" s="189"/>
      <c r="U4" s="187"/>
      <c r="W4" s="345"/>
      <c r="X4" s="345"/>
    </row>
    <row r="5" s="178" customFormat="1">
      <c r="A5" s="195"/>
      <c r="B5" s="187"/>
      <c r="C5" s="188"/>
      <c r="D5" s="189"/>
      <c r="E5" s="189"/>
      <c r="F5" s="189"/>
      <c r="G5" s="546"/>
      <c r="H5" s="504"/>
      <c r="L5" s="190"/>
      <c r="N5" s="519"/>
      <c r="T5" s="189"/>
      <c r="U5" s="187"/>
      <c r="W5" s="345"/>
      <c r="X5" s="345"/>
    </row>
    <row r="6" ht="29.2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1284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  <c r="W6" s="402"/>
      <c r="X6" s="402"/>
    </row>
    <row r="7" ht="18" customHeight="1" s="187" customFormat="1">
      <c r="A7" s="595" t="s">
        <v>59</v>
      </c>
      <c r="B7" s="1037" t="s">
        <v>1321</v>
      </c>
      <c r="C7" s="1038" t="s">
        <v>1322</v>
      </c>
      <c r="D7" s="597" t="s">
        <v>69</v>
      </c>
      <c r="E7" s="597" t="s">
        <v>920</v>
      </c>
      <c r="F7" s="597" t="s">
        <v>614</v>
      </c>
      <c r="G7" s="1039">
        <v>3255403</v>
      </c>
      <c r="H7" s="1040">
        <f>+$G$4*4.89%</f>
        <v>159189.2067</v>
      </c>
      <c r="I7" s="1040">
        <f>+$G$4*4%</f>
        <v>130216.12</v>
      </c>
      <c r="J7" s="1040">
        <f>+$G$4*2%</f>
        <v>65108.06</v>
      </c>
      <c r="K7" s="1040">
        <v>1667</v>
      </c>
      <c r="L7" s="1041">
        <f>SUM(G7:K7)</f>
        <v>3611583.3867</v>
      </c>
      <c r="M7" s="1041">
        <f>+L7*8%</f>
        <v>288926.670936</v>
      </c>
      <c r="N7" s="1042">
        <f>1000000/31*26</f>
        <v>838709.677419355</v>
      </c>
      <c r="O7" s="603">
        <f>24*12000</f>
        <v>288000</v>
      </c>
      <c r="P7" s="1041"/>
      <c r="Q7" s="1043">
        <f>SUM(L7:P7)</f>
        <v>5027219.73505536</v>
      </c>
      <c r="R7" s="1043">
        <f>M7*0.1</f>
        <v>28892.6670936</v>
      </c>
      <c r="S7" s="1044">
        <f>Q7+R7</f>
        <v>5056112.40214896</v>
      </c>
      <c r="T7" s="613">
        <v>44382</v>
      </c>
      <c r="U7" s="614">
        <v>44469</v>
      </c>
      <c r="V7" s="541"/>
      <c r="W7" s="542"/>
      <c r="X7" s="542"/>
    </row>
    <row r="8" ht="18" customHeight="1" s="180" customFormat="1">
      <c r="A8" s="1097" t="s">
        <v>87</v>
      </c>
      <c r="B8" s="1222"/>
      <c r="C8" s="1098"/>
      <c r="D8" s="1098"/>
      <c r="E8" s="1098"/>
      <c r="F8" s="1098"/>
      <c r="G8" s="356">
        <f>SUM(G7)</f>
        <v>3255403</v>
      </c>
      <c r="H8" s="356">
        <f ref="H8:S8" t="shared" si="6">SUM(H7)</f>
        <v>159189.2067</v>
      </c>
      <c r="I8" s="356">
        <f t="shared" si="6"/>
        <v>130216.12</v>
      </c>
      <c r="J8" s="356">
        <f t="shared" si="6"/>
        <v>65108.06</v>
      </c>
      <c r="K8" s="356">
        <f t="shared" si="6"/>
        <v>1667</v>
      </c>
      <c r="L8" s="356">
        <f t="shared" si="6"/>
        <v>3611583.3867</v>
      </c>
      <c r="M8" s="356">
        <f t="shared" si="6"/>
        <v>288926.670936</v>
      </c>
      <c r="N8" s="356">
        <f t="shared" si="6"/>
        <v>838709.677419355</v>
      </c>
      <c r="O8" s="356">
        <f t="shared" si="6"/>
        <v>288000</v>
      </c>
      <c r="P8" s="356">
        <f t="shared" si="6"/>
        <v>0</v>
      </c>
      <c r="Q8" s="356">
        <f t="shared" si="6"/>
        <v>5027219.73505536</v>
      </c>
      <c r="R8" s="356">
        <f t="shared" si="6"/>
        <v>28892.6670936</v>
      </c>
      <c r="S8" s="356">
        <f t="shared" si="6"/>
        <v>5056112.40214896</v>
      </c>
      <c r="T8" s="356"/>
      <c r="U8" s="1045"/>
      <c r="W8" s="408"/>
      <c r="X8" s="408"/>
    </row>
    <row r="9" ht="12.75" s="178" customFormat="1">
      <c r="A9" s="195" t="s">
        <v>87</v>
      </c>
      <c r="B9" s="1178"/>
      <c r="C9" s="188"/>
      <c r="D9" s="189"/>
      <c r="E9" s="189"/>
      <c r="F9" s="189"/>
      <c r="G9" s="546"/>
      <c r="H9" s="504"/>
      <c r="L9" s="190"/>
      <c r="N9" s="519"/>
      <c r="T9" s="189"/>
      <c r="U9" s="187"/>
      <c r="W9" s="345"/>
      <c r="X9" s="345"/>
    </row>
    <row r="10" s="178" customFormat="1">
      <c r="A10" s="195" t="s">
        <v>87</v>
      </c>
      <c r="B10" s="1178"/>
      <c r="C10" s="188"/>
      <c r="D10" s="189"/>
      <c r="E10" s="189"/>
      <c r="F10" s="189"/>
      <c r="G10" s="546"/>
      <c r="H10" s="504"/>
      <c r="L10" s="190"/>
      <c r="N10" s="519"/>
      <c r="T10" s="189"/>
      <c r="U10" s="187"/>
      <c r="W10" s="345"/>
      <c r="X10" s="345"/>
    </row>
    <row r="11" ht="10.5" customHeight="1" s="502" customFormat="1">
      <c r="A11" s="505" t="s">
        <v>87</v>
      </c>
      <c r="B11" s="1223"/>
      <c r="C11" s="505"/>
      <c r="D11" s="505"/>
      <c r="E11" s="505"/>
      <c r="F11" s="506"/>
      <c r="G11" s="507"/>
      <c r="H11" s="508"/>
      <c r="I11" s="520"/>
      <c r="J11" s="520"/>
      <c r="K11" s="521"/>
      <c r="L11" s="521"/>
      <c r="M11" s="522"/>
      <c r="N11" s="523"/>
      <c r="O11" s="524"/>
      <c r="P11" s="522"/>
      <c r="Q11" s="533"/>
      <c r="R11" s="534"/>
      <c r="S11" s="534"/>
      <c r="T11" s="534"/>
      <c r="U11" s="534"/>
      <c r="W11" s="535"/>
      <c r="X11" s="535"/>
    </row>
    <row r="12" ht="29.25" customHeight="1" s="179" customFormat="1">
      <c r="A12" s="509" t="s">
        <v>64</v>
      </c>
      <c r="B12" s="1224" t="s">
        <v>37</v>
      </c>
      <c r="C12" s="1224" t="s">
        <v>38</v>
      </c>
      <c r="D12" s="510" t="s">
        <v>39</v>
      </c>
      <c r="E12" s="510" t="s">
        <v>40</v>
      </c>
      <c r="F12" s="511" t="s">
        <v>41</v>
      </c>
      <c r="G12" s="512" t="s">
        <v>42</v>
      </c>
      <c r="H12" s="513" t="s">
        <v>44</v>
      </c>
      <c r="I12" s="525" t="s">
        <v>45</v>
      </c>
      <c r="J12" s="526" t="s">
        <v>46</v>
      </c>
      <c r="K12" s="527" t="s">
        <v>47</v>
      </c>
      <c r="L12" s="527" t="s">
        <v>48</v>
      </c>
      <c r="M12" s="528" t="s">
        <v>49</v>
      </c>
      <c r="N12" s="529" t="s">
        <v>50</v>
      </c>
      <c r="O12" s="530" t="s">
        <v>52</v>
      </c>
      <c r="P12" s="528" t="s">
        <v>1284</v>
      </c>
      <c r="Q12" s="536" t="s">
        <v>54</v>
      </c>
      <c r="R12" s="537" t="s">
        <v>55</v>
      </c>
      <c r="S12" s="537" t="s">
        <v>56</v>
      </c>
      <c r="T12" s="537" t="s">
        <v>57</v>
      </c>
      <c r="U12" s="538" t="s">
        <v>58</v>
      </c>
      <c r="W12" s="402"/>
      <c r="X12" s="402"/>
    </row>
    <row r="13" ht="18" customHeight="1" s="211" customFormat="1">
      <c r="A13" s="557" t="s">
        <v>59</v>
      </c>
      <c r="B13" s="558" t="s">
        <v>1323</v>
      </c>
      <c r="C13" s="559" t="s">
        <v>734</v>
      </c>
      <c r="D13" s="473" t="s">
        <v>84</v>
      </c>
      <c r="E13" s="560" t="s">
        <v>920</v>
      </c>
      <c r="F13" s="474" t="s">
        <v>614</v>
      </c>
      <c r="G13" s="517">
        <f ref="G13:G22" t="shared" si="7">3255403</f>
        <v>3255403</v>
      </c>
      <c r="H13" s="518">
        <f ref="H13:H22" t="shared" si="8">+$G$4*4.89%</f>
        <v>159189.2067</v>
      </c>
      <c r="I13" s="531">
        <f ref="I13:I22" t="shared" si="9">+$G$4*4%</f>
        <v>130216.12</v>
      </c>
      <c r="J13" s="531">
        <f ref="J13:J22" t="shared" si="10">+$G$4*2%</f>
        <v>65108.06</v>
      </c>
      <c r="K13" s="531">
        <v>15000</v>
      </c>
      <c r="L13" s="532">
        <f ref="L13:L22" t="shared" si="11">SUM(G13:K13)</f>
        <v>3624916.3867</v>
      </c>
      <c r="M13" s="532">
        <f ref="M13:M22" t="shared" si="12">+L13*8%</f>
        <v>289993.310936</v>
      </c>
      <c r="N13" s="532">
        <v>890000</v>
      </c>
      <c r="O13" s="571"/>
      <c r="P13" s="571"/>
      <c r="Q13" s="575">
        <f ref="Q13:Q22" t="shared" si="13">SUM(L13:P13)</f>
        <v>4804909.697636</v>
      </c>
      <c r="R13" s="575">
        <f ref="R13:R22" t="shared" si="14">M13*0.1</f>
        <v>28999.3310936</v>
      </c>
      <c r="S13" s="576">
        <f ref="S13:S22" t="shared" si="15">Q13+R13</f>
        <v>4833909.0287296</v>
      </c>
      <c r="T13" s="577">
        <v>44378</v>
      </c>
      <c r="U13" s="578">
        <v>44469</v>
      </c>
      <c r="V13" s="579"/>
      <c r="W13" s="580"/>
      <c r="X13" s="580"/>
    </row>
    <row r="14" ht="18" customHeight="1" s="211" customFormat="1">
      <c r="A14" s="557" t="s">
        <v>59</v>
      </c>
      <c r="B14" s="558" t="s">
        <v>1324</v>
      </c>
      <c r="C14" s="559" t="s">
        <v>919</v>
      </c>
      <c r="D14" s="473" t="s">
        <v>84</v>
      </c>
      <c r="E14" s="560" t="s">
        <v>920</v>
      </c>
      <c r="F14" s="474" t="s">
        <v>614</v>
      </c>
      <c r="G14" s="517">
        <f t="shared" si="7"/>
        <v>3255403</v>
      </c>
      <c r="H14" s="518">
        <f t="shared" si="8"/>
        <v>159189.2067</v>
      </c>
      <c r="I14" s="531">
        <f t="shared" si="9"/>
        <v>130216.12</v>
      </c>
      <c r="J14" s="531">
        <f t="shared" si="10"/>
        <v>65108.06</v>
      </c>
      <c r="K14" s="531">
        <v>15000</v>
      </c>
      <c r="L14" s="532">
        <f t="shared" si="11"/>
        <v>3624916.3867</v>
      </c>
      <c r="M14" s="532">
        <f t="shared" si="12"/>
        <v>289993.310936</v>
      </c>
      <c r="N14" s="532">
        <v>965000</v>
      </c>
      <c r="O14" s="571"/>
      <c r="P14" s="571"/>
      <c r="Q14" s="575">
        <f t="shared" si="13"/>
        <v>4879909.697636</v>
      </c>
      <c r="R14" s="575">
        <f t="shared" si="14"/>
        <v>28999.3310936</v>
      </c>
      <c r="S14" s="576">
        <f t="shared" si="15"/>
        <v>4908909.0287296</v>
      </c>
      <c r="T14" s="577">
        <v>44348</v>
      </c>
      <c r="U14" s="578">
        <v>44439</v>
      </c>
      <c r="V14" s="579"/>
      <c r="W14" s="580"/>
      <c r="X14" s="580"/>
    </row>
    <row r="15" ht="16.5" customHeight="1" s="187" customFormat="1">
      <c r="A15" s="514" t="s">
        <v>59</v>
      </c>
      <c r="B15" s="515" t="s">
        <v>995</v>
      </c>
      <c r="C15" s="516" t="s">
        <v>996</v>
      </c>
      <c r="D15" s="335" t="s">
        <v>84</v>
      </c>
      <c r="E15" s="335" t="s">
        <v>920</v>
      </c>
      <c r="F15" s="435" t="s">
        <v>614</v>
      </c>
      <c r="G15" s="517">
        <f t="shared" si="7"/>
        <v>3255403</v>
      </c>
      <c r="H15" s="518">
        <f t="shared" si="8"/>
        <v>159189.2067</v>
      </c>
      <c r="I15" s="531">
        <f t="shared" si="9"/>
        <v>130216.12</v>
      </c>
      <c r="J15" s="531">
        <f t="shared" si="10"/>
        <v>65108.06</v>
      </c>
      <c r="K15" s="531">
        <v>15000</v>
      </c>
      <c r="L15" s="532">
        <f t="shared" si="11"/>
        <v>3624916.3867</v>
      </c>
      <c r="M15" s="532">
        <f t="shared" si="12"/>
        <v>289993.310936</v>
      </c>
      <c r="N15" s="532">
        <v>930000</v>
      </c>
      <c r="O15" s="532"/>
      <c r="P15" s="532"/>
      <c r="Q15" s="539">
        <f t="shared" si="13"/>
        <v>4844909.697636</v>
      </c>
      <c r="R15" s="539">
        <f t="shared" si="14"/>
        <v>28999.3310936</v>
      </c>
      <c r="S15" s="540">
        <f t="shared" si="15"/>
        <v>4873909.0287296</v>
      </c>
      <c r="T15" s="238">
        <v>44348</v>
      </c>
      <c r="U15" s="239">
        <v>44439</v>
      </c>
      <c r="V15" s="541"/>
      <c r="W15" s="580"/>
      <c r="X15" s="580"/>
    </row>
    <row r="16" ht="18" customHeight="1" s="187" customFormat="1">
      <c r="A16" s="514" t="s">
        <v>59</v>
      </c>
      <c r="B16" s="515" t="s">
        <v>997</v>
      </c>
      <c r="C16" s="516" t="s">
        <v>998</v>
      </c>
      <c r="D16" s="335" t="s">
        <v>84</v>
      </c>
      <c r="E16" s="335" t="s">
        <v>920</v>
      </c>
      <c r="F16" s="435" t="s">
        <v>614</v>
      </c>
      <c r="G16" s="517">
        <f t="shared" si="7"/>
        <v>3255403</v>
      </c>
      <c r="H16" s="518">
        <f t="shared" si="8"/>
        <v>159189.2067</v>
      </c>
      <c r="I16" s="531">
        <f t="shared" si="9"/>
        <v>130216.12</v>
      </c>
      <c r="J16" s="531">
        <f t="shared" si="10"/>
        <v>65108.06</v>
      </c>
      <c r="K16" s="531">
        <v>15000</v>
      </c>
      <c r="L16" s="532">
        <f t="shared" si="11"/>
        <v>3624916.3867</v>
      </c>
      <c r="M16" s="532">
        <f t="shared" si="12"/>
        <v>289993.310936</v>
      </c>
      <c r="N16" s="532">
        <v>790000</v>
      </c>
      <c r="O16" s="532"/>
      <c r="P16" s="532"/>
      <c r="Q16" s="539">
        <f t="shared" si="13"/>
        <v>4704909.697636</v>
      </c>
      <c r="R16" s="539">
        <f t="shared" si="14"/>
        <v>28999.3310936</v>
      </c>
      <c r="S16" s="540">
        <f t="shared" si="15"/>
        <v>4733909.0287296</v>
      </c>
      <c r="T16" s="238">
        <v>44348</v>
      </c>
      <c r="U16" s="239">
        <v>44439</v>
      </c>
      <c r="V16" s="541"/>
      <c r="W16" s="580"/>
      <c r="X16" s="580"/>
    </row>
    <row r="17" ht="18" customHeight="1" s="187" customFormat="1">
      <c r="A17" s="561" t="s">
        <v>59</v>
      </c>
      <c r="B17" s="562" t="s">
        <v>999</v>
      </c>
      <c r="C17" s="192" t="s">
        <v>1000</v>
      </c>
      <c r="D17" s="563" t="s">
        <v>84</v>
      </c>
      <c r="E17" s="563" t="s">
        <v>920</v>
      </c>
      <c r="F17" s="564" t="s">
        <v>614</v>
      </c>
      <c r="G17" s="565">
        <f t="shared" si="7"/>
        <v>3255403</v>
      </c>
      <c r="H17" s="566">
        <f t="shared" si="8"/>
        <v>159189.2067</v>
      </c>
      <c r="I17" s="572">
        <f t="shared" si="9"/>
        <v>130216.12</v>
      </c>
      <c r="J17" s="572">
        <f t="shared" si="10"/>
        <v>65108.06</v>
      </c>
      <c r="K17" s="572">
        <v>15000</v>
      </c>
      <c r="L17" s="573">
        <f t="shared" si="11"/>
        <v>3624916.3867</v>
      </c>
      <c r="M17" s="573">
        <f t="shared" si="12"/>
        <v>289993.310936</v>
      </c>
      <c r="N17" s="573">
        <v>930000</v>
      </c>
      <c r="O17" s="573"/>
      <c r="P17" s="573"/>
      <c r="Q17" s="581">
        <f t="shared" si="13"/>
        <v>4844909.697636</v>
      </c>
      <c r="R17" s="581">
        <f t="shared" si="14"/>
        <v>28999.3310936</v>
      </c>
      <c r="S17" s="582">
        <f t="shared" si="15"/>
        <v>4873909.0287296</v>
      </c>
      <c r="T17" s="583">
        <v>44348</v>
      </c>
      <c r="U17" s="584">
        <v>44439</v>
      </c>
      <c r="V17" s="541"/>
      <c r="W17" s="580"/>
      <c r="X17" s="580"/>
    </row>
    <row r="18" ht="18" customHeight="1" s="187" customFormat="1">
      <c r="A18" s="205" t="s">
        <v>59</v>
      </c>
      <c r="B18" s="331">
        <v>2148</v>
      </c>
      <c r="C18" s="567" t="s">
        <v>1325</v>
      </c>
      <c r="D18" s="205" t="s">
        <v>84</v>
      </c>
      <c r="E18" s="205" t="s">
        <v>920</v>
      </c>
      <c r="F18" s="205" t="s">
        <v>614</v>
      </c>
      <c r="G18" s="568">
        <f t="shared" si="7"/>
        <v>3255403</v>
      </c>
      <c r="H18" s="569">
        <f t="shared" si="8"/>
        <v>159189.2067</v>
      </c>
      <c r="I18" s="569">
        <f t="shared" si="9"/>
        <v>130216.12</v>
      </c>
      <c r="J18" s="569">
        <f t="shared" si="10"/>
        <v>65108.06</v>
      </c>
      <c r="K18" s="569">
        <v>15000</v>
      </c>
      <c r="L18" s="574">
        <f t="shared" si="11"/>
        <v>3624916.3867</v>
      </c>
      <c r="M18" s="574">
        <f t="shared" si="12"/>
        <v>289993.310936</v>
      </c>
      <c r="N18" s="574">
        <v>925000</v>
      </c>
      <c r="O18" s="574"/>
      <c r="P18" s="574"/>
      <c r="Q18" s="585">
        <f t="shared" si="13"/>
        <v>4839909.697636</v>
      </c>
      <c r="R18" s="585">
        <f t="shared" si="14"/>
        <v>28999.3310936</v>
      </c>
      <c r="S18" s="586">
        <f t="shared" si="15"/>
        <v>4868909.0287296</v>
      </c>
      <c r="T18" s="311">
        <v>44409</v>
      </c>
      <c r="U18" s="311">
        <v>44500</v>
      </c>
      <c r="V18" s="587"/>
      <c r="W18" s="580"/>
      <c r="X18" s="580"/>
    </row>
    <row r="19" ht="18" customHeight="1" s="187" customFormat="1">
      <c r="A19" s="205" t="s">
        <v>59</v>
      </c>
      <c r="B19" s="331">
        <v>2149</v>
      </c>
      <c r="C19" s="567" t="s">
        <v>1326</v>
      </c>
      <c r="D19" s="205" t="s">
        <v>84</v>
      </c>
      <c r="E19" s="205" t="s">
        <v>920</v>
      </c>
      <c r="F19" s="205" t="s">
        <v>614</v>
      </c>
      <c r="G19" s="568">
        <f t="shared" si="7"/>
        <v>3255403</v>
      </c>
      <c r="H19" s="569">
        <f t="shared" si="8"/>
        <v>159189.2067</v>
      </c>
      <c r="I19" s="569">
        <f t="shared" si="9"/>
        <v>130216.12</v>
      </c>
      <c r="J19" s="569">
        <f t="shared" si="10"/>
        <v>65108.06</v>
      </c>
      <c r="K19" s="569">
        <v>15000</v>
      </c>
      <c r="L19" s="574">
        <f t="shared" si="11"/>
        <v>3624916.3867</v>
      </c>
      <c r="M19" s="574">
        <f t="shared" si="12"/>
        <v>289993.310936</v>
      </c>
      <c r="N19" s="574">
        <v>990000</v>
      </c>
      <c r="O19" s="574"/>
      <c r="P19" s="574"/>
      <c r="Q19" s="585">
        <f t="shared" si="13"/>
        <v>4904909.697636</v>
      </c>
      <c r="R19" s="585">
        <f t="shared" si="14"/>
        <v>28999.3310936</v>
      </c>
      <c r="S19" s="586">
        <f t="shared" si="15"/>
        <v>4933909.0287296</v>
      </c>
      <c r="T19" s="311">
        <v>44409</v>
      </c>
      <c r="U19" s="311">
        <v>44500</v>
      </c>
      <c r="V19" s="587"/>
      <c r="W19" s="580"/>
      <c r="X19" s="580"/>
    </row>
    <row r="20" ht="18" customHeight="1" s="187" customFormat="1">
      <c r="A20" s="205" t="s">
        <v>59</v>
      </c>
      <c r="B20" s="331" t="s">
        <v>1327</v>
      </c>
      <c r="C20" s="567" t="s">
        <v>1328</v>
      </c>
      <c r="D20" s="205" t="s">
        <v>84</v>
      </c>
      <c r="E20" s="205" t="s">
        <v>920</v>
      </c>
      <c r="F20" s="205" t="s">
        <v>614</v>
      </c>
      <c r="G20" s="568">
        <f t="shared" si="7"/>
        <v>3255403</v>
      </c>
      <c r="H20" s="569">
        <f t="shared" si="8"/>
        <v>159189.2067</v>
      </c>
      <c r="I20" s="569">
        <f t="shared" si="9"/>
        <v>130216.12</v>
      </c>
      <c r="J20" s="569">
        <f t="shared" si="10"/>
        <v>65108.06</v>
      </c>
      <c r="K20" s="569">
        <v>15000</v>
      </c>
      <c r="L20" s="574">
        <f t="shared" si="11"/>
        <v>3624916.3867</v>
      </c>
      <c r="M20" s="574">
        <f t="shared" si="12"/>
        <v>289993.310936</v>
      </c>
      <c r="N20" s="574">
        <v>940000</v>
      </c>
      <c r="O20" s="574"/>
      <c r="P20" s="574"/>
      <c r="Q20" s="585">
        <f t="shared" si="13"/>
        <v>4854909.697636</v>
      </c>
      <c r="R20" s="585">
        <f t="shared" si="14"/>
        <v>28999.3310936</v>
      </c>
      <c r="S20" s="586">
        <f t="shared" si="15"/>
        <v>4883909.0287296</v>
      </c>
      <c r="T20" s="311">
        <v>44409</v>
      </c>
      <c r="U20" s="311">
        <v>44500</v>
      </c>
      <c r="V20" s="587"/>
      <c r="W20" s="580"/>
      <c r="X20" s="580"/>
    </row>
    <row r="21" ht="18" customHeight="1" s="187" customFormat="1">
      <c r="A21" s="205" t="s">
        <v>64</v>
      </c>
      <c r="B21" s="1225" t="s">
        <v>1329</v>
      </c>
      <c r="C21" s="1226" t="s">
        <v>1330</v>
      </c>
      <c r="D21" s="205" t="s">
        <v>84</v>
      </c>
      <c r="E21" s="205" t="s">
        <v>920</v>
      </c>
      <c r="F21" s="205" t="s">
        <v>614</v>
      </c>
      <c r="G21" s="568">
        <f t="shared" si="7"/>
        <v>3255403</v>
      </c>
      <c r="H21" s="569">
        <f t="shared" si="8"/>
        <v>159189.2067</v>
      </c>
      <c r="I21" s="569">
        <f t="shared" si="9"/>
        <v>130216.12</v>
      </c>
      <c r="J21" s="569">
        <f t="shared" si="10"/>
        <v>65108.06</v>
      </c>
      <c r="K21" s="569">
        <v>15000</v>
      </c>
      <c r="L21" s="574">
        <f t="shared" si="11"/>
        <v>3624916.3867</v>
      </c>
      <c r="M21" s="574">
        <f t="shared" si="12"/>
        <v>289993.310936</v>
      </c>
      <c r="N21" s="574">
        <v>845000</v>
      </c>
      <c r="O21" s="574"/>
      <c r="P21" s="574"/>
      <c r="Q21" s="585">
        <f t="shared" si="13"/>
        <v>4759909.697636</v>
      </c>
      <c r="R21" s="585">
        <f t="shared" si="14"/>
        <v>28999.3310936</v>
      </c>
      <c r="S21" s="586">
        <f t="shared" si="15"/>
        <v>4788909.0287296</v>
      </c>
      <c r="T21" s="311">
        <v>44409</v>
      </c>
      <c r="U21" s="311">
        <v>44500</v>
      </c>
      <c r="V21" s="587"/>
      <c r="W21" s="580"/>
      <c r="X21" s="580"/>
    </row>
    <row r="22" ht="18" customHeight="1" s="187" customFormat="1">
      <c r="A22" s="205" t="s">
        <v>64</v>
      </c>
      <c r="B22" s="1225" t="s">
        <v>1331</v>
      </c>
      <c r="C22" s="1226" t="s">
        <v>1332</v>
      </c>
      <c r="D22" s="205" t="s">
        <v>84</v>
      </c>
      <c r="E22" s="205" t="s">
        <v>920</v>
      </c>
      <c r="F22" s="205" t="s">
        <v>614</v>
      </c>
      <c r="G22" s="568">
        <f t="shared" si="7"/>
        <v>3255403</v>
      </c>
      <c r="H22" s="569">
        <f t="shared" si="8"/>
        <v>159189.2067</v>
      </c>
      <c r="I22" s="569">
        <f t="shared" si="9"/>
        <v>130216.12</v>
      </c>
      <c r="J22" s="569">
        <f t="shared" si="10"/>
        <v>65108.06</v>
      </c>
      <c r="K22" s="569">
        <v>15000</v>
      </c>
      <c r="L22" s="574">
        <f t="shared" si="11"/>
        <v>3624916.3867</v>
      </c>
      <c r="M22" s="574">
        <f t="shared" si="12"/>
        <v>289993.310936</v>
      </c>
      <c r="N22" s="574">
        <v>830000</v>
      </c>
      <c r="O22" s="574"/>
      <c r="P22" s="574"/>
      <c r="Q22" s="585">
        <f t="shared" si="13"/>
        <v>4744909.697636</v>
      </c>
      <c r="R22" s="585">
        <f t="shared" si="14"/>
        <v>28999.3310936</v>
      </c>
      <c r="S22" s="586">
        <f t="shared" si="15"/>
        <v>4773909.0287296</v>
      </c>
      <c r="T22" s="311">
        <v>44409</v>
      </c>
      <c r="U22" s="311">
        <v>44500</v>
      </c>
      <c r="V22" s="587"/>
      <c r="W22" s="580"/>
      <c r="X22" s="580"/>
    </row>
    <row r="23" ht="18" customHeight="1" s="180" customFormat="1">
      <c r="A23" s="1090" t="s">
        <v>87</v>
      </c>
      <c r="B23" s="1213"/>
      <c r="C23" s="1091"/>
      <c r="D23" s="1091"/>
      <c r="E23" s="1091"/>
      <c r="F23" s="1092"/>
      <c r="G23" s="325">
        <f>SUM(G13:G22)</f>
        <v>32554030</v>
      </c>
      <c r="H23" s="325">
        <f ref="H23:R23" t="shared" si="17">SUM(H13:H22)</f>
        <v>1591892.067</v>
      </c>
      <c r="I23" s="325">
        <f t="shared" si="17"/>
        <v>1302161.2</v>
      </c>
      <c r="J23" s="325">
        <f t="shared" si="17"/>
        <v>651080.6</v>
      </c>
      <c r="K23" s="325">
        <f t="shared" si="17"/>
        <v>150000</v>
      </c>
      <c r="L23" s="325">
        <f t="shared" si="17"/>
        <v>36249163.867</v>
      </c>
      <c r="M23" s="325">
        <f t="shared" si="17"/>
        <v>2899933.10936</v>
      </c>
      <c r="N23" s="325">
        <f t="shared" si="17"/>
        <v>9035000</v>
      </c>
      <c r="O23" s="325">
        <f t="shared" si="17"/>
        <v>0</v>
      </c>
      <c r="P23" s="325">
        <f t="shared" si="17"/>
        <v>0</v>
      </c>
      <c r="Q23" s="325">
        <f t="shared" si="17"/>
        <v>48184096.97636</v>
      </c>
      <c r="R23" s="325">
        <f t="shared" si="17"/>
        <v>289993.310936</v>
      </c>
      <c r="S23" s="325">
        <f>SUM(S13:S22)</f>
        <v>48474090.287296</v>
      </c>
      <c r="T23" s="325"/>
      <c r="U23" s="543"/>
      <c r="W23" s="408"/>
      <c r="X23" s="408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T24" s="189"/>
      <c r="U24" s="189"/>
      <c r="W24" s="425"/>
      <c r="X24" s="425"/>
    </row>
    <row r="25" ht="18" customHeight="1" s="180" customFormat="1">
      <c r="A25" s="1099" t="s">
        <v>87</v>
      </c>
      <c r="B25" s="1227"/>
      <c r="C25" s="1100"/>
      <c r="D25" s="1100"/>
      <c r="E25" s="1100"/>
      <c r="F25" s="1101"/>
      <c r="G25" s="570">
        <f>SUM(G8,G23)</f>
        <v>35809433</v>
      </c>
      <c r="H25" s="570">
        <f ref="H25:R25" t="shared" si="18">SUM(H8,H23)</f>
        <v>1751081.2737</v>
      </c>
      <c r="I25" s="570">
        <f t="shared" si="18"/>
        <v>1432377.32</v>
      </c>
      <c r="J25" s="570">
        <f t="shared" si="18"/>
        <v>716188.66</v>
      </c>
      <c r="K25" s="570">
        <f t="shared" si="18"/>
        <v>151667</v>
      </c>
      <c r="L25" s="570">
        <f t="shared" si="18"/>
        <v>39860747.2537</v>
      </c>
      <c r="M25" s="570">
        <f t="shared" si="18"/>
        <v>3188859.780296</v>
      </c>
      <c r="N25" s="570">
        <f t="shared" si="18"/>
        <v>9873709.67741936</v>
      </c>
      <c r="O25" s="570">
        <f t="shared" si="18"/>
        <v>288000</v>
      </c>
      <c r="P25" s="570">
        <f t="shared" si="18"/>
        <v>0</v>
      </c>
      <c r="Q25" s="570">
        <f t="shared" si="18"/>
        <v>53211316.7114154</v>
      </c>
      <c r="R25" s="570">
        <f t="shared" si="18"/>
        <v>318885.9780296</v>
      </c>
      <c r="S25" s="570">
        <f>SUM(S8,S23)</f>
        <v>53530202.689445</v>
      </c>
      <c r="T25" s="570"/>
      <c r="U25" s="588"/>
      <c r="W25" s="408"/>
      <c r="X25" s="408"/>
    </row>
    <row r="26" s="178" customFormat="1">
      <c r="A26" s="213" t="s">
        <v>87</v>
      </c>
      <c r="B26" s="1178"/>
      <c r="C26" s="181"/>
      <c r="D26" s="189"/>
      <c r="E26" s="189"/>
      <c r="F26" s="189"/>
      <c r="G26" s="190"/>
      <c r="M26" s="229"/>
      <c r="N26" s="229"/>
      <c r="O26" s="229"/>
      <c r="P26" s="229"/>
      <c r="R26" s="230"/>
      <c r="S26" s="229"/>
      <c r="T26" s="187"/>
      <c r="U26" s="187"/>
      <c r="W26" s="345"/>
      <c r="X26" s="345"/>
    </row>
    <row r="27" s="178" customFormat="1">
      <c r="A27" s="213" t="s">
        <v>87</v>
      </c>
      <c r="B27" s="1178"/>
      <c r="C27" s="181"/>
      <c r="D27" s="189"/>
      <c r="E27" s="189"/>
      <c r="F27" s="189"/>
      <c r="G27" s="190"/>
      <c r="M27" s="229"/>
      <c r="N27" s="229"/>
      <c r="O27" s="229"/>
      <c r="P27" s="229"/>
      <c r="R27" s="230"/>
      <c r="S27" s="229"/>
      <c r="T27" s="187"/>
      <c r="U27" s="187"/>
      <c r="W27" s="345"/>
      <c r="X27" s="345"/>
    </row>
    <row r="28" s="178" customFormat="1">
      <c r="A28" s="178" t="s">
        <v>87</v>
      </c>
      <c r="B28" s="1178"/>
      <c r="C28" s="214" t="str">
        <f>+'BANJARMASIN '!C102</f>
        <v>Karawang,  16 Agustus 2020</v>
      </c>
      <c r="D28" s="189"/>
      <c r="E28" s="189"/>
      <c r="F28" s="189"/>
      <c r="G28" s="190"/>
      <c r="L28" s="231"/>
      <c r="M28" s="231"/>
      <c r="N28" s="231"/>
      <c r="O28" s="231"/>
      <c r="P28" s="231"/>
      <c r="Q28" s="231"/>
      <c r="R28" s="230"/>
      <c r="S28" s="229"/>
      <c r="T28" s="242"/>
      <c r="U28" s="242"/>
      <c r="W28" s="345"/>
      <c r="X28" s="345"/>
    </row>
    <row r="29" s="178" customFormat="1">
      <c r="A29" s="213" t="s">
        <v>87</v>
      </c>
      <c r="B29" s="1178"/>
      <c r="C29" s="189"/>
      <c r="D29" s="189"/>
      <c r="E29" s="189"/>
      <c r="F29" s="189"/>
      <c r="G29" s="190"/>
      <c r="M29" s="229"/>
      <c r="N29" s="229"/>
      <c r="O29" s="229"/>
      <c r="P29" s="229"/>
      <c r="R29" s="230"/>
      <c r="S29" s="229"/>
      <c r="T29" s="242"/>
      <c r="U29" s="242"/>
      <c r="W29" s="345"/>
      <c r="X29" s="345"/>
    </row>
    <row r="30" s="178" customFormat="1">
      <c r="A30" s="178" t="s">
        <v>87</v>
      </c>
      <c r="B30" s="1178"/>
      <c r="C30" s="189" t="s">
        <v>232</v>
      </c>
      <c r="D30" s="189"/>
      <c r="F30" s="215"/>
      <c r="G30" s="190"/>
      <c r="K30" s="229"/>
      <c r="L30" s="181" t="s">
        <v>233</v>
      </c>
      <c r="M30" s="231"/>
      <c r="N30" s="181"/>
      <c r="O30" s="181"/>
      <c r="P30" s="181"/>
      <c r="Q30" s="544"/>
      <c r="T30" s="242"/>
      <c r="U30" s="242"/>
      <c r="W30" s="345"/>
      <c r="X30" s="345"/>
    </row>
    <row r="31" s="178" customFormat="1">
      <c r="A31" s="178" t="s">
        <v>87</v>
      </c>
      <c r="B31" s="1178"/>
      <c r="C31" s="189"/>
      <c r="D31" s="189"/>
      <c r="F31" s="215"/>
      <c r="G31" s="190"/>
      <c r="H31" s="190"/>
      <c r="K31" s="229"/>
      <c r="Q31" s="544"/>
      <c r="T31" s="242"/>
      <c r="U31" s="242"/>
      <c r="W31" s="345"/>
      <c r="X31" s="345"/>
    </row>
    <row r="32" s="178" customFormat="1">
      <c r="A32" s="178" t="s">
        <v>87</v>
      </c>
      <c r="B32" s="1178"/>
      <c r="C32" s="189"/>
      <c r="D32" s="189"/>
      <c r="F32" s="215"/>
      <c r="G32" s="190"/>
      <c r="H32" s="190"/>
      <c r="K32" s="229"/>
      <c r="M32" s="230"/>
      <c r="Q32" s="189"/>
      <c r="T32" s="242"/>
      <c r="U32" s="242"/>
      <c r="W32" s="345"/>
      <c r="X32" s="345"/>
    </row>
    <row r="33" s="178" customFormat="1">
      <c r="A33" s="178" t="s">
        <v>87</v>
      </c>
      <c r="B33" s="1178"/>
      <c r="C33" s="189"/>
      <c r="D33" s="189"/>
      <c r="F33" s="215"/>
      <c r="G33" s="190"/>
      <c r="H33" s="190"/>
      <c r="K33" s="229"/>
      <c r="M33" s="231"/>
      <c r="Q33" s="189"/>
      <c r="T33" s="242"/>
      <c r="U33" s="242"/>
      <c r="W33" s="345"/>
      <c r="X33" s="345"/>
    </row>
    <row r="34" s="178" customFormat="1">
      <c r="A34" s="178" t="s">
        <v>87</v>
      </c>
      <c r="B34" s="1178"/>
      <c r="C34" s="189"/>
      <c r="D34" s="189"/>
      <c r="F34" s="215"/>
      <c r="G34" s="190"/>
      <c r="H34" s="190"/>
      <c r="K34" s="229"/>
      <c r="Q34" s="189"/>
      <c r="T34" s="242"/>
      <c r="U34" s="242"/>
      <c r="W34" s="345"/>
      <c r="X34" s="345"/>
    </row>
    <row r="35" s="178" customFormat="1">
      <c r="A35" s="178" t="s">
        <v>87</v>
      </c>
      <c r="B35" s="1178"/>
      <c r="C35" s="189"/>
      <c r="D35" s="189"/>
      <c r="F35" s="215"/>
      <c r="G35" s="190"/>
      <c r="H35" s="190"/>
      <c r="K35" s="229"/>
      <c r="Q35" s="189"/>
      <c r="R35" s="189"/>
      <c r="T35" s="242"/>
      <c r="U35" s="243"/>
      <c r="W35" s="345"/>
      <c r="X35" s="345"/>
    </row>
    <row r="36" s="178" customFormat="1">
      <c r="A36" s="181" t="s">
        <v>87</v>
      </c>
      <c r="B36" s="1178"/>
      <c r="C36" s="189"/>
      <c r="D36" s="189"/>
      <c r="F36" s="189"/>
      <c r="G36" s="190"/>
      <c r="H36" s="190"/>
      <c r="K36" s="229"/>
      <c r="Q36" s="189"/>
      <c r="S36" s="181"/>
      <c r="T36" s="242"/>
      <c r="U36" s="243"/>
      <c r="W36" s="345"/>
      <c r="X36" s="345"/>
    </row>
    <row r="37" s="181" customFormat="1">
      <c r="A37" s="181" t="s">
        <v>87</v>
      </c>
      <c r="B37" s="1190"/>
      <c r="C37" s="214" t="s">
        <v>234</v>
      </c>
      <c r="D37" s="189"/>
      <c r="E37" s="189"/>
      <c r="F37" s="214"/>
      <c r="G37" s="190"/>
      <c r="H37" s="190"/>
      <c r="I37" s="232" t="s">
        <v>235</v>
      </c>
      <c r="L37" s="213" t="s">
        <v>236</v>
      </c>
      <c r="N37" s="214" t="s">
        <v>237</v>
      </c>
      <c r="R37" s="213" t="s">
        <v>238</v>
      </c>
      <c r="T37" s="188"/>
      <c r="U37" s="243"/>
      <c r="W37" s="425"/>
      <c r="X37" s="425"/>
    </row>
    <row r="38" s="181" customFormat="1">
      <c r="A38" s="181" t="s">
        <v>87</v>
      </c>
      <c r="B38" s="1191"/>
      <c r="C38" s="188"/>
      <c r="D38" s="189"/>
      <c r="E38" s="189"/>
      <c r="F38" s="189"/>
      <c r="G38" s="190"/>
      <c r="L38" s="190"/>
      <c r="T38" s="189"/>
      <c r="U38" s="189"/>
      <c r="W38" s="425"/>
      <c r="X38" s="425"/>
    </row>
    <row r="39" s="181" customFormat="1">
      <c r="A39" s="181" t="s">
        <v>87</v>
      </c>
      <c r="B39" s="1191"/>
      <c r="C39" s="188"/>
      <c r="D39" s="189"/>
      <c r="E39" s="189"/>
      <c r="F39" s="189"/>
      <c r="G39" s="190"/>
      <c r="L39" s="190"/>
      <c r="T39" s="189"/>
      <c r="U39" s="189"/>
      <c r="W39" s="425"/>
      <c r="X39" s="425"/>
    </row>
    <row r="40" s="181" customFormat="1">
      <c r="A40" s="181" t="s">
        <v>87</v>
      </c>
      <c r="B40" s="1191"/>
      <c r="C40" s="188"/>
      <c r="D40" s="189"/>
      <c r="E40" s="189"/>
      <c r="F40" s="189"/>
      <c r="G40" s="190"/>
      <c r="L40" s="190"/>
      <c r="T40" s="189"/>
      <c r="U40" s="189"/>
      <c r="W40" s="425"/>
      <c r="X40" s="425"/>
    </row>
    <row r="41" s="181" customFormat="1">
      <c r="A41" s="181" t="s">
        <v>87</v>
      </c>
      <c r="B41" s="1191"/>
      <c r="C41" s="188"/>
      <c r="D41" s="189"/>
      <c r="E41" s="189"/>
      <c r="F41" s="189"/>
      <c r="G41" s="190"/>
      <c r="L41" s="190"/>
      <c r="T41" s="189"/>
      <c r="U41" s="189"/>
      <c r="W41" s="425"/>
      <c r="X41" s="425"/>
    </row>
    <row r="42" s="181" customFormat="1">
      <c r="A42" s="181" t="s">
        <v>87</v>
      </c>
      <c r="B42" s="1191"/>
      <c r="C42" s="188"/>
      <c r="D42" s="189"/>
      <c r="E42" s="189"/>
      <c r="F42" s="189"/>
      <c r="G42" s="190"/>
      <c r="L42" s="190"/>
      <c r="T42" s="189"/>
      <c r="U42" s="189"/>
      <c r="W42" s="425"/>
      <c r="X42" s="425"/>
    </row>
    <row r="43" s="181" customFormat="1">
      <c r="A43" s="181" t="s">
        <v>87</v>
      </c>
      <c r="B43" s="1191"/>
      <c r="C43" s="188"/>
      <c r="D43" s="189"/>
      <c r="E43" s="189"/>
      <c r="F43" s="189"/>
      <c r="G43" s="190"/>
      <c r="L43" s="190"/>
      <c r="T43" s="189"/>
      <c r="U43" s="189"/>
      <c r="W43" s="425"/>
      <c r="X43" s="425"/>
    </row>
    <row r="44" s="181" customFormat="1">
      <c r="A44" s="181" t="s">
        <v>87</v>
      </c>
      <c r="B44" s="1191"/>
      <c r="F44" s="215"/>
      <c r="W44" s="425"/>
      <c r="X44" s="425"/>
    </row>
    <row r="45" s="181" customFormat="1">
      <c r="A45" s="181" t="s">
        <v>87</v>
      </c>
      <c r="B45" s="1191"/>
      <c r="F45" s="215"/>
      <c r="W45" s="425"/>
      <c r="X45" s="425"/>
    </row>
    <row r="46" s="181" customFormat="1">
      <c r="A46" s="181" t="s">
        <v>87</v>
      </c>
      <c r="B46" s="1191"/>
      <c r="F46" s="215"/>
      <c r="W46" s="425"/>
      <c r="X46" s="425"/>
    </row>
    <row r="47" s="181" customFormat="1">
      <c r="A47" s="181" t="s">
        <v>87</v>
      </c>
      <c r="B47" s="1191"/>
      <c r="F47" s="215"/>
      <c r="W47" s="425"/>
      <c r="X47" s="425"/>
    </row>
    <row r="48" s="181" customFormat="1">
      <c r="A48" s="181" t="s">
        <v>87</v>
      </c>
      <c r="B48" s="1191"/>
      <c r="F48" s="215"/>
      <c r="W48" s="425"/>
      <c r="X48" s="425"/>
    </row>
    <row r="49" s="181" customFormat="1">
      <c r="A49" s="181" t="s">
        <v>87</v>
      </c>
      <c r="B49" s="1191"/>
      <c r="F49" s="215"/>
      <c r="W49" s="425"/>
      <c r="X49" s="425"/>
    </row>
    <row r="50" s="181" customFormat="1">
      <c r="A50" s="181" t="s">
        <v>87</v>
      </c>
      <c r="B50" s="1191"/>
      <c r="F50" s="215"/>
      <c r="W50" s="425"/>
      <c r="X50" s="425"/>
    </row>
    <row r="51" s="181" customFormat="1">
      <c r="A51" s="181" t="s">
        <v>87</v>
      </c>
      <c r="B51" s="1191"/>
      <c r="F51" s="215"/>
      <c r="W51" s="425"/>
      <c r="X51" s="425"/>
    </row>
    <row r="52" s="181" customFormat="1">
      <c r="A52" s="181" t="s">
        <v>87</v>
      </c>
      <c r="B52" s="1191"/>
      <c r="F52" s="215"/>
      <c r="W52" s="425"/>
      <c r="X52" s="425"/>
    </row>
    <row r="53">
      <c r="C53" s="182"/>
      <c r="D53" s="182"/>
      <c r="E53" s="182"/>
      <c r="F53" s="217"/>
      <c r="G53" s="182"/>
      <c r="L53" s="182"/>
      <c r="T53" s="182"/>
      <c r="U53" s="182"/>
    </row>
  </sheetData>
  <mergeCells>
    <mergeCell ref="A8:F8"/>
    <mergeCell ref="A23:F23"/>
    <mergeCell ref="A25:F25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9">
    <tabColor theme="0"/>
  </sheetPr>
  <dimension ref="A1:AK23"/>
  <sheetViews>
    <sheetView workbookViewId="0">
      <pane xSplit="3" ySplit="7" topLeftCell="R11" activePane="bottomRight" state="frozen"/>
      <selection pane="topRight"/>
      <selection pane="bottomLeft"/>
      <selection pane="bottomRight" activeCell="AJ17" sqref="AJ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1085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1086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10"/>
      <c r="B5" s="111"/>
      <c r="C5" s="112">
        <v>3051076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85" t="s">
        <v>4</v>
      </c>
      <c r="C6" s="1065" t="s">
        <v>5</v>
      </c>
      <c r="D6" s="1083" t="s">
        <v>1087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 s="99" customFormat="1">
      <c r="A8" s="1089">
        <v>1</v>
      </c>
      <c r="B8" s="1102"/>
      <c r="C8" s="1104" t="s">
        <v>1308</v>
      </c>
      <c r="D8" s="115"/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/>
      <c r="L8" s="115"/>
      <c r="M8" s="115">
        <v>1</v>
      </c>
      <c r="N8" s="115">
        <v>1</v>
      </c>
      <c r="O8" s="115">
        <v>1</v>
      </c>
      <c r="P8" s="115">
        <v>1</v>
      </c>
      <c r="Q8" s="115">
        <v>1</v>
      </c>
      <c r="R8" s="115"/>
      <c r="S8" s="115">
        <v>1</v>
      </c>
      <c r="T8" s="115">
        <v>1</v>
      </c>
      <c r="U8" s="115">
        <v>1</v>
      </c>
      <c r="V8" s="115">
        <v>1</v>
      </c>
      <c r="W8" s="115">
        <v>1</v>
      </c>
      <c r="X8" s="115">
        <v>1</v>
      </c>
      <c r="Y8" s="115"/>
      <c r="Z8" s="115">
        <v>1</v>
      </c>
      <c r="AA8" s="115">
        <v>1</v>
      </c>
      <c r="AB8" s="115">
        <v>2</v>
      </c>
      <c r="AC8" s="115">
        <v>2</v>
      </c>
      <c r="AD8" s="115">
        <v>2</v>
      </c>
      <c r="AE8" s="115">
        <v>2</v>
      </c>
      <c r="AF8" s="115"/>
      <c r="AG8" s="115">
        <v>2</v>
      </c>
      <c r="AH8" s="115"/>
      <c r="AI8" s="125">
        <f ref="AI8:AI15" t="shared" si="1">SUM(D8:AH8)</f>
        <v>29</v>
      </c>
      <c r="AJ8" s="125"/>
      <c r="AK8" s="126"/>
    </row>
    <row r="9" s="99" customFormat="1">
      <c r="A9" s="1089"/>
      <c r="B9" s="1103"/>
      <c r="C9" s="1105"/>
      <c r="D9" s="116"/>
      <c r="E9" s="116">
        <v>1.5</v>
      </c>
      <c r="F9" s="116">
        <v>1.5</v>
      </c>
      <c r="G9" s="116">
        <v>1.5</v>
      </c>
      <c r="H9" s="116">
        <v>1.5</v>
      </c>
      <c r="I9" s="116">
        <v>1.5</v>
      </c>
      <c r="J9" s="116">
        <v>1.5</v>
      </c>
      <c r="K9" s="116"/>
      <c r="L9" s="116"/>
      <c r="M9" s="116">
        <v>1.5</v>
      </c>
      <c r="N9" s="116">
        <v>1.5</v>
      </c>
      <c r="O9" s="116">
        <v>1.5</v>
      </c>
      <c r="P9" s="116">
        <v>1.5</v>
      </c>
      <c r="Q9" s="116">
        <v>1.5</v>
      </c>
      <c r="R9" s="116"/>
      <c r="S9" s="116">
        <v>1.5</v>
      </c>
      <c r="T9" s="116">
        <v>1.5</v>
      </c>
      <c r="U9" s="116">
        <v>1.5</v>
      </c>
      <c r="V9" s="116">
        <v>1.5</v>
      </c>
      <c r="W9" s="116">
        <v>1.5</v>
      </c>
      <c r="X9" s="116">
        <v>1.5</v>
      </c>
      <c r="Y9" s="116"/>
      <c r="Z9" s="116">
        <v>1.5</v>
      </c>
      <c r="AA9" s="116">
        <v>1.5</v>
      </c>
      <c r="AB9" s="116">
        <v>3.5</v>
      </c>
      <c r="AC9" s="116">
        <v>3.5</v>
      </c>
      <c r="AD9" s="116">
        <v>3.5</v>
      </c>
      <c r="AE9" s="116">
        <v>3.5</v>
      </c>
      <c r="AF9" s="116"/>
      <c r="AG9" s="116">
        <v>3.5</v>
      </c>
      <c r="AH9" s="116"/>
      <c r="AI9" s="127">
        <f t="shared" si="1"/>
        <v>46</v>
      </c>
      <c r="AJ9" s="128">
        <f>+$C$5/173*AI9</f>
        <v>811268.76300578</v>
      </c>
      <c r="AK9" s="121"/>
    </row>
    <row r="10" s="99" customFormat="1">
      <c r="A10" s="1089">
        <f>+A8+1</f>
        <v>2</v>
      </c>
      <c r="B10" s="1102"/>
      <c r="C10" s="1104" t="s">
        <v>1088</v>
      </c>
      <c r="D10" s="115">
        <v>1</v>
      </c>
      <c r="E10" s="115"/>
      <c r="F10" s="115">
        <v>1</v>
      </c>
      <c r="G10" s="115">
        <v>1</v>
      </c>
      <c r="H10" s="115">
        <v>1</v>
      </c>
      <c r="I10" s="115">
        <v>1</v>
      </c>
      <c r="J10" s="115">
        <v>2</v>
      </c>
      <c r="K10" s="115">
        <v>2</v>
      </c>
      <c r="L10" s="115"/>
      <c r="M10" s="115">
        <v>2</v>
      </c>
      <c r="N10" s="115">
        <v>1</v>
      </c>
      <c r="O10" s="115">
        <v>1</v>
      </c>
      <c r="P10" s="115">
        <v>2</v>
      </c>
      <c r="Q10" s="115">
        <v>1</v>
      </c>
      <c r="R10" s="115">
        <v>1</v>
      </c>
      <c r="S10" s="115"/>
      <c r="T10" s="115">
        <v>1</v>
      </c>
      <c r="U10" s="115">
        <v>1</v>
      </c>
      <c r="V10" s="115">
        <v>1</v>
      </c>
      <c r="W10" s="115">
        <v>1</v>
      </c>
      <c r="X10" s="115">
        <v>1</v>
      </c>
      <c r="Y10" s="115">
        <v>1</v>
      </c>
      <c r="Z10" s="115"/>
      <c r="AA10" s="115">
        <v>1</v>
      </c>
      <c r="AB10" s="115">
        <v>1</v>
      </c>
      <c r="AC10" s="115">
        <v>1</v>
      </c>
      <c r="AD10" s="115">
        <v>1</v>
      </c>
      <c r="AE10" s="115">
        <v>1</v>
      </c>
      <c r="AF10" s="115">
        <v>1</v>
      </c>
      <c r="AG10" s="115"/>
      <c r="AH10" s="115"/>
      <c r="AI10" s="125">
        <f t="shared" si="1"/>
        <v>29</v>
      </c>
      <c r="AJ10" s="125"/>
      <c r="AK10" s="126"/>
    </row>
    <row r="11" s="99" customFormat="1">
      <c r="A11" s="1089"/>
      <c r="B11" s="1103"/>
      <c r="C11" s="1105"/>
      <c r="D11" s="116">
        <v>1.5</v>
      </c>
      <c r="E11" s="116"/>
      <c r="F11" s="116">
        <v>1.5</v>
      </c>
      <c r="G11" s="116">
        <v>1.5</v>
      </c>
      <c r="H11" s="116">
        <v>1.5</v>
      </c>
      <c r="I11" s="116">
        <v>1.5</v>
      </c>
      <c r="J11" s="116">
        <v>3.5</v>
      </c>
      <c r="K11" s="116">
        <v>3.5</v>
      </c>
      <c r="L11" s="116"/>
      <c r="M11" s="116">
        <v>3.5</v>
      </c>
      <c r="N11" s="116">
        <v>1.5</v>
      </c>
      <c r="O11" s="116">
        <v>1.5</v>
      </c>
      <c r="P11" s="116"/>
      <c r="Q11" s="116">
        <v>1.5</v>
      </c>
      <c r="R11" s="116">
        <v>1.5</v>
      </c>
      <c r="S11" s="116"/>
      <c r="T11" s="116">
        <v>1.5</v>
      </c>
      <c r="U11" s="116">
        <v>1.5</v>
      </c>
      <c r="V11" s="116">
        <v>1.5</v>
      </c>
      <c r="W11" s="116">
        <v>1.5</v>
      </c>
      <c r="X11" s="116">
        <v>1.5</v>
      </c>
      <c r="Y11" s="116">
        <v>1.5</v>
      </c>
      <c r="Z11" s="116"/>
      <c r="AA11" s="116">
        <v>1.5</v>
      </c>
      <c r="AB11" s="116">
        <v>1.5</v>
      </c>
      <c r="AC11" s="116">
        <v>1.5</v>
      </c>
      <c r="AD11" s="116">
        <v>1.5</v>
      </c>
      <c r="AE11" s="116">
        <v>1.5</v>
      </c>
      <c r="AF11" s="116">
        <v>1.5</v>
      </c>
      <c r="AG11" s="116"/>
      <c r="AH11" s="116"/>
      <c r="AI11" s="127">
        <f t="shared" si="1"/>
        <v>42</v>
      </c>
      <c r="AJ11" s="128">
        <f>+$C$5/173*AI11</f>
        <v>740723.653179191</v>
      </c>
      <c r="AK11" s="121"/>
    </row>
    <row r="12" s="99" customFormat="1">
      <c r="A12" s="1089">
        <f>+A10+1</f>
        <v>3</v>
      </c>
      <c r="B12" s="1102"/>
      <c r="C12" s="1104" t="s">
        <v>1309</v>
      </c>
      <c r="D12" s="115">
        <v>1</v>
      </c>
      <c r="E12" s="115">
        <v>1</v>
      </c>
      <c r="F12" s="115">
        <v>2</v>
      </c>
      <c r="G12" s="115"/>
      <c r="H12" s="115">
        <v>1</v>
      </c>
      <c r="I12" s="115">
        <v>1</v>
      </c>
      <c r="J12" s="115">
        <v>1</v>
      </c>
      <c r="K12" s="115">
        <v>1</v>
      </c>
      <c r="L12" s="115"/>
      <c r="M12" s="115"/>
      <c r="N12" s="115">
        <v>1</v>
      </c>
      <c r="O12" s="115">
        <v>1</v>
      </c>
      <c r="P12" s="115">
        <v>1</v>
      </c>
      <c r="Q12" s="115">
        <v>1</v>
      </c>
      <c r="R12" s="115">
        <v>1</v>
      </c>
      <c r="S12" s="115"/>
      <c r="T12" s="115">
        <v>2</v>
      </c>
      <c r="U12" s="115">
        <v>2</v>
      </c>
      <c r="V12" s="115">
        <v>1</v>
      </c>
      <c r="W12" s="115">
        <v>2</v>
      </c>
      <c r="X12" s="115">
        <v>2</v>
      </c>
      <c r="Y12" s="115">
        <v>1</v>
      </c>
      <c r="Z12" s="115"/>
      <c r="AA12" s="115">
        <v>1</v>
      </c>
      <c r="AB12" s="115">
        <v>1</v>
      </c>
      <c r="AC12" s="115">
        <v>1</v>
      </c>
      <c r="AD12" s="115">
        <v>1</v>
      </c>
      <c r="AE12" s="115">
        <v>1</v>
      </c>
      <c r="AF12" s="115">
        <v>1</v>
      </c>
      <c r="AG12" s="115"/>
      <c r="AH12" s="115"/>
      <c r="AI12" s="125">
        <f t="shared" si="1"/>
        <v>29</v>
      </c>
      <c r="AJ12" s="125"/>
      <c r="AK12" s="126"/>
    </row>
    <row r="13" s="99" customFormat="1">
      <c r="A13" s="1089"/>
      <c r="B13" s="1103"/>
      <c r="C13" s="1105"/>
      <c r="D13" s="116">
        <v>1.5</v>
      </c>
      <c r="E13" s="116">
        <v>1.5</v>
      </c>
      <c r="F13" s="116">
        <v>3.5</v>
      </c>
      <c r="G13" s="116"/>
      <c r="H13" s="116">
        <v>1.5</v>
      </c>
      <c r="I13" s="116">
        <v>1.5</v>
      </c>
      <c r="J13" s="116">
        <v>1.5</v>
      </c>
      <c r="K13" s="116">
        <v>1.5</v>
      </c>
      <c r="L13" s="116"/>
      <c r="M13" s="116"/>
      <c r="N13" s="116">
        <v>1.5</v>
      </c>
      <c r="O13" s="116">
        <v>1.5</v>
      </c>
      <c r="P13" s="116">
        <v>1.5</v>
      </c>
      <c r="Q13" s="116">
        <v>1.5</v>
      </c>
      <c r="R13" s="116">
        <v>1.5</v>
      </c>
      <c r="S13" s="116"/>
      <c r="T13" s="116">
        <v>3.5</v>
      </c>
      <c r="U13" s="116">
        <v>3.5</v>
      </c>
      <c r="V13" s="116">
        <v>1.5</v>
      </c>
      <c r="W13" s="116">
        <v>3.5</v>
      </c>
      <c r="X13" s="116">
        <v>3.5</v>
      </c>
      <c r="Y13" s="116">
        <v>1.5</v>
      </c>
      <c r="Z13" s="121"/>
      <c r="AA13" s="116">
        <v>1.5</v>
      </c>
      <c r="AB13" s="116">
        <v>1.5</v>
      </c>
      <c r="AC13" s="116">
        <v>1.5</v>
      </c>
      <c r="AD13" s="116">
        <v>1.5</v>
      </c>
      <c r="AE13" s="116">
        <v>1.5</v>
      </c>
      <c r="AF13" s="116">
        <v>1.5</v>
      </c>
      <c r="AG13" s="116"/>
      <c r="AH13" s="116"/>
      <c r="AI13" s="127">
        <f t="shared" si="1"/>
        <v>46</v>
      </c>
      <c r="AJ13" s="128">
        <f>+$C$5/173*AI13</f>
        <v>811268.76300578</v>
      </c>
      <c r="AK13" s="121"/>
    </row>
    <row r="14" s="99" customFormat="1">
      <c r="A14" s="1089">
        <f>+A12+1</f>
        <v>4</v>
      </c>
      <c r="B14" s="1102"/>
      <c r="C14" s="1104" t="s">
        <v>1208</v>
      </c>
      <c r="D14" s="115">
        <v>1</v>
      </c>
      <c r="E14" s="115">
        <v>1</v>
      </c>
      <c r="F14" s="115">
        <v>1</v>
      </c>
      <c r="G14" s="115"/>
      <c r="H14" s="115">
        <v>1</v>
      </c>
      <c r="I14" s="115">
        <v>1</v>
      </c>
      <c r="J14" s="115">
        <v>1</v>
      </c>
      <c r="K14" s="115"/>
      <c r="L14" s="115"/>
      <c r="M14" s="115"/>
      <c r="N14" s="115">
        <v>2</v>
      </c>
      <c r="O14" s="115">
        <v>1</v>
      </c>
      <c r="P14" s="115">
        <v>1</v>
      </c>
      <c r="Q14" s="115">
        <v>1</v>
      </c>
      <c r="R14" s="115">
        <v>1</v>
      </c>
      <c r="S14" s="115"/>
      <c r="T14" s="115">
        <v>1</v>
      </c>
      <c r="U14" s="115">
        <v>1</v>
      </c>
      <c r="V14" s="115">
        <v>1</v>
      </c>
      <c r="W14" s="115">
        <v>1</v>
      </c>
      <c r="X14" s="115">
        <v>1</v>
      </c>
      <c r="Y14" s="115"/>
      <c r="Z14" s="115">
        <v>2</v>
      </c>
      <c r="AA14" s="115">
        <v>2</v>
      </c>
      <c r="AB14" s="115">
        <v>2</v>
      </c>
      <c r="AC14" s="115">
        <v>2</v>
      </c>
      <c r="AD14" s="115">
        <v>2</v>
      </c>
      <c r="AE14" s="115"/>
      <c r="AF14" s="115">
        <v>1</v>
      </c>
      <c r="AG14" s="115">
        <v>1</v>
      </c>
      <c r="AH14" s="115"/>
      <c r="AI14" s="125">
        <f t="shared" si="1"/>
        <v>29</v>
      </c>
      <c r="AJ14" s="125"/>
      <c r="AK14" s="126"/>
    </row>
    <row r="15" s="99" customFormat="1">
      <c r="A15" s="1089"/>
      <c r="B15" s="1103"/>
      <c r="C15" s="1105"/>
      <c r="D15" s="116">
        <v>1.5</v>
      </c>
      <c r="E15" s="116">
        <v>1.5</v>
      </c>
      <c r="F15" s="116">
        <v>1.5</v>
      </c>
      <c r="G15" s="116"/>
      <c r="H15" s="116">
        <v>1.5</v>
      </c>
      <c r="I15" s="116">
        <v>1.5</v>
      </c>
      <c r="J15" s="116">
        <v>1.5</v>
      </c>
      <c r="K15" s="116"/>
      <c r="L15" s="116"/>
      <c r="M15" s="116"/>
      <c r="N15" s="116">
        <v>3.5</v>
      </c>
      <c r="O15" s="116">
        <v>1.5</v>
      </c>
      <c r="P15" s="116">
        <v>1.5</v>
      </c>
      <c r="Q15" s="116">
        <v>1.5</v>
      </c>
      <c r="R15" s="116">
        <v>1.5</v>
      </c>
      <c r="S15" s="116"/>
      <c r="T15" s="116">
        <v>1.5</v>
      </c>
      <c r="U15" s="116">
        <v>1.5</v>
      </c>
      <c r="V15" s="116">
        <v>1.5</v>
      </c>
      <c r="W15" s="116">
        <v>1.5</v>
      </c>
      <c r="X15" s="116">
        <v>1.5</v>
      </c>
      <c r="Y15" s="116"/>
      <c r="Z15" s="116">
        <v>3.5</v>
      </c>
      <c r="AA15" s="116">
        <v>3.5</v>
      </c>
      <c r="AB15" s="116">
        <v>3.5</v>
      </c>
      <c r="AC15" s="116">
        <v>3.5</v>
      </c>
      <c r="AD15" s="116">
        <v>3.5</v>
      </c>
      <c r="AE15" s="116"/>
      <c r="AF15" s="116">
        <v>1.5</v>
      </c>
      <c r="AG15" s="116">
        <v>1.5</v>
      </c>
      <c r="AH15" s="116"/>
      <c r="AI15" s="127">
        <f t="shared" si="1"/>
        <v>46.5</v>
      </c>
      <c r="AJ15" s="128">
        <f>+$C$5/173*AI15</f>
        <v>820086.901734104</v>
      </c>
      <c r="AK15" s="121"/>
    </row>
    <row r="16" s="99" customFormat="1">
      <c r="A16" s="1089">
        <f>+A14+1</f>
        <v>5</v>
      </c>
      <c r="B16" s="117"/>
      <c r="C16" s="118"/>
      <c r="D16" s="115"/>
      <c r="E16" s="115">
        <v>1</v>
      </c>
      <c r="F16" s="115">
        <v>1</v>
      </c>
      <c r="G16" s="115">
        <v>1</v>
      </c>
      <c r="H16" s="115">
        <v>1</v>
      </c>
      <c r="I16" s="115">
        <v>1</v>
      </c>
      <c r="J16" s="115">
        <v>1</v>
      </c>
      <c r="K16" s="115">
        <v>1</v>
      </c>
      <c r="L16" s="115"/>
      <c r="M16" s="115">
        <v>1</v>
      </c>
      <c r="N16" s="115">
        <v>1</v>
      </c>
      <c r="O16" s="115">
        <v>1</v>
      </c>
      <c r="P16" s="115">
        <v>1</v>
      </c>
      <c r="Q16" s="115">
        <v>1</v>
      </c>
      <c r="R16" s="115"/>
      <c r="S16" s="115">
        <v>1</v>
      </c>
      <c r="T16" s="115">
        <v>1</v>
      </c>
      <c r="U16" s="115">
        <v>1</v>
      </c>
      <c r="V16" s="115">
        <v>1</v>
      </c>
      <c r="W16" s="115">
        <v>1</v>
      </c>
      <c r="X16" s="115">
        <v>1</v>
      </c>
      <c r="Y16" s="115">
        <v>2</v>
      </c>
      <c r="Z16" s="115"/>
      <c r="AA16" s="115">
        <v>1</v>
      </c>
      <c r="AB16" s="115">
        <v>2</v>
      </c>
      <c r="AC16" s="115">
        <v>1</v>
      </c>
      <c r="AD16" s="115">
        <v>1</v>
      </c>
      <c r="AE16" s="115">
        <v>2</v>
      </c>
      <c r="AF16" s="115"/>
      <c r="AG16" s="115">
        <v>2</v>
      </c>
      <c r="AH16" s="115"/>
      <c r="AI16" s="125">
        <f ref="AI16:AI23" t="shared" si="2">SUM(D16:AH16)</f>
        <v>29</v>
      </c>
      <c r="AJ16" s="125"/>
      <c r="AK16" s="126"/>
    </row>
    <row r="17" s="99" customFormat="1">
      <c r="A17" s="1089"/>
      <c r="B17" s="119"/>
      <c r="C17" s="118" t="s">
        <v>1310</v>
      </c>
      <c r="D17" s="116"/>
      <c r="E17" s="116">
        <v>1.5</v>
      </c>
      <c r="F17" s="116">
        <v>1.5</v>
      </c>
      <c r="G17" s="116">
        <v>1.5</v>
      </c>
      <c r="H17" s="116">
        <v>1.5</v>
      </c>
      <c r="I17" s="116">
        <v>1.5</v>
      </c>
      <c r="J17" s="116">
        <v>1.5</v>
      </c>
      <c r="K17" s="116">
        <v>1.5</v>
      </c>
      <c r="L17" s="116"/>
      <c r="M17" s="116">
        <v>1.5</v>
      </c>
      <c r="N17" s="116">
        <v>1.5</v>
      </c>
      <c r="O17" s="116">
        <v>1.5</v>
      </c>
      <c r="P17" s="116">
        <v>1.5</v>
      </c>
      <c r="Q17" s="116">
        <v>1.5</v>
      </c>
      <c r="R17" s="116"/>
      <c r="S17" s="116">
        <v>1.5</v>
      </c>
      <c r="T17" s="116">
        <v>1.5</v>
      </c>
      <c r="U17" s="116">
        <v>1.5</v>
      </c>
      <c r="V17" s="116">
        <v>1.5</v>
      </c>
      <c r="W17" s="116">
        <v>1.5</v>
      </c>
      <c r="X17" s="116">
        <v>1.5</v>
      </c>
      <c r="Y17" s="116">
        <v>3.5</v>
      </c>
      <c r="Z17" s="121"/>
      <c r="AA17" s="116">
        <v>1.5</v>
      </c>
      <c r="AB17" s="116">
        <v>3.5</v>
      </c>
      <c r="AC17" s="116">
        <v>1.5</v>
      </c>
      <c r="AD17" s="116">
        <v>1.5</v>
      </c>
      <c r="AE17" s="116">
        <v>3.5</v>
      </c>
      <c r="AF17" s="116"/>
      <c r="AG17" s="116">
        <v>3.5</v>
      </c>
      <c r="AH17" s="116"/>
      <c r="AI17" s="127">
        <f t="shared" si="2"/>
        <v>45.5</v>
      </c>
      <c r="AJ17" s="128">
        <f>+$C$5/173*AI17</f>
        <v>802450.624277457</v>
      </c>
      <c r="AK17" s="121"/>
    </row>
    <row r="18" s="99" customFormat="1">
      <c r="A18" s="1089">
        <f>+A16+1</f>
        <v>6</v>
      </c>
      <c r="B18" s="1102"/>
      <c r="C18" s="1104" t="s">
        <v>1311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15"/>
      <c r="J18" s="115">
        <v>1</v>
      </c>
      <c r="K18" s="115">
        <v>1</v>
      </c>
      <c r="L18" s="115"/>
      <c r="M18" s="115">
        <v>2</v>
      </c>
      <c r="N18" s="115">
        <v>1</v>
      </c>
      <c r="O18" s="115"/>
      <c r="P18" s="115">
        <v>2</v>
      </c>
      <c r="Q18" s="115">
        <v>2</v>
      </c>
      <c r="R18" s="115">
        <v>2</v>
      </c>
      <c r="S18" s="115">
        <v>1</v>
      </c>
      <c r="T18" s="115"/>
      <c r="U18" s="115">
        <v>1</v>
      </c>
      <c r="V18" s="115">
        <v>1</v>
      </c>
      <c r="W18" s="115">
        <v>1</v>
      </c>
      <c r="X18" s="115">
        <v>1</v>
      </c>
      <c r="Y18" s="115">
        <v>1</v>
      </c>
      <c r="Z18" s="115">
        <v>1</v>
      </c>
      <c r="AA18" s="115"/>
      <c r="AB18" s="115">
        <v>1</v>
      </c>
      <c r="AC18" s="115">
        <v>1</v>
      </c>
      <c r="AD18" s="115">
        <v>2</v>
      </c>
      <c r="AE18" s="115">
        <v>1</v>
      </c>
      <c r="AF18" s="115">
        <v>1</v>
      </c>
      <c r="AG18" s="115"/>
      <c r="AH18" s="115"/>
      <c r="AI18" s="125">
        <f t="shared" si="2"/>
        <v>29</v>
      </c>
      <c r="AJ18" s="125"/>
      <c r="AK18" s="126"/>
    </row>
    <row r="19" s="99" customFormat="1">
      <c r="A19" s="1089"/>
      <c r="B19" s="1103"/>
      <c r="C19" s="1105"/>
      <c r="D19" s="116">
        <v>1.5</v>
      </c>
      <c r="E19" s="116">
        <v>1.5</v>
      </c>
      <c r="F19" s="116">
        <v>1.5</v>
      </c>
      <c r="G19" s="116">
        <v>1.5</v>
      </c>
      <c r="H19" s="116">
        <v>1.5</v>
      </c>
      <c r="I19" s="121"/>
      <c r="J19" s="116">
        <v>1.5</v>
      </c>
      <c r="K19" s="116">
        <v>1.5</v>
      </c>
      <c r="L19" s="116"/>
      <c r="M19" s="121">
        <v>3.5</v>
      </c>
      <c r="N19" s="116">
        <v>1.5</v>
      </c>
      <c r="O19" s="121"/>
      <c r="P19" s="121">
        <v>3.5</v>
      </c>
      <c r="Q19" s="121">
        <v>3.5</v>
      </c>
      <c r="R19" s="121">
        <v>3.5</v>
      </c>
      <c r="S19" s="116">
        <v>1.5</v>
      </c>
      <c r="T19" s="116"/>
      <c r="U19" s="116">
        <v>1.5</v>
      </c>
      <c r="V19" s="116">
        <v>1.5</v>
      </c>
      <c r="W19" s="116">
        <v>1.5</v>
      </c>
      <c r="X19" s="116">
        <v>1.5</v>
      </c>
      <c r="Y19" s="116">
        <v>1.5</v>
      </c>
      <c r="Z19" s="116">
        <v>1.5</v>
      </c>
      <c r="AA19" s="116"/>
      <c r="AB19" s="116">
        <v>1.5</v>
      </c>
      <c r="AC19" s="116">
        <v>1.5</v>
      </c>
      <c r="AD19" s="116">
        <v>3.5</v>
      </c>
      <c r="AE19" s="116">
        <v>1.5</v>
      </c>
      <c r="AF19" s="116">
        <v>1.5</v>
      </c>
      <c r="AG19" s="116"/>
      <c r="AH19" s="116"/>
      <c r="AI19" s="127">
        <f t="shared" si="2"/>
        <v>46</v>
      </c>
      <c r="AJ19" s="128">
        <f>+$C$5/173*AI19</f>
        <v>811268.76300578</v>
      </c>
      <c r="AK19" s="121"/>
    </row>
    <row r="20" s="99" customFormat="1">
      <c r="A20" s="1089">
        <v>1</v>
      </c>
      <c r="B20" s="1102"/>
      <c r="C20" s="1104" t="s">
        <v>1312</v>
      </c>
      <c r="D20" s="115">
        <v>1</v>
      </c>
      <c r="E20" s="115">
        <v>1</v>
      </c>
      <c r="F20" s="115">
        <v>1</v>
      </c>
      <c r="G20" s="115">
        <v>1</v>
      </c>
      <c r="H20" s="115"/>
      <c r="I20" s="115">
        <v>1</v>
      </c>
      <c r="J20" s="115">
        <v>1</v>
      </c>
      <c r="K20" s="115">
        <v>1</v>
      </c>
      <c r="L20" s="115"/>
      <c r="M20" s="115">
        <v>1</v>
      </c>
      <c r="N20" s="115"/>
      <c r="O20" s="115">
        <v>1</v>
      </c>
      <c r="P20" s="115">
        <v>2</v>
      </c>
      <c r="Q20" s="115">
        <v>2</v>
      </c>
      <c r="R20" s="115">
        <v>1</v>
      </c>
      <c r="S20" s="115">
        <v>1</v>
      </c>
      <c r="T20" s="115"/>
      <c r="U20" s="115">
        <v>1</v>
      </c>
      <c r="V20" s="115">
        <v>1</v>
      </c>
      <c r="W20" s="115">
        <v>1</v>
      </c>
      <c r="X20" s="115">
        <v>2</v>
      </c>
      <c r="Y20" s="115">
        <v>1</v>
      </c>
      <c r="Z20" s="115"/>
      <c r="AA20" s="115">
        <v>1</v>
      </c>
      <c r="AB20" s="115">
        <v>2</v>
      </c>
      <c r="AC20" s="115">
        <v>2</v>
      </c>
      <c r="AD20" s="115">
        <v>1</v>
      </c>
      <c r="AE20" s="115">
        <v>1</v>
      </c>
      <c r="AF20" s="115"/>
      <c r="AG20" s="115">
        <v>1</v>
      </c>
      <c r="AH20" s="115"/>
      <c r="AI20" s="125">
        <f t="shared" si="2"/>
        <v>29</v>
      </c>
      <c r="AJ20" s="125"/>
      <c r="AK20" s="126"/>
    </row>
    <row r="21" s="99" customFormat="1">
      <c r="A21" s="1089"/>
      <c r="B21" s="1103"/>
      <c r="C21" s="1105"/>
      <c r="D21" s="116">
        <v>1.5</v>
      </c>
      <c r="E21" s="116">
        <v>1.5</v>
      </c>
      <c r="F21" s="116">
        <v>1.5</v>
      </c>
      <c r="G21" s="116">
        <v>1.5</v>
      </c>
      <c r="H21" s="116"/>
      <c r="I21" s="116">
        <v>1.5</v>
      </c>
      <c r="J21" s="116">
        <v>1.5</v>
      </c>
      <c r="K21" s="116">
        <v>1.5</v>
      </c>
      <c r="L21" s="116"/>
      <c r="M21" s="116">
        <v>1.5</v>
      </c>
      <c r="N21" s="116"/>
      <c r="O21" s="116">
        <v>1.5</v>
      </c>
      <c r="P21" s="116">
        <v>3.5</v>
      </c>
      <c r="Q21" s="116">
        <v>3.5</v>
      </c>
      <c r="R21" s="116">
        <v>1.5</v>
      </c>
      <c r="S21" s="116">
        <v>1.5</v>
      </c>
      <c r="T21" s="116"/>
      <c r="U21" s="116">
        <v>1.5</v>
      </c>
      <c r="V21" s="116">
        <v>1.5</v>
      </c>
      <c r="W21" s="116">
        <v>1.5</v>
      </c>
      <c r="X21" s="116">
        <v>3.5</v>
      </c>
      <c r="Y21" s="116">
        <v>1.5</v>
      </c>
      <c r="Z21" s="116"/>
      <c r="AA21" s="116">
        <v>1.5</v>
      </c>
      <c r="AB21" s="116">
        <v>3.5</v>
      </c>
      <c r="AC21" s="116">
        <v>3.5</v>
      </c>
      <c r="AD21" s="116">
        <v>1.5</v>
      </c>
      <c r="AE21" s="116">
        <v>1.5</v>
      </c>
      <c r="AF21" s="116"/>
      <c r="AG21" s="116">
        <v>1.5</v>
      </c>
      <c r="AH21" s="116"/>
      <c r="AI21" s="127">
        <f t="shared" si="2"/>
        <v>46</v>
      </c>
      <c r="AJ21" s="128">
        <f>+$C$5/173*AI21</f>
        <v>811268.76300578</v>
      </c>
      <c r="AK21" s="121"/>
    </row>
    <row r="22" s="99" customFormat="1">
      <c r="A22" s="1089">
        <v>1</v>
      </c>
      <c r="B22" s="1102"/>
      <c r="C22" s="1104" t="s">
        <v>1214</v>
      </c>
      <c r="D22" s="115">
        <v>1</v>
      </c>
      <c r="E22" s="115"/>
      <c r="F22" s="115">
        <v>1</v>
      </c>
      <c r="G22" s="115">
        <v>1</v>
      </c>
      <c r="H22" s="115">
        <v>1</v>
      </c>
      <c r="I22" s="115">
        <v>1</v>
      </c>
      <c r="J22" s="115">
        <v>1</v>
      </c>
      <c r="K22" s="115"/>
      <c r="L22" s="115"/>
      <c r="M22" s="115">
        <v>2</v>
      </c>
      <c r="N22" s="115">
        <v>1</v>
      </c>
      <c r="O22" s="115">
        <v>1</v>
      </c>
      <c r="P22" s="115">
        <v>1</v>
      </c>
      <c r="Q22" s="115">
        <v>2</v>
      </c>
      <c r="R22" s="115">
        <v>1</v>
      </c>
      <c r="S22" s="115"/>
      <c r="T22" s="115">
        <v>1</v>
      </c>
      <c r="U22" s="115">
        <v>1</v>
      </c>
      <c r="V22" s="115">
        <v>1</v>
      </c>
      <c r="W22" s="115">
        <v>1</v>
      </c>
      <c r="X22" s="115">
        <v>1</v>
      </c>
      <c r="Y22" s="115"/>
      <c r="Z22" s="115">
        <v>2</v>
      </c>
      <c r="AA22" s="115">
        <v>2</v>
      </c>
      <c r="AB22" s="115">
        <v>1</v>
      </c>
      <c r="AC22" s="115">
        <v>1</v>
      </c>
      <c r="AD22" s="115">
        <v>1</v>
      </c>
      <c r="AE22" s="115">
        <v>1</v>
      </c>
      <c r="AF22" s="115">
        <v>1</v>
      </c>
      <c r="AG22" s="115">
        <v>1</v>
      </c>
      <c r="AH22" s="115"/>
      <c r="AI22" s="125">
        <f t="shared" si="2"/>
        <v>29</v>
      </c>
      <c r="AJ22" s="125"/>
      <c r="AK22" s="126"/>
    </row>
    <row r="23" s="99" customFormat="1">
      <c r="A23" s="1089"/>
      <c r="B23" s="1103"/>
      <c r="C23" s="1105"/>
      <c r="D23" s="116">
        <v>1.5</v>
      </c>
      <c r="E23" s="116"/>
      <c r="F23" s="116">
        <v>1.5</v>
      </c>
      <c r="G23" s="116">
        <v>1.5</v>
      </c>
      <c r="H23" s="116">
        <v>1.5</v>
      </c>
      <c r="I23" s="116">
        <v>1.5</v>
      </c>
      <c r="J23" s="116">
        <v>1.5</v>
      </c>
      <c r="K23" s="116"/>
      <c r="L23" s="116"/>
      <c r="M23" s="116">
        <v>3.5</v>
      </c>
      <c r="N23" s="116">
        <v>1.5</v>
      </c>
      <c r="O23" s="116">
        <v>1.5</v>
      </c>
      <c r="P23" s="116">
        <v>1.5</v>
      </c>
      <c r="Q23" s="116">
        <v>3.5</v>
      </c>
      <c r="R23" s="116">
        <v>1.5</v>
      </c>
      <c r="S23" s="116"/>
      <c r="T23" s="116">
        <v>1.5</v>
      </c>
      <c r="U23" s="116">
        <v>1.5</v>
      </c>
      <c r="V23" s="116">
        <v>1.5</v>
      </c>
      <c r="W23" s="116">
        <v>1.5</v>
      </c>
      <c r="X23" s="116">
        <v>1.5</v>
      </c>
      <c r="Y23" s="116"/>
      <c r="Z23" s="116">
        <v>3.5</v>
      </c>
      <c r="AA23" s="116">
        <v>3.5</v>
      </c>
      <c r="AB23" s="116">
        <v>1.5</v>
      </c>
      <c r="AC23" s="116">
        <v>1.5</v>
      </c>
      <c r="AD23" s="116">
        <v>1.5</v>
      </c>
      <c r="AE23" s="116">
        <v>1.5</v>
      </c>
      <c r="AF23" s="116">
        <v>1.5</v>
      </c>
      <c r="AG23" s="116">
        <v>1.5</v>
      </c>
      <c r="AH23" s="116"/>
      <c r="AI23" s="127">
        <f t="shared" si="2"/>
        <v>45.5</v>
      </c>
      <c r="AJ23" s="128">
        <f>+$C$5/173*AI23</f>
        <v>802450.624277457</v>
      </c>
      <c r="AK23" s="121"/>
    </row>
  </sheetData>
  <mergeCells>
    <mergeCell ref="AK6:AK7"/>
    <mergeCell ref="C18:C19"/>
    <mergeCell ref="C20:C21"/>
    <mergeCell ref="C22:C23"/>
    <mergeCell ref="AI6:AI7"/>
    <mergeCell ref="AJ6:AJ7"/>
    <mergeCell ref="D6:AH6"/>
    <mergeCell ref="C6:C7"/>
    <mergeCell ref="C8:C9"/>
    <mergeCell ref="C10:C11"/>
    <mergeCell ref="C12:C13"/>
    <mergeCell ref="C14:C15"/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8:B19"/>
    <mergeCell ref="B20:B21"/>
    <mergeCell ref="B22:B23"/>
    <mergeCell ref="A8:A9"/>
    <mergeCell ref="A10:A11"/>
    <mergeCell ref="A12:A13"/>
    <mergeCell ref="A14:A15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2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18" sqref="N18"/>
    </sheetView>
  </sheetViews>
  <sheetFormatPr defaultColWidth="9.140625" defaultRowHeight="12"/>
  <cols>
    <col min="1" max="1" width="4.42578125" customWidth="1" style="182"/>
    <col min="2" max="2" width="5.85546875" customWidth="1" style="183"/>
    <col min="3" max="3" width="21" customWidth="1" style="184"/>
    <col min="4" max="4" width="6.7109375" customWidth="1" style="183"/>
    <col min="5" max="6" hidden="1" width="9" customWidth="1" style="183"/>
    <col min="7" max="7" width="11.4257812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2.7109375" customWidth="1" style="185"/>
    <col min="13" max="13" width="12.28515625" customWidth="1" style="182"/>
    <col min="14" max="14" width="11.28515625" customWidth="1" style="182"/>
    <col min="15" max="15" hidden="1" width="11" customWidth="1" style="182"/>
    <col min="16" max="16" hidden="1" width="10.5703125" customWidth="1" style="182"/>
    <col min="17" max="17" width="10.5703125" customWidth="1" style="182"/>
    <col min="18" max="18" width="8.28515625" customWidth="1" style="182"/>
    <col min="19" max="19" width="11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71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5"/>
      <c r="X1" s="345"/>
    </row>
    <row r="2" ht="12.75" s="178" customFormat="1">
      <c r="A2" s="186" t="s">
        <v>1288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5"/>
      <c r="X3" s="345"/>
    </row>
    <row r="4" s="178" customFormat="1">
      <c r="A4" s="195"/>
      <c r="B4" s="187"/>
      <c r="C4" s="188"/>
      <c r="D4" s="189"/>
      <c r="E4" s="189"/>
      <c r="F4" s="189"/>
      <c r="G4" s="546">
        <v>3165876</v>
      </c>
      <c r="H4" s="504"/>
      <c r="L4" s="190"/>
      <c r="N4" s="519" t="s">
        <v>712</v>
      </c>
      <c r="T4" s="189"/>
      <c r="U4" s="187"/>
      <c r="W4" s="345"/>
      <c r="X4" s="345"/>
    </row>
    <row r="5" ht="10.5" customHeight="1" s="502" customFormat="1">
      <c r="A5" s="505"/>
      <c r="B5" s="505"/>
      <c r="C5" s="505"/>
      <c r="D5" s="505"/>
      <c r="E5" s="505"/>
      <c r="F5" s="506"/>
      <c r="G5" s="507"/>
      <c r="H5" s="508"/>
      <c r="I5" s="520"/>
      <c r="J5" s="520"/>
      <c r="K5" s="521"/>
      <c r="L5" s="521"/>
      <c r="M5" s="522"/>
      <c r="N5" s="523"/>
      <c r="O5" s="524"/>
      <c r="P5" s="522"/>
      <c r="Q5" s="533"/>
      <c r="R5" s="534"/>
      <c r="S5" s="534"/>
      <c r="T5" s="534"/>
      <c r="U5" s="534"/>
      <c r="W5" s="535"/>
      <c r="X5" s="535"/>
    </row>
    <row r="6" ht="29.2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1284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  <c r="W6" s="402"/>
      <c r="X6" s="402"/>
    </row>
    <row r="7" ht="18" customHeight="1" s="187" customFormat="1">
      <c r="A7" s="514" t="s">
        <v>59</v>
      </c>
      <c r="B7" s="515" t="s">
        <v>1289</v>
      </c>
      <c r="C7" s="516" t="s">
        <v>1290</v>
      </c>
      <c r="D7" s="335" t="s">
        <v>84</v>
      </c>
      <c r="E7" s="335" t="s">
        <v>1102</v>
      </c>
      <c r="F7" s="435" t="s">
        <v>614</v>
      </c>
      <c r="G7" s="517">
        <v>3165876</v>
      </c>
      <c r="H7" s="518">
        <f ref="H7:H12" t="shared" si="0">+$G$4*4.89%</f>
        <v>154811.3364</v>
      </c>
      <c r="I7" s="531">
        <f ref="I7:I12" t="shared" si="1">+$G$4*4%</f>
        <v>126635.04</v>
      </c>
      <c r="J7" s="531">
        <f ref="J7:J12" t="shared" si="2">+$G$4*2%</f>
        <v>63317.52</v>
      </c>
      <c r="K7" s="531">
        <v>15000</v>
      </c>
      <c r="L7" s="532">
        <f ref="L7:L8" t="shared" si="3">SUM(G7:K7)</f>
        <v>3525639.8964</v>
      </c>
      <c r="M7" s="532">
        <f ref="M7:M8" t="shared" si="4">+L7*8%</f>
        <v>282051.191712</v>
      </c>
      <c r="N7" s="532">
        <v>1111000</v>
      </c>
      <c r="O7" s="532"/>
      <c r="P7" s="532"/>
      <c r="Q7" s="539">
        <f ref="Q7:Q8" t="shared" si="5">SUM(L7:P7)</f>
        <v>4918691.088112</v>
      </c>
      <c r="R7" s="539">
        <f ref="R7:R8" t="shared" si="6">M7*0.1</f>
        <v>28205.1191712</v>
      </c>
      <c r="S7" s="540">
        <f ref="S7:S8" t="shared" si="7">Q7+R7</f>
        <v>4946896.2072832</v>
      </c>
      <c r="T7" s="238">
        <v>44335</v>
      </c>
      <c r="U7" s="239">
        <v>44439</v>
      </c>
      <c r="V7" s="541"/>
      <c r="W7" s="542"/>
      <c r="X7" s="542"/>
    </row>
    <row r="8" ht="18" customHeight="1" s="187" customFormat="1">
      <c r="A8" s="514" t="s">
        <v>59</v>
      </c>
      <c r="B8" s="515" t="s">
        <v>1291</v>
      </c>
      <c r="C8" s="516" t="s">
        <v>1292</v>
      </c>
      <c r="D8" s="335" t="s">
        <v>84</v>
      </c>
      <c r="E8" s="335" t="s">
        <v>1102</v>
      </c>
      <c r="F8" s="435" t="s">
        <v>614</v>
      </c>
      <c r="G8" s="517">
        <v>3165876</v>
      </c>
      <c r="H8" s="518">
        <f t="shared" si="0"/>
        <v>154811.3364</v>
      </c>
      <c r="I8" s="531">
        <f t="shared" si="1"/>
        <v>126635.04</v>
      </c>
      <c r="J8" s="531">
        <f t="shared" si="2"/>
        <v>63317.52</v>
      </c>
      <c r="K8" s="531">
        <v>15000</v>
      </c>
      <c r="L8" s="532">
        <f t="shared" si="3"/>
        <v>3525639.8964</v>
      </c>
      <c r="M8" s="532">
        <f t="shared" si="4"/>
        <v>282051.191712</v>
      </c>
      <c r="N8" s="532">
        <v>1473000</v>
      </c>
      <c r="O8" s="532"/>
      <c r="P8" s="532"/>
      <c r="Q8" s="539">
        <f t="shared" si="5"/>
        <v>5280691.088112</v>
      </c>
      <c r="R8" s="539">
        <f t="shared" si="6"/>
        <v>28205.1191712</v>
      </c>
      <c r="S8" s="540">
        <f t="shared" si="7"/>
        <v>5308896.2072832</v>
      </c>
      <c r="T8" s="238">
        <v>44335</v>
      </c>
      <c r="U8" s="239">
        <v>44439</v>
      </c>
      <c r="V8" s="541"/>
      <c r="W8" s="542"/>
      <c r="X8" s="542"/>
    </row>
    <row r="9" ht="16.5" customHeight="1" s="187" customFormat="1">
      <c r="A9" s="514" t="s">
        <v>59</v>
      </c>
      <c r="B9" s="515" t="s">
        <v>1293</v>
      </c>
      <c r="C9" s="516" t="s">
        <v>1294</v>
      </c>
      <c r="D9" s="335" t="s">
        <v>84</v>
      </c>
      <c r="E9" s="335" t="s">
        <v>1102</v>
      </c>
      <c r="F9" s="435" t="s">
        <v>614</v>
      </c>
      <c r="G9" s="517">
        <v>3165876</v>
      </c>
      <c r="H9" s="518">
        <f t="shared" si="0"/>
        <v>154811.3364</v>
      </c>
      <c r="I9" s="531">
        <f t="shared" si="1"/>
        <v>126635.04</v>
      </c>
      <c r="J9" s="531">
        <f t="shared" si="2"/>
        <v>63317.52</v>
      </c>
      <c r="K9" s="531">
        <v>15000</v>
      </c>
      <c r="L9" s="532">
        <f ref="L9:L12" t="shared" si="9">SUM(G9:K9)</f>
        <v>3525639.8964</v>
      </c>
      <c r="M9" s="532">
        <f ref="M9:M12" t="shared" si="10">+L9*8%</f>
        <v>282051.191712</v>
      </c>
      <c r="N9" s="532">
        <v>1171000</v>
      </c>
      <c r="O9" s="532"/>
      <c r="P9" s="532"/>
      <c r="Q9" s="539">
        <f ref="Q9:Q12" t="shared" si="11">SUM(L9:P9)</f>
        <v>4978691.088112</v>
      </c>
      <c r="R9" s="539">
        <f ref="R9:R12" t="shared" si="12">M9*0.1</f>
        <v>28205.1191712</v>
      </c>
      <c r="S9" s="540">
        <f ref="S9:S12" t="shared" si="13">Q9+R9</f>
        <v>5006896.2072832</v>
      </c>
      <c r="T9" s="238">
        <v>44335</v>
      </c>
      <c r="U9" s="239">
        <v>44439</v>
      </c>
      <c r="V9" s="541"/>
      <c r="W9" s="542"/>
      <c r="X9" s="542"/>
    </row>
    <row r="10" ht="16.5" customHeight="1" s="545" customFormat="1">
      <c r="A10" s="299" t="s">
        <v>64</v>
      </c>
      <c r="B10" s="1228" t="s">
        <v>1295</v>
      </c>
      <c r="C10" s="1229" t="s">
        <v>1296</v>
      </c>
      <c r="D10" s="301" t="s">
        <v>84</v>
      </c>
      <c r="E10" s="301" t="s">
        <v>1102</v>
      </c>
      <c r="F10" s="437" t="s">
        <v>614</v>
      </c>
      <c r="G10" s="549">
        <f>3165876/31*23</f>
        <v>2348875.74193548</v>
      </c>
      <c r="H10" s="550">
        <f t="shared" si="0"/>
        <v>154811.3364</v>
      </c>
      <c r="I10" s="551">
        <f t="shared" si="1"/>
        <v>126635.04</v>
      </c>
      <c r="J10" s="551">
        <f t="shared" si="2"/>
        <v>63317.52</v>
      </c>
      <c r="K10" s="551">
        <v>15000</v>
      </c>
      <c r="L10" s="552">
        <f t="shared" si="9"/>
        <v>2708639.63833548</v>
      </c>
      <c r="M10" s="552">
        <f t="shared" si="10"/>
        <v>216691.171066838</v>
      </c>
      <c r="N10" s="552">
        <v>434000</v>
      </c>
      <c r="O10" s="552"/>
      <c r="P10" s="552"/>
      <c r="Q10" s="553">
        <f t="shared" si="11"/>
        <v>3359330.80940232</v>
      </c>
      <c r="R10" s="553">
        <f t="shared" si="12"/>
        <v>21669.1171066838</v>
      </c>
      <c r="S10" s="554">
        <f t="shared" si="13"/>
        <v>3380999.926509</v>
      </c>
      <c r="T10" s="315">
        <v>44401</v>
      </c>
      <c r="U10" s="316">
        <v>44500</v>
      </c>
      <c r="V10" s="555"/>
      <c r="W10" s="556"/>
      <c r="X10" s="556"/>
    </row>
    <row r="11" ht="16.5" customHeight="1" s="545" customFormat="1">
      <c r="A11" s="299" t="s">
        <v>64</v>
      </c>
      <c r="B11" s="1228" t="s">
        <v>1297</v>
      </c>
      <c r="C11" s="1229" t="s">
        <v>1298</v>
      </c>
      <c r="D11" s="301" t="s">
        <v>84</v>
      </c>
      <c r="E11" s="301" t="s">
        <v>1102</v>
      </c>
      <c r="F11" s="437" t="s">
        <v>614</v>
      </c>
      <c r="G11" s="549">
        <f>3165876/31*23</f>
        <v>2348875.74193548</v>
      </c>
      <c r="H11" s="550">
        <f t="shared" si="0"/>
        <v>154811.3364</v>
      </c>
      <c r="I11" s="551">
        <f t="shared" si="1"/>
        <v>126635.04</v>
      </c>
      <c r="J11" s="551">
        <f t="shared" si="2"/>
        <v>63317.52</v>
      </c>
      <c r="K11" s="551">
        <v>15000</v>
      </c>
      <c r="L11" s="552">
        <f t="shared" si="9"/>
        <v>2708639.63833548</v>
      </c>
      <c r="M11" s="552">
        <f t="shared" si="10"/>
        <v>216691.171066838</v>
      </c>
      <c r="N11" s="552">
        <v>366000</v>
      </c>
      <c r="O11" s="552"/>
      <c r="P11" s="552"/>
      <c r="Q11" s="553">
        <f t="shared" si="11"/>
        <v>3291330.80940232</v>
      </c>
      <c r="R11" s="553">
        <f t="shared" si="12"/>
        <v>21669.1171066838</v>
      </c>
      <c r="S11" s="554">
        <f t="shared" si="13"/>
        <v>3312999.926509</v>
      </c>
      <c r="T11" s="315">
        <v>44401</v>
      </c>
      <c r="U11" s="316">
        <v>44500</v>
      </c>
      <c r="V11" s="555"/>
      <c r="W11" s="556"/>
      <c r="X11" s="556"/>
    </row>
    <row r="12" ht="16.5" customHeight="1" s="545" customFormat="1">
      <c r="A12" s="299" t="s">
        <v>59</v>
      </c>
      <c r="B12" s="547" t="s">
        <v>1299</v>
      </c>
      <c r="C12" s="548" t="s">
        <v>1300</v>
      </c>
      <c r="D12" s="301" t="s">
        <v>84</v>
      </c>
      <c r="E12" s="301" t="s">
        <v>1102</v>
      </c>
      <c r="F12" s="437" t="s">
        <v>614</v>
      </c>
      <c r="G12" s="549">
        <f>3165876/31*21</f>
        <v>2144625.67741935</v>
      </c>
      <c r="H12" s="550">
        <f t="shared" si="0"/>
        <v>154811.3364</v>
      </c>
      <c r="I12" s="551">
        <f t="shared" si="1"/>
        <v>126635.04</v>
      </c>
      <c r="J12" s="551">
        <f t="shared" si="2"/>
        <v>63317.52</v>
      </c>
      <c r="K12" s="551">
        <v>15000</v>
      </c>
      <c r="L12" s="552">
        <f t="shared" si="9"/>
        <v>2504389.57381935</v>
      </c>
      <c r="M12" s="552">
        <f t="shared" si="10"/>
        <v>200351.165905548</v>
      </c>
      <c r="N12" s="552">
        <v>291000</v>
      </c>
      <c r="O12" s="552"/>
      <c r="P12" s="552"/>
      <c r="Q12" s="553">
        <f t="shared" si="11"/>
        <v>2995740.7397249</v>
      </c>
      <c r="R12" s="553">
        <f t="shared" si="12"/>
        <v>20035.1165905548</v>
      </c>
      <c r="S12" s="554">
        <f t="shared" si="13"/>
        <v>3015775.85631546</v>
      </c>
      <c r="T12" s="315">
        <v>44403</v>
      </c>
      <c r="U12" s="316">
        <v>44500</v>
      </c>
      <c r="V12" s="555"/>
      <c r="W12" s="556"/>
      <c r="X12" s="556"/>
    </row>
    <row r="13" ht="18" customHeight="1" s="180" customFormat="1">
      <c r="A13" s="1090" t="s">
        <v>87</v>
      </c>
      <c r="B13" s="1213"/>
      <c r="C13" s="1091"/>
      <c r="D13" s="1091"/>
      <c r="E13" s="1091"/>
      <c r="F13" s="1092"/>
      <c r="G13" s="325">
        <f ref="G13:R13" t="shared" si="14">SUM(G7:G12)</f>
        <v>16340005.1612903</v>
      </c>
      <c r="H13" s="325">
        <f t="shared" si="14"/>
        <v>928868.0184</v>
      </c>
      <c r="I13" s="325">
        <f t="shared" si="14"/>
        <v>759810.24</v>
      </c>
      <c r="J13" s="325">
        <f t="shared" si="14"/>
        <v>379905.12</v>
      </c>
      <c r="K13" s="325">
        <f t="shared" si="14"/>
        <v>90000</v>
      </c>
      <c r="L13" s="325">
        <f t="shared" si="14"/>
        <v>18498588.5396903</v>
      </c>
      <c r="M13" s="325">
        <f t="shared" si="14"/>
        <v>1479887.08317523</v>
      </c>
      <c r="N13" s="325">
        <f t="shared" si="14"/>
        <v>4846000</v>
      </c>
      <c r="O13" s="325">
        <f t="shared" si="14"/>
        <v>0</v>
      </c>
      <c r="P13" s="325">
        <f t="shared" si="14"/>
        <v>0</v>
      </c>
      <c r="Q13" s="325">
        <f t="shared" si="14"/>
        <v>24824475.6228655</v>
      </c>
      <c r="R13" s="325">
        <f t="shared" si="14"/>
        <v>147988.708317523</v>
      </c>
      <c r="S13" s="325">
        <f>SUM(S7:S12)</f>
        <v>24972464.3311831</v>
      </c>
      <c r="T13" s="325"/>
      <c r="U13" s="543"/>
      <c r="W13" s="408"/>
      <c r="X13" s="408"/>
    </row>
    <row r="14" s="181" customFormat="1">
      <c r="A14" s="181" t="s">
        <v>87</v>
      </c>
      <c r="B14" s="1191"/>
      <c r="C14" s="188"/>
      <c r="D14" s="189"/>
      <c r="E14" s="189"/>
      <c r="F14" s="189"/>
      <c r="G14" s="190"/>
      <c r="L14" s="190"/>
      <c r="T14" s="189"/>
      <c r="U14" s="189"/>
      <c r="W14" s="425"/>
      <c r="X14" s="425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M15" s="229"/>
      <c r="N15" s="229"/>
      <c r="O15" s="229"/>
      <c r="P15" s="229"/>
      <c r="R15" s="230"/>
      <c r="S15" s="229"/>
      <c r="T15" s="187"/>
      <c r="U15" s="187"/>
      <c r="W15" s="345"/>
      <c r="X15" s="345"/>
    </row>
    <row r="16" s="178" customFormat="1">
      <c r="A16" s="213" t="s">
        <v>87</v>
      </c>
      <c r="B16" s="1178"/>
      <c r="C16" s="181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187"/>
      <c r="U16" s="187"/>
      <c r="W16" s="345"/>
      <c r="X16" s="345"/>
    </row>
    <row r="17" s="178" customFormat="1">
      <c r="A17" s="178" t="s">
        <v>87</v>
      </c>
      <c r="B17" s="1178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1"/>
      <c r="Q17" s="231"/>
      <c r="R17" s="230"/>
      <c r="S17" s="229"/>
      <c r="T17" s="242"/>
      <c r="U17" s="242"/>
      <c r="W17" s="345"/>
      <c r="X17" s="345"/>
    </row>
    <row r="18" s="178" customFormat="1">
      <c r="A18" s="213" t="s">
        <v>87</v>
      </c>
      <c r="B18" s="1178"/>
      <c r="C18" s="189"/>
      <c r="D18" s="189"/>
      <c r="E18" s="189"/>
      <c r="F18" s="189"/>
      <c r="G18" s="190"/>
      <c r="M18" s="229"/>
      <c r="N18" s="229"/>
      <c r="O18" s="229"/>
      <c r="P18" s="229"/>
      <c r="R18" s="230"/>
      <c r="S18" s="229"/>
      <c r="T18" s="242"/>
      <c r="U18" s="242"/>
      <c r="W18" s="345"/>
      <c r="X18" s="345"/>
    </row>
    <row r="19" s="178" customFormat="1">
      <c r="A19" s="178" t="s">
        <v>87</v>
      </c>
      <c r="B19" s="1178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81"/>
      <c r="P19" s="181"/>
      <c r="Q19" s="544"/>
      <c r="T19" s="242"/>
      <c r="U19" s="242"/>
      <c r="W19" s="345"/>
      <c r="X19" s="345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Q20" s="544"/>
      <c r="T20" s="242"/>
      <c r="U20" s="242"/>
      <c r="W20" s="345"/>
      <c r="X20" s="345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0"/>
      <c r="Q21" s="189"/>
      <c r="T21" s="242"/>
      <c r="U21" s="242"/>
      <c r="W21" s="345"/>
      <c r="X21" s="345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M22" s="231"/>
      <c r="Q22" s="189"/>
      <c r="T22" s="242"/>
      <c r="U22" s="242"/>
      <c r="W22" s="345"/>
      <c r="X22" s="345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189"/>
      <c r="T23" s="242"/>
      <c r="U23" s="242"/>
      <c r="W23" s="345"/>
      <c r="X23" s="345"/>
    </row>
    <row r="24" s="178" customFormat="1">
      <c r="A24" s="178" t="s">
        <v>87</v>
      </c>
      <c r="B24" s="1178"/>
      <c r="C24" s="189"/>
      <c r="D24" s="189"/>
      <c r="F24" s="215"/>
      <c r="G24" s="190"/>
      <c r="H24" s="190"/>
      <c r="K24" s="229"/>
      <c r="Q24" s="189"/>
      <c r="R24" s="189"/>
      <c r="T24" s="242"/>
      <c r="U24" s="243"/>
      <c r="W24" s="345"/>
      <c r="X24" s="345"/>
    </row>
    <row r="25" s="178" customFormat="1">
      <c r="A25" s="181" t="s">
        <v>87</v>
      </c>
      <c r="B25" s="1178"/>
      <c r="C25" s="189"/>
      <c r="D25" s="189"/>
      <c r="F25" s="189"/>
      <c r="G25" s="190"/>
      <c r="H25" s="190"/>
      <c r="K25" s="229"/>
      <c r="Q25" s="189"/>
      <c r="S25" s="181"/>
      <c r="T25" s="242"/>
      <c r="U25" s="243"/>
      <c r="W25" s="345"/>
      <c r="X25" s="345"/>
    </row>
    <row r="26" s="181" customFormat="1">
      <c r="A26" s="181" t="s">
        <v>87</v>
      </c>
      <c r="B26" s="1190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R26" s="213" t="s">
        <v>238</v>
      </c>
      <c r="T26" s="188"/>
      <c r="U26" s="243"/>
      <c r="W26" s="425"/>
      <c r="X26" s="425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  <c r="W27" s="425"/>
      <c r="X27" s="425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  <c r="W28" s="425"/>
      <c r="X28" s="425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T29" s="189"/>
      <c r="U29" s="189"/>
      <c r="W29" s="425"/>
      <c r="X29" s="425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L30" s="190"/>
      <c r="T30" s="189"/>
      <c r="U30" s="189"/>
      <c r="W30" s="425"/>
      <c r="X30" s="425"/>
    </row>
    <row r="31" s="181" customFormat="1">
      <c r="A31" s="181" t="s">
        <v>87</v>
      </c>
      <c r="B31" s="1191"/>
      <c r="C31" s="188"/>
      <c r="D31" s="189"/>
      <c r="E31" s="189"/>
      <c r="F31" s="189"/>
      <c r="G31" s="190"/>
      <c r="L31" s="190"/>
      <c r="T31" s="189"/>
      <c r="U31" s="189"/>
      <c r="W31" s="425"/>
      <c r="X31" s="425"/>
    </row>
    <row r="32" s="181" customFormat="1">
      <c r="A32" s="181" t="s">
        <v>87</v>
      </c>
      <c r="B32" s="1191"/>
      <c r="C32" s="188"/>
      <c r="D32" s="189"/>
      <c r="E32" s="189"/>
      <c r="F32" s="189"/>
      <c r="G32" s="190"/>
      <c r="L32" s="190"/>
      <c r="T32" s="189"/>
      <c r="U32" s="189"/>
      <c r="W32" s="425"/>
      <c r="X32" s="425"/>
    </row>
    <row r="33" s="181" customFormat="1">
      <c r="A33" s="181" t="s">
        <v>87</v>
      </c>
      <c r="B33" s="1191"/>
      <c r="F33" s="215"/>
      <c r="W33" s="425"/>
      <c r="X33" s="425"/>
    </row>
    <row r="34" s="181" customFormat="1">
      <c r="A34" s="181" t="s">
        <v>87</v>
      </c>
      <c r="B34" s="1191"/>
      <c r="F34" s="215"/>
      <c r="W34" s="425"/>
      <c r="X34" s="425"/>
    </row>
    <row r="35" s="181" customFormat="1">
      <c r="A35" s="181" t="s">
        <v>87</v>
      </c>
      <c r="B35" s="1191"/>
      <c r="F35" s="215"/>
      <c r="W35" s="425"/>
      <c r="X35" s="425"/>
    </row>
    <row r="36" s="181" customFormat="1">
      <c r="A36" s="181" t="s">
        <v>87</v>
      </c>
      <c r="B36" s="1191"/>
      <c r="F36" s="215"/>
      <c r="W36" s="425"/>
      <c r="X36" s="425"/>
    </row>
    <row r="37" s="181" customFormat="1">
      <c r="A37" s="181" t="s">
        <v>87</v>
      </c>
      <c r="B37" s="1191"/>
      <c r="F37" s="215"/>
      <c r="W37" s="425"/>
      <c r="X37" s="425"/>
    </row>
    <row r="38" s="181" customFormat="1">
      <c r="A38" s="181" t="s">
        <v>87</v>
      </c>
      <c r="B38" s="1191"/>
      <c r="F38" s="215"/>
      <c r="W38" s="425"/>
      <c r="X38" s="425"/>
    </row>
    <row r="39" s="181" customFormat="1">
      <c r="A39" s="181" t="s">
        <v>87</v>
      </c>
      <c r="B39" s="1191"/>
      <c r="F39" s="215"/>
      <c r="W39" s="425"/>
      <c r="X39" s="425"/>
    </row>
    <row r="40" s="181" customFormat="1">
      <c r="A40" s="181" t="s">
        <v>87</v>
      </c>
      <c r="B40" s="1191"/>
      <c r="F40" s="215"/>
      <c r="W40" s="425"/>
      <c r="X40" s="425"/>
    </row>
    <row r="41" s="181" customFormat="1">
      <c r="A41" s="181" t="s">
        <v>87</v>
      </c>
      <c r="B41" s="1191"/>
      <c r="F41" s="215"/>
      <c r="W41" s="425"/>
      <c r="X41" s="425"/>
    </row>
    <row r="42">
      <c r="C42" s="182"/>
      <c r="D42" s="182"/>
      <c r="E42" s="182"/>
      <c r="F42" s="217"/>
      <c r="G42" s="182"/>
      <c r="L42" s="182"/>
      <c r="T42" s="182"/>
      <c r="U42" s="182"/>
    </row>
  </sheetData>
  <mergeCells>
    <mergeCell ref="A13:F13"/>
  </mergeCells>
  <printOptions horizontalCentered="1"/>
  <pageMargins left="0" right="0" top="0.75" bottom="0.75" header="0.3" footer="0.3"/>
  <pageSetup paperSize="9" scale="8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">
    <tabColor theme="0"/>
  </sheetPr>
  <dimension ref="A1:AM23"/>
  <sheetViews>
    <sheetView zoomScale="85" zoomScaleNormal="85" workbookViewId="0">
      <pane xSplit="3" ySplit="5" topLeftCell="E6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6" width="5" customWidth="1"/>
    <col min="7" max="7" width="5.28515625" customWidth="1"/>
    <col min="8" max="8" width="5.42578125" customWidth="1"/>
    <col min="9" max="9" width="4.42578125" customWidth="1"/>
    <col min="10" max="11" width="5" customWidth="1"/>
    <col min="12" max="12" width="6.140625" customWidth="1"/>
    <col min="13" max="21" width="5" customWidth="1"/>
    <col min="22" max="22" width="4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82">
        <v>2651782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5" t="s">
        <v>4</v>
      </c>
      <c r="C6" s="1065" t="s">
        <v>5</v>
      </c>
      <c r="D6" s="1083" t="s">
        <v>18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>
      <c r="A8" s="1063">
        <v>1</v>
      </c>
      <c r="B8" s="1073" t="s">
        <v>19</v>
      </c>
      <c r="C8" s="1067" t="s">
        <v>20</v>
      </c>
      <c r="D8" s="753"/>
      <c r="E8" s="753"/>
      <c r="F8" s="753"/>
      <c r="G8" s="753"/>
      <c r="H8" s="753">
        <v>4</v>
      </c>
      <c r="I8" s="753"/>
      <c r="J8" s="753"/>
      <c r="K8" s="753"/>
      <c r="L8" s="756">
        <v>8</v>
      </c>
      <c r="M8" s="756"/>
      <c r="N8" s="756">
        <v>4</v>
      </c>
      <c r="O8" s="756">
        <v>4</v>
      </c>
      <c r="P8" s="756"/>
      <c r="Q8" s="753"/>
      <c r="R8" s="753"/>
      <c r="S8" s="756"/>
      <c r="T8" s="753"/>
      <c r="U8" s="756">
        <v>4</v>
      </c>
      <c r="V8" s="756">
        <v>4</v>
      </c>
      <c r="W8" s="756"/>
      <c r="X8" s="753"/>
      <c r="Y8" s="756"/>
      <c r="Z8" s="756">
        <v>4</v>
      </c>
      <c r="AA8" s="756"/>
      <c r="AB8" s="756">
        <v>4</v>
      </c>
      <c r="AC8" s="756"/>
      <c r="AD8" s="756">
        <v>4</v>
      </c>
      <c r="AE8" s="756"/>
      <c r="AF8" s="756"/>
      <c r="AG8" s="753"/>
      <c r="AH8" s="753"/>
      <c r="AI8" s="753">
        <f ref="AI8:AI17" t="shared" si="1">SUM(D8:AH8)</f>
        <v>40</v>
      </c>
      <c r="AJ8" s="125"/>
      <c r="AK8" s="758"/>
    </row>
    <row r="9">
      <c r="A9" s="1063"/>
      <c r="B9" s="1074"/>
      <c r="C9" s="1068"/>
      <c r="D9" s="754"/>
      <c r="E9" s="754"/>
      <c r="F9" s="754"/>
      <c r="G9" s="754"/>
      <c r="H9" s="755">
        <v>7.5</v>
      </c>
      <c r="I9" s="755"/>
      <c r="J9" s="754"/>
      <c r="K9" s="754"/>
      <c r="L9" s="757">
        <v>16</v>
      </c>
      <c r="M9" s="757"/>
      <c r="N9" s="755">
        <v>7.5</v>
      </c>
      <c r="O9" s="755">
        <v>7.5</v>
      </c>
      <c r="P9" s="755"/>
      <c r="Q9" s="754"/>
      <c r="R9" s="754"/>
      <c r="S9" s="757"/>
      <c r="T9" s="754"/>
      <c r="U9" s="755">
        <v>7.5</v>
      </c>
      <c r="V9" s="755">
        <v>7.5</v>
      </c>
      <c r="W9" s="755"/>
      <c r="X9" s="754"/>
      <c r="Y9" s="757"/>
      <c r="Z9" s="755">
        <v>7.5</v>
      </c>
      <c r="AA9" s="757"/>
      <c r="AB9" s="755">
        <v>7.5</v>
      </c>
      <c r="AC9" s="757"/>
      <c r="AD9" s="755">
        <v>7.5</v>
      </c>
      <c r="AE9" s="757"/>
      <c r="AF9" s="757"/>
      <c r="AG9" s="754"/>
      <c r="AH9" s="754"/>
      <c r="AI9" s="755">
        <f t="shared" si="1"/>
        <v>76</v>
      </c>
      <c r="AJ9" s="128">
        <f>+$C$5/173*AI9</f>
        <v>1164944.69364162</v>
      </c>
      <c r="AK9" s="755"/>
      <c r="AL9" s="0">
        <v>1164945</v>
      </c>
    </row>
    <row r="10" s="99" customFormat="1">
      <c r="A10" s="1064">
        <f>+A8+1</f>
        <v>2</v>
      </c>
      <c r="B10" s="1075" t="s">
        <v>21</v>
      </c>
      <c r="C10" s="1069" t="s">
        <v>22</v>
      </c>
      <c r="D10" s="115"/>
      <c r="E10" s="115">
        <v>1</v>
      </c>
      <c r="F10" s="115">
        <v>1</v>
      </c>
      <c r="G10" s="115"/>
      <c r="H10" s="115"/>
      <c r="I10" s="115"/>
      <c r="J10" s="115">
        <v>1</v>
      </c>
      <c r="K10" s="115"/>
      <c r="L10" s="115">
        <v>7</v>
      </c>
      <c r="M10" s="115">
        <v>1</v>
      </c>
      <c r="N10" s="115">
        <v>1</v>
      </c>
      <c r="O10" s="115">
        <v>1</v>
      </c>
      <c r="P10" s="115">
        <v>1</v>
      </c>
      <c r="Q10" s="115">
        <v>1</v>
      </c>
      <c r="R10" s="115"/>
      <c r="S10" s="115">
        <v>4</v>
      </c>
      <c r="T10" s="115">
        <v>4</v>
      </c>
      <c r="U10" s="115"/>
      <c r="V10" s="115">
        <v>1</v>
      </c>
      <c r="W10" s="115">
        <v>1</v>
      </c>
      <c r="X10" s="115">
        <v>1</v>
      </c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>
        <f t="shared" si="1"/>
        <v>26</v>
      </c>
      <c r="AJ10" s="866"/>
      <c r="AK10" s="126"/>
      <c r="AL10" s="867">
        <f>2651782/173</f>
        <v>15328.2196531792</v>
      </c>
      <c r="AM10" s="868">
        <f>+AL9/AL10</f>
        <v>76.00001998656</v>
      </c>
    </row>
    <row r="11" s="99" customFormat="1">
      <c r="A11" s="1064"/>
      <c r="B11" s="1074"/>
      <c r="C11" s="1070"/>
      <c r="D11" s="121"/>
      <c r="E11" s="121">
        <v>1.5</v>
      </c>
      <c r="F11" s="121">
        <v>1.5</v>
      </c>
      <c r="G11" s="121"/>
      <c r="H11" s="121"/>
      <c r="I11" s="121"/>
      <c r="J11" s="121">
        <v>1.5</v>
      </c>
      <c r="K11" s="121"/>
      <c r="L11" s="121">
        <v>14</v>
      </c>
      <c r="M11" s="121">
        <v>1.5</v>
      </c>
      <c r="N11" s="121">
        <v>1.5</v>
      </c>
      <c r="O11" s="121">
        <v>1.5</v>
      </c>
      <c r="P11" s="121">
        <v>1.5</v>
      </c>
      <c r="Q11" s="121">
        <v>1.5</v>
      </c>
      <c r="R11" s="121"/>
      <c r="S11" s="121">
        <v>7.5</v>
      </c>
      <c r="T11" s="121">
        <v>7.5</v>
      </c>
      <c r="U11" s="121"/>
      <c r="V11" s="121">
        <v>1.5</v>
      </c>
      <c r="W11" s="121">
        <v>1.5</v>
      </c>
      <c r="X11" s="121">
        <v>1.5</v>
      </c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>
        <f t="shared" si="1"/>
        <v>45.5</v>
      </c>
      <c r="AJ11" s="869">
        <f>+$C$5/173*AI11</f>
        <v>697433.994219653</v>
      </c>
      <c r="AK11" s="121"/>
      <c r="AL11" s="868"/>
    </row>
    <row r="12" s="99" customFormat="1">
      <c r="A12" s="1064">
        <f>+A10+1</f>
        <v>3</v>
      </c>
      <c r="B12" s="1076" t="s">
        <v>23</v>
      </c>
      <c r="C12" s="1071" t="s">
        <v>24</v>
      </c>
      <c r="D12" s="115">
        <v>1</v>
      </c>
      <c r="E12" s="115"/>
      <c r="F12" s="115"/>
      <c r="G12" s="115">
        <v>1</v>
      </c>
      <c r="H12" s="115">
        <v>1</v>
      </c>
      <c r="I12" s="115"/>
      <c r="J12" s="115"/>
      <c r="K12" s="115"/>
      <c r="L12" s="115"/>
      <c r="M12" s="115">
        <v>1</v>
      </c>
      <c r="N12" s="115"/>
      <c r="O12" s="115"/>
      <c r="P12" s="115">
        <v>5</v>
      </c>
      <c r="Q12" s="115">
        <v>2</v>
      </c>
      <c r="R12" s="115">
        <v>1</v>
      </c>
      <c r="S12" s="115"/>
      <c r="T12" s="115">
        <v>1</v>
      </c>
      <c r="U12" s="115"/>
      <c r="V12" s="115">
        <v>1</v>
      </c>
      <c r="W12" s="115"/>
      <c r="X12" s="115"/>
      <c r="Y12" s="115"/>
      <c r="Z12" s="115"/>
      <c r="AA12" s="115">
        <v>1</v>
      </c>
      <c r="AB12" s="115">
        <v>1</v>
      </c>
      <c r="AC12" s="115">
        <v>1</v>
      </c>
      <c r="AD12" s="115">
        <v>1</v>
      </c>
      <c r="AE12" s="115"/>
      <c r="AF12" s="115"/>
      <c r="AG12" s="115"/>
      <c r="AH12" s="115"/>
      <c r="AI12" s="115">
        <f t="shared" si="1"/>
        <v>18</v>
      </c>
      <c r="AJ12" s="870"/>
      <c r="AK12" s="126"/>
    </row>
    <row r="13" s="99" customFormat="1">
      <c r="A13" s="1064"/>
      <c r="B13" s="1077"/>
      <c r="C13" s="1072"/>
      <c r="D13" s="121">
        <v>1.5</v>
      </c>
      <c r="E13" s="121"/>
      <c r="F13" s="121"/>
      <c r="G13" s="121">
        <v>1.5</v>
      </c>
      <c r="H13" s="121">
        <v>1.5</v>
      </c>
      <c r="I13" s="121"/>
      <c r="J13" s="121"/>
      <c r="K13" s="121"/>
      <c r="L13" s="121"/>
      <c r="M13" s="121">
        <v>1.5</v>
      </c>
      <c r="N13" s="121"/>
      <c r="O13" s="121"/>
      <c r="P13" s="121">
        <v>9.5</v>
      </c>
      <c r="Q13" s="121">
        <v>3.5</v>
      </c>
      <c r="R13" s="121">
        <v>1.5</v>
      </c>
      <c r="S13" s="121"/>
      <c r="T13" s="121">
        <v>1.5</v>
      </c>
      <c r="U13" s="121"/>
      <c r="V13" s="121">
        <v>1.5</v>
      </c>
      <c r="W13" s="121"/>
      <c r="X13" s="121"/>
      <c r="Y13" s="121"/>
      <c r="Z13" s="121"/>
      <c r="AA13" s="121">
        <v>1.5</v>
      </c>
      <c r="AB13" s="121">
        <v>1.5</v>
      </c>
      <c r="AC13" s="121">
        <v>1.5</v>
      </c>
      <c r="AD13" s="121">
        <v>1.5</v>
      </c>
      <c r="AE13" s="121"/>
      <c r="AF13" s="121"/>
      <c r="AG13" s="121"/>
      <c r="AH13" s="121"/>
      <c r="AI13" s="121">
        <f t="shared" si="1"/>
        <v>29.5</v>
      </c>
      <c r="AJ13" s="871">
        <f>+$C$5/173*AI13</f>
        <v>452182.479768786</v>
      </c>
      <c r="AK13" s="121"/>
    </row>
    <row r="14" s="99" customFormat="1">
      <c r="A14" s="1064">
        <f>+A12+1</f>
        <v>4</v>
      </c>
      <c r="B14" s="1076" t="s">
        <v>25</v>
      </c>
      <c r="C14" s="1071" t="s">
        <v>26</v>
      </c>
      <c r="D14" s="115"/>
      <c r="E14" s="115"/>
      <c r="F14" s="115">
        <v>4</v>
      </c>
      <c r="G14" s="115">
        <v>4</v>
      </c>
      <c r="H14" s="115"/>
      <c r="I14" s="115"/>
      <c r="J14" s="115"/>
      <c r="K14" s="115"/>
      <c r="L14" s="115">
        <v>8</v>
      </c>
      <c r="M14" s="115">
        <v>4</v>
      </c>
      <c r="N14" s="115">
        <v>4</v>
      </c>
      <c r="O14" s="115"/>
      <c r="P14" s="115"/>
      <c r="Q14" s="115"/>
      <c r="R14" s="115"/>
      <c r="S14" s="115"/>
      <c r="T14" s="115">
        <v>4</v>
      </c>
      <c r="U14" s="115">
        <v>4</v>
      </c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>
        <f t="shared" si="1"/>
        <v>32</v>
      </c>
      <c r="AJ14" s="870"/>
      <c r="AK14" s="126"/>
      <c r="AL14" s="99">
        <v>935021</v>
      </c>
      <c r="AM14" s="868">
        <f>+AL14/AL10</f>
        <v>60.9999739797615</v>
      </c>
    </row>
    <row r="15" s="99" customFormat="1">
      <c r="A15" s="1064"/>
      <c r="B15" s="1077"/>
      <c r="C15" s="1072"/>
      <c r="D15" s="121"/>
      <c r="E15" s="121"/>
      <c r="F15" s="755">
        <v>7.5</v>
      </c>
      <c r="G15" s="755">
        <v>7.5</v>
      </c>
      <c r="H15" s="121"/>
      <c r="I15" s="121"/>
      <c r="J15" s="121"/>
      <c r="K15" s="121"/>
      <c r="L15" s="121">
        <v>16</v>
      </c>
      <c r="M15" s="755">
        <v>7.5</v>
      </c>
      <c r="N15" s="755">
        <v>7.5</v>
      </c>
      <c r="O15" s="121"/>
      <c r="P15" s="121"/>
      <c r="Q15" s="121"/>
      <c r="R15" s="121"/>
      <c r="S15" s="121"/>
      <c r="T15" s="755">
        <v>7.5</v>
      </c>
      <c r="U15" s="755">
        <v>7.5</v>
      </c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>
        <f t="shared" si="1"/>
        <v>61</v>
      </c>
      <c r="AJ15" s="871">
        <f>+$C$5/173*AI15</f>
        <v>935021.398843931</v>
      </c>
      <c r="AK15" s="121"/>
    </row>
    <row r="16" s="99" customFormat="1">
      <c r="A16" s="1064">
        <f>+A14+1</f>
        <v>5</v>
      </c>
      <c r="B16" s="1078" t="s">
        <v>27</v>
      </c>
      <c r="C16" s="1086" t="s">
        <v>28</v>
      </c>
      <c r="D16" s="115">
        <v>2</v>
      </c>
      <c r="E16" s="115"/>
      <c r="F16" s="115"/>
      <c r="G16" s="115"/>
      <c r="H16" s="115">
        <v>2</v>
      </c>
      <c r="I16" s="115"/>
      <c r="J16" s="115">
        <v>3</v>
      </c>
      <c r="K16" s="115"/>
      <c r="L16" s="115">
        <v>8</v>
      </c>
      <c r="M16" s="115">
        <v>2</v>
      </c>
      <c r="N16" s="115">
        <v>3</v>
      </c>
      <c r="O16" s="115">
        <v>4</v>
      </c>
      <c r="P16" s="115"/>
      <c r="Q16" s="115"/>
      <c r="R16" s="115">
        <v>3</v>
      </c>
      <c r="S16" s="115"/>
      <c r="T16" s="115">
        <v>4</v>
      </c>
      <c r="U16" s="115"/>
      <c r="V16" s="115"/>
      <c r="W16" s="115"/>
      <c r="X16" s="115">
        <v>3</v>
      </c>
      <c r="Y16" s="115">
        <v>3</v>
      </c>
      <c r="Z16" s="115"/>
      <c r="AA16" s="115"/>
      <c r="AB16" s="115"/>
      <c r="AC16" s="115"/>
      <c r="AD16" s="115"/>
      <c r="AE16" s="115"/>
      <c r="AF16" s="115"/>
      <c r="AG16" s="115"/>
      <c r="AH16" s="115"/>
      <c r="AI16" s="115">
        <f t="shared" si="1"/>
        <v>37</v>
      </c>
      <c r="AJ16" s="870"/>
      <c r="AK16" s="126"/>
    </row>
    <row r="17" s="99" customFormat="1">
      <c r="A17" s="1064"/>
      <c r="B17" s="1079"/>
      <c r="C17" s="1086"/>
      <c r="D17" s="121">
        <v>3.5</v>
      </c>
      <c r="E17" s="121"/>
      <c r="F17" s="121"/>
      <c r="G17" s="121"/>
      <c r="H17" s="121">
        <v>3.5</v>
      </c>
      <c r="I17" s="121"/>
      <c r="J17" s="121">
        <v>5.5</v>
      </c>
      <c r="K17" s="121"/>
      <c r="L17" s="121">
        <v>16</v>
      </c>
      <c r="M17" s="121">
        <v>3.5</v>
      </c>
      <c r="N17" s="121">
        <v>5.5</v>
      </c>
      <c r="O17" s="755">
        <v>7.5</v>
      </c>
      <c r="P17" s="121"/>
      <c r="Q17" s="121"/>
      <c r="R17" s="121">
        <v>5.5</v>
      </c>
      <c r="S17" s="121"/>
      <c r="T17" s="755">
        <v>7.5</v>
      </c>
      <c r="U17" s="121"/>
      <c r="V17" s="121"/>
      <c r="W17" s="121"/>
      <c r="X17" s="121">
        <v>5.5</v>
      </c>
      <c r="Y17" s="121">
        <v>5.5</v>
      </c>
      <c r="Z17" s="121"/>
      <c r="AA17" s="121"/>
      <c r="AB17" s="121"/>
      <c r="AC17" s="121"/>
      <c r="AD17" s="121"/>
      <c r="AE17" s="121"/>
      <c r="AF17" s="121"/>
      <c r="AG17" s="121"/>
      <c r="AH17" s="121"/>
      <c r="AI17" s="121">
        <f t="shared" si="1"/>
        <v>69</v>
      </c>
      <c r="AJ17" s="871">
        <f>+$C$5/173*AI17</f>
        <v>1057647.15606936</v>
      </c>
      <c r="AK17" s="121"/>
    </row>
    <row r="18" s="99" customFormat="1">
      <c r="A18" s="1064">
        <f>+A16+1</f>
        <v>6</v>
      </c>
      <c r="B18" s="1080" t="s">
        <v>29</v>
      </c>
      <c r="C18" s="1071" t="s">
        <v>30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>
        <v>0</v>
      </c>
      <c r="AJ18" s="872"/>
      <c r="AK18" s="126"/>
    </row>
    <row r="19" s="99" customFormat="1">
      <c r="A19" s="1064"/>
      <c r="B19" s="1081"/>
      <c r="C19" s="1072"/>
      <c r="D19" s="116"/>
      <c r="E19" s="116"/>
      <c r="F19" s="116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>
        <f>SUM(D19:AH19)</f>
        <v>0</v>
      </c>
      <c r="AJ19" s="873">
        <f>+$C$5/173*AI19</f>
        <v>0</v>
      </c>
      <c r="AK19" s="121"/>
      <c r="AL19" s="874"/>
    </row>
    <row r="20" s="99" customFormat="1">
      <c r="A20" s="1064">
        <f>+A18+1</f>
        <v>7</v>
      </c>
      <c r="B20" s="1073" t="s">
        <v>31</v>
      </c>
      <c r="C20" s="1067" t="s">
        <v>32</v>
      </c>
      <c r="D20" s="115"/>
      <c r="E20" s="115"/>
      <c r="F20" s="115">
        <v>4</v>
      </c>
      <c r="G20" s="115"/>
      <c r="H20" s="115"/>
      <c r="I20" s="115"/>
      <c r="J20" s="115"/>
      <c r="K20" s="115"/>
      <c r="L20" s="115">
        <v>6</v>
      </c>
      <c r="M20" s="115">
        <v>4</v>
      </c>
      <c r="N20" s="115"/>
      <c r="O20" s="115">
        <v>4</v>
      </c>
      <c r="P20" s="115"/>
      <c r="Q20" s="115"/>
      <c r="R20" s="115"/>
      <c r="S20" s="115"/>
      <c r="T20" s="115">
        <v>4</v>
      </c>
      <c r="U20" s="115"/>
      <c r="V20" s="115">
        <v>4</v>
      </c>
      <c r="W20" s="115"/>
      <c r="X20" s="115"/>
      <c r="Y20" s="115"/>
      <c r="Z20" s="115"/>
      <c r="AA20" s="115"/>
      <c r="AB20" s="115"/>
      <c r="AC20" s="115">
        <v>4</v>
      </c>
      <c r="AD20" s="115"/>
      <c r="AE20" s="115">
        <v>4</v>
      </c>
      <c r="AF20" s="115"/>
      <c r="AG20" s="115">
        <v>4</v>
      </c>
      <c r="AH20" s="115"/>
      <c r="AI20" s="115">
        <f>SUM(D20:AH20)</f>
        <v>38</v>
      </c>
      <c r="AJ20" s="125"/>
      <c r="AK20" s="126"/>
    </row>
    <row r="21" s="99" customFormat="1">
      <c r="A21" s="1064"/>
      <c r="B21" s="1074"/>
      <c r="C21" s="1068"/>
      <c r="D21" s="121"/>
      <c r="E21" s="116"/>
      <c r="F21" s="755">
        <v>7.5</v>
      </c>
      <c r="G21" s="121"/>
      <c r="H21" s="116"/>
      <c r="I21" s="121"/>
      <c r="J21" s="116"/>
      <c r="K21" s="121"/>
      <c r="L21" s="116">
        <v>12</v>
      </c>
      <c r="M21" s="755">
        <v>7.5</v>
      </c>
      <c r="N21" s="116"/>
      <c r="O21" s="755">
        <v>7.5</v>
      </c>
      <c r="P21" s="121"/>
      <c r="Q21" s="116"/>
      <c r="R21" s="121"/>
      <c r="S21" s="116"/>
      <c r="T21" s="755">
        <v>7.5</v>
      </c>
      <c r="U21" s="121"/>
      <c r="V21" s="755">
        <v>7.5</v>
      </c>
      <c r="W21" s="121"/>
      <c r="X21" s="116"/>
      <c r="Y21" s="116"/>
      <c r="Z21" s="116"/>
      <c r="AA21" s="116"/>
      <c r="AB21" s="121"/>
      <c r="AC21" s="755">
        <v>7.5</v>
      </c>
      <c r="AD21" s="121"/>
      <c r="AE21" s="755">
        <v>7.5</v>
      </c>
      <c r="AF21" s="116"/>
      <c r="AG21" s="755">
        <v>7.5</v>
      </c>
      <c r="AH21" s="116"/>
      <c r="AI21" s="121">
        <f>SUM(D21:AH21)</f>
        <v>72</v>
      </c>
      <c r="AJ21" s="128">
        <f>+$C$5/173*AI21</f>
        <v>1103631.8150289</v>
      </c>
      <c r="AK21" s="121"/>
    </row>
    <row r="22" s="99" customFormat="1">
      <c r="A22" s="1064">
        <f>+A20+1</f>
        <v>8</v>
      </c>
      <c r="B22" s="1082"/>
      <c r="C22" s="1071" t="s">
        <v>33</v>
      </c>
      <c r="D22" s="115"/>
      <c r="E22" s="115">
        <v>1</v>
      </c>
      <c r="F22" s="115"/>
      <c r="G22" s="115"/>
      <c r="H22" s="115"/>
      <c r="I22" s="115"/>
      <c r="J22" s="115"/>
      <c r="K22" s="115">
        <v>2</v>
      </c>
      <c r="L22" s="115">
        <v>8</v>
      </c>
      <c r="M22" s="115"/>
      <c r="N22" s="115"/>
      <c r="O22" s="115">
        <v>3</v>
      </c>
      <c r="P22" s="115">
        <v>1</v>
      </c>
      <c r="Q22" s="115"/>
      <c r="R22" s="115">
        <v>5</v>
      </c>
      <c r="S22" s="115"/>
      <c r="T22" s="115"/>
      <c r="U22" s="115">
        <v>5</v>
      </c>
      <c r="V22" s="115"/>
      <c r="W22" s="115">
        <v>3</v>
      </c>
      <c r="X22" s="115"/>
      <c r="Y22" s="115"/>
      <c r="Z22" s="115"/>
      <c r="AA22" s="115"/>
      <c r="AB22" s="115">
        <v>4</v>
      </c>
      <c r="AC22" s="115">
        <v>4</v>
      </c>
      <c r="AD22" s="115"/>
      <c r="AE22" s="115"/>
      <c r="AF22" s="115"/>
      <c r="AG22" s="115"/>
      <c r="AH22" s="115"/>
      <c r="AI22" s="115">
        <f>SUM(D22:AH22)</f>
        <v>36</v>
      </c>
      <c r="AJ22" s="872"/>
      <c r="AK22" s="126"/>
    </row>
    <row r="23" s="99" customFormat="1">
      <c r="A23" s="1064"/>
      <c r="B23" s="1081"/>
      <c r="C23" s="1072"/>
      <c r="D23" s="116"/>
      <c r="E23" s="116">
        <v>1.5</v>
      </c>
      <c r="F23" s="116"/>
      <c r="G23" s="121"/>
      <c r="H23" s="121"/>
      <c r="I23" s="121"/>
      <c r="J23" s="121"/>
      <c r="K23" s="121">
        <v>3.5</v>
      </c>
      <c r="L23" s="121">
        <v>16</v>
      </c>
      <c r="M23" s="121"/>
      <c r="N23" s="121"/>
      <c r="O23" s="121">
        <v>5.5</v>
      </c>
      <c r="P23" s="121">
        <v>1.5</v>
      </c>
      <c r="Q23" s="121"/>
      <c r="R23" s="121">
        <v>9.5</v>
      </c>
      <c r="S23" s="121"/>
      <c r="T23" s="121"/>
      <c r="U23" s="121">
        <v>9.5</v>
      </c>
      <c r="V23" s="121"/>
      <c r="W23" s="121">
        <v>5.5</v>
      </c>
      <c r="X23" s="121"/>
      <c r="Y23" s="121"/>
      <c r="Z23" s="121"/>
      <c r="AA23" s="121"/>
      <c r="AB23" s="755">
        <v>7.5</v>
      </c>
      <c r="AC23" s="755">
        <v>7.5</v>
      </c>
      <c r="AD23" s="121"/>
      <c r="AE23" s="121"/>
      <c r="AF23" s="121"/>
      <c r="AG23" s="121"/>
      <c r="AH23" s="121"/>
      <c r="AI23" s="121">
        <f>SUM(D23:AH23)</f>
        <v>67.5</v>
      </c>
      <c r="AJ23" s="873">
        <f>+$C$5/173*AI23</f>
        <v>1034654.8265896</v>
      </c>
      <c r="AK23" s="121"/>
      <c r="AL23" s="874"/>
    </row>
  </sheetData>
  <mergeCells>
    <mergeCell ref="AJ6:AJ7"/>
    <mergeCell ref="AK6:AK7"/>
    <mergeCell ref="C16:C17"/>
    <mergeCell ref="C18:C19"/>
    <mergeCell ref="C20:C21"/>
    <mergeCell ref="C22:C23"/>
    <mergeCell ref="AI6:AI7"/>
    <mergeCell ref="A16:A17"/>
    <mergeCell ref="A18:A19"/>
    <mergeCell ref="A20:A21"/>
    <mergeCell ref="A22:A23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D6:AH6"/>
    <mergeCell ref="A8:A9"/>
    <mergeCell ref="A10:A11"/>
    <mergeCell ref="A12:A13"/>
    <mergeCell ref="A14:A15"/>
    <mergeCell ref="C6:C7"/>
    <mergeCell ref="C8:C9"/>
    <mergeCell ref="C10:C11"/>
    <mergeCell ref="C12:C13"/>
    <mergeCell ref="C14:C15"/>
  </mergeCells>
  <pageMargins left="0.7" right="0.7" top="0.75" bottom="0.75" header="0.3" footer="0.3"/>
  <pageSetup paperSize="9" orientation="portrait" horizontalDpi="120" verticalDpi="72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3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M30" sqref="M30"/>
    </sheetView>
  </sheetViews>
  <sheetFormatPr defaultColWidth="9.140625" defaultRowHeight="12"/>
  <cols>
    <col min="1" max="1" width="4.42578125" customWidth="1" style="182"/>
    <col min="2" max="2" width="5.7109375" customWidth="1" style="183"/>
    <col min="3" max="3" width="21" customWidth="1" style="184"/>
    <col min="4" max="4" width="6.7109375" customWidth="1" style="183"/>
    <col min="5" max="5" width="6.85546875" customWidth="1" style="183"/>
    <col min="6" max="6" width="9" customWidth="1" style="183"/>
    <col min="7" max="7" width="9.7109375" customWidth="1" style="185"/>
    <col min="8" max="8" width="11" customWidth="1" style="182"/>
    <col min="9" max="9" width="11.140625" customWidth="1" style="182"/>
    <col min="10" max="10" width="10.28515625" customWidth="1" style="182"/>
    <col min="11" max="11" width="11.140625" customWidth="1" style="182"/>
    <col min="12" max="12" width="12.7109375" customWidth="1" style="185"/>
    <col min="13" max="13" width="10.85546875" customWidth="1" style="182"/>
    <col min="14" max="14" width="11.28515625" customWidth="1" style="182"/>
    <col min="15" max="15" hidden="1" width="11" customWidth="1" style="182"/>
    <col min="16" max="16" hidden="1" width="10.5703125" customWidth="1" style="182"/>
    <col min="17" max="17" width="10.5703125" customWidth="1" style="182"/>
    <col min="18" max="18" width="8.28515625" customWidth="1" style="182"/>
    <col min="19" max="19" width="11" customWidth="1" style="182"/>
    <col min="20" max="20" width="9.28515625" customWidth="1" style="183"/>
    <col min="21" max="21" width="9.42578125" customWidth="1" style="183"/>
    <col min="22" max="22" width="5" customWidth="1" style="182"/>
    <col min="23" max="24" width="9.140625" customWidth="1" style="371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5"/>
      <c r="X1" s="345"/>
    </row>
    <row r="2" ht="12.75" s="178" customFormat="1">
      <c r="A2" s="186" t="s">
        <v>1283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  <c r="W3" s="345"/>
      <c r="X3" s="345"/>
    </row>
    <row r="4" s="178" customFormat="1">
      <c r="A4" s="195"/>
      <c r="B4" s="187"/>
      <c r="C4" s="188"/>
      <c r="D4" s="189"/>
      <c r="E4" s="189"/>
      <c r="F4" s="189"/>
      <c r="G4" s="503">
        <v>2552014.52</v>
      </c>
      <c r="H4" s="504"/>
      <c r="L4" s="190"/>
      <c r="N4" s="519" t="s">
        <v>712</v>
      </c>
      <c r="T4" s="189"/>
      <c r="U4" s="187"/>
      <c r="W4" s="345"/>
      <c r="X4" s="345"/>
    </row>
    <row r="5" ht="10.5" customHeight="1" s="502" customFormat="1">
      <c r="A5" s="505"/>
      <c r="B5" s="505"/>
      <c r="C5" s="505"/>
      <c r="D5" s="505"/>
      <c r="E5" s="505"/>
      <c r="F5" s="506"/>
      <c r="G5" s="507"/>
      <c r="H5" s="508"/>
      <c r="I5" s="520"/>
      <c r="J5" s="520"/>
      <c r="K5" s="521"/>
      <c r="L5" s="521"/>
      <c r="M5" s="522"/>
      <c r="N5" s="523"/>
      <c r="O5" s="524"/>
      <c r="P5" s="522"/>
      <c r="Q5" s="533"/>
      <c r="R5" s="534"/>
      <c r="S5" s="534"/>
      <c r="T5" s="534"/>
      <c r="U5" s="534"/>
      <c r="W5" s="535"/>
      <c r="X5" s="535"/>
    </row>
    <row r="6" ht="29.2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6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1284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  <c r="W6" s="402"/>
      <c r="X6" s="402"/>
    </row>
    <row r="7" ht="18" customHeight="1" s="187" customFormat="1">
      <c r="A7" s="514" t="s">
        <v>64</v>
      </c>
      <c r="B7" s="1230" t="s">
        <v>1285</v>
      </c>
      <c r="C7" s="1231" t="s">
        <v>559</v>
      </c>
      <c r="D7" s="335" t="s">
        <v>84</v>
      </c>
      <c r="E7" s="335" t="s">
        <v>1103</v>
      </c>
      <c r="F7" s="435" t="s">
        <v>614</v>
      </c>
      <c r="G7" s="517">
        <f>2552014.52/30*25</f>
        <v>2126678.76666667</v>
      </c>
      <c r="H7" s="518">
        <f ref="H7:H8" t="shared" si="0">+$G$4*4.89%</f>
        <v>124793.510028</v>
      </c>
      <c r="I7" s="531">
        <f ref="I7:I8" t="shared" si="1">+$G$4*4%</f>
        <v>102080.5808</v>
      </c>
      <c r="J7" s="531">
        <f ref="J7:J8" t="shared" si="2">+$G$4*2%</f>
        <v>51040.2904</v>
      </c>
      <c r="K7" s="531">
        <v>15000</v>
      </c>
      <c r="L7" s="532">
        <f ref="L7:L8" t="shared" si="3">SUM(G7:K7)</f>
        <v>2419593.14789467</v>
      </c>
      <c r="M7" s="532">
        <f ref="M7:M8" t="shared" si="4">+L7*8%</f>
        <v>193567.451831573</v>
      </c>
      <c r="N7" s="532">
        <v>245000</v>
      </c>
      <c r="O7" s="532"/>
      <c r="P7" s="532"/>
      <c r="Q7" s="539">
        <f ref="Q7:Q8" t="shared" si="5">SUM(L7:P7)</f>
        <v>2858160.59972624</v>
      </c>
      <c r="R7" s="539">
        <f ref="R7:R8" t="shared" si="6">M7*0.1</f>
        <v>19356.7451831573</v>
      </c>
      <c r="S7" s="540">
        <f ref="S7:S8" t="shared" si="7">Q7+R7</f>
        <v>2877517.3449094</v>
      </c>
      <c r="T7" s="238">
        <v>44368</v>
      </c>
      <c r="U7" s="239">
        <v>44469</v>
      </c>
      <c r="V7" s="541"/>
      <c r="W7" s="542"/>
      <c r="X7" s="542"/>
    </row>
    <row r="8" ht="18" customHeight="1" s="187" customFormat="1">
      <c r="A8" s="514" t="s">
        <v>59</v>
      </c>
      <c r="B8" s="515" t="s">
        <v>1286</v>
      </c>
      <c r="C8" s="516" t="s">
        <v>1287</v>
      </c>
      <c r="D8" s="335" t="s">
        <v>84</v>
      </c>
      <c r="E8" s="335" t="s">
        <v>1103</v>
      </c>
      <c r="F8" s="435" t="s">
        <v>614</v>
      </c>
      <c r="G8" s="517">
        <f>2552014.52/30*25</f>
        <v>2126678.76666667</v>
      </c>
      <c r="H8" s="518">
        <f t="shared" si="0"/>
        <v>124793.510028</v>
      </c>
      <c r="I8" s="531">
        <f t="shared" si="1"/>
        <v>102080.5808</v>
      </c>
      <c r="J8" s="531">
        <f t="shared" si="2"/>
        <v>51040.2904</v>
      </c>
      <c r="K8" s="531">
        <v>15000</v>
      </c>
      <c r="L8" s="532">
        <f t="shared" si="3"/>
        <v>2419593.14789467</v>
      </c>
      <c r="M8" s="532">
        <f t="shared" si="4"/>
        <v>193567.451831573</v>
      </c>
      <c r="N8" s="532">
        <f>8*35000</f>
        <v>280000</v>
      </c>
      <c r="O8" s="532"/>
      <c r="P8" s="532"/>
      <c r="Q8" s="539">
        <f t="shared" si="5"/>
        <v>2893160.59972624</v>
      </c>
      <c r="R8" s="539">
        <f t="shared" si="6"/>
        <v>19356.7451831573</v>
      </c>
      <c r="S8" s="540">
        <f t="shared" si="7"/>
        <v>2912517.3449094</v>
      </c>
      <c r="T8" s="238">
        <v>44368</v>
      </c>
      <c r="U8" s="239">
        <v>44469</v>
      </c>
      <c r="V8" s="541"/>
      <c r="W8" s="542"/>
      <c r="X8" s="542"/>
    </row>
    <row r="9" ht="18" customHeight="1" s="180" customFormat="1">
      <c r="A9" s="1090" t="s">
        <v>87</v>
      </c>
      <c r="B9" s="1213"/>
      <c r="C9" s="1091"/>
      <c r="D9" s="1091"/>
      <c r="E9" s="1091"/>
      <c r="F9" s="1092"/>
      <c r="G9" s="325">
        <f ref="G9:R9" t="shared" si="9">SUM(G7:G8)</f>
        <v>4253357.53333333</v>
      </c>
      <c r="H9" s="325">
        <f t="shared" si="9"/>
        <v>249587.020056</v>
      </c>
      <c r="I9" s="325">
        <f t="shared" si="9"/>
        <v>204161.1616</v>
      </c>
      <c r="J9" s="325">
        <f t="shared" si="9"/>
        <v>102080.5808</v>
      </c>
      <c r="K9" s="325">
        <f t="shared" si="9"/>
        <v>30000</v>
      </c>
      <c r="L9" s="325">
        <f t="shared" si="9"/>
        <v>4839186.29578933</v>
      </c>
      <c r="M9" s="325">
        <f t="shared" si="9"/>
        <v>387134.903663147</v>
      </c>
      <c r="N9" s="325">
        <f t="shared" si="9"/>
        <v>525000</v>
      </c>
      <c r="O9" s="325">
        <f t="shared" si="9"/>
        <v>0</v>
      </c>
      <c r="P9" s="325">
        <f t="shared" si="9"/>
        <v>0</v>
      </c>
      <c r="Q9" s="325">
        <f t="shared" si="9"/>
        <v>5751321.19945248</v>
      </c>
      <c r="R9" s="325">
        <f t="shared" si="9"/>
        <v>38713.4903663147</v>
      </c>
      <c r="S9" s="325">
        <f>SUM(S7:S8)</f>
        <v>5790034.6898188</v>
      </c>
      <c r="T9" s="325"/>
      <c r="U9" s="543"/>
      <c r="W9" s="408"/>
      <c r="X9" s="408"/>
    </row>
    <row r="10" s="181" customFormat="1">
      <c r="A10" s="181" t="s">
        <v>87</v>
      </c>
      <c r="B10" s="1191"/>
      <c r="C10" s="188"/>
      <c r="D10" s="189"/>
      <c r="E10" s="189"/>
      <c r="F10" s="189"/>
      <c r="G10" s="190"/>
      <c r="L10" s="190"/>
      <c r="T10" s="189"/>
      <c r="U10" s="189"/>
      <c r="W10" s="425"/>
      <c r="X10" s="425"/>
    </row>
    <row r="11" s="178" customFormat="1">
      <c r="A11" s="213" t="s">
        <v>87</v>
      </c>
      <c r="B11" s="1178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  <c r="W11" s="345"/>
      <c r="X11" s="345"/>
    </row>
    <row r="12" s="178" customFormat="1">
      <c r="A12" s="213" t="s">
        <v>87</v>
      </c>
      <c r="B12" s="1178"/>
      <c r="C12" s="181"/>
      <c r="D12" s="189"/>
      <c r="E12" s="189"/>
      <c r="F12" s="189"/>
      <c r="G12" s="190"/>
      <c r="M12" s="229"/>
      <c r="N12" s="229"/>
      <c r="O12" s="229"/>
      <c r="P12" s="229"/>
      <c r="R12" s="230"/>
      <c r="S12" s="229"/>
      <c r="T12" s="187"/>
      <c r="U12" s="187"/>
      <c r="W12" s="345"/>
      <c r="X12" s="345"/>
    </row>
    <row r="13" s="178" customFormat="1">
      <c r="A13" s="178" t="s">
        <v>87</v>
      </c>
      <c r="B13" s="1178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1"/>
      <c r="Q13" s="231"/>
      <c r="R13" s="230"/>
      <c r="S13" s="229"/>
      <c r="T13" s="242"/>
      <c r="U13" s="242"/>
      <c r="W13" s="345"/>
      <c r="X13" s="345"/>
    </row>
    <row r="14" s="178" customFormat="1">
      <c r="A14" s="213" t="s">
        <v>87</v>
      </c>
      <c r="B14" s="1178"/>
      <c r="C14" s="189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242"/>
      <c r="U14" s="242"/>
      <c r="W14" s="345"/>
      <c r="X14" s="345"/>
    </row>
    <row r="15" s="178" customFormat="1">
      <c r="A15" s="178" t="s">
        <v>87</v>
      </c>
      <c r="B15" s="1178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81"/>
      <c r="P15" s="181"/>
      <c r="Q15" s="544"/>
      <c r="T15" s="242"/>
      <c r="U15" s="242"/>
      <c r="W15" s="345"/>
      <c r="X15" s="345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Q16" s="544"/>
      <c r="T16" s="242"/>
      <c r="U16" s="242"/>
      <c r="W16" s="345"/>
      <c r="X16" s="345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0"/>
      <c r="Q17" s="189"/>
      <c r="T17" s="242"/>
      <c r="U17" s="242"/>
      <c r="W17" s="345"/>
      <c r="X17" s="345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M18" s="231"/>
      <c r="Q18" s="189"/>
      <c r="T18" s="242"/>
      <c r="U18" s="242"/>
      <c r="W18" s="345"/>
      <c r="X18" s="345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189"/>
      <c r="T19" s="242"/>
      <c r="U19" s="242"/>
      <c r="W19" s="345"/>
      <c r="X19" s="345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Q20" s="189"/>
      <c r="R20" s="189"/>
      <c r="T20" s="242"/>
      <c r="U20" s="243"/>
      <c r="W20" s="345"/>
      <c r="X20" s="345"/>
    </row>
    <row r="21" s="178" customFormat="1">
      <c r="A21" s="181" t="s">
        <v>87</v>
      </c>
      <c r="B21" s="1178"/>
      <c r="C21" s="189"/>
      <c r="D21" s="189"/>
      <c r="F21" s="189"/>
      <c r="G21" s="190"/>
      <c r="H21" s="190"/>
      <c r="K21" s="229"/>
      <c r="Q21" s="189"/>
      <c r="S21" s="181"/>
      <c r="T21" s="242"/>
      <c r="U21" s="243"/>
      <c r="W21" s="345"/>
      <c r="X21" s="345"/>
    </row>
    <row r="22" s="181" customFormat="1">
      <c r="A22" s="181" t="s">
        <v>87</v>
      </c>
      <c r="B22" s="1190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R22" s="213" t="s">
        <v>238</v>
      </c>
      <c r="T22" s="188"/>
      <c r="U22" s="243"/>
      <c r="W22" s="425"/>
      <c r="X22" s="425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T23" s="189"/>
      <c r="U23" s="189"/>
      <c r="W23" s="425"/>
      <c r="X23" s="425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T24" s="189"/>
      <c r="U24" s="189"/>
      <c r="W24" s="425"/>
      <c r="X24" s="425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T25" s="189"/>
      <c r="U25" s="189"/>
      <c r="W25" s="425"/>
      <c r="X25" s="425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  <c r="W26" s="425"/>
      <c r="X26" s="425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  <c r="W27" s="425"/>
      <c r="X27" s="425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  <c r="W28" s="425"/>
      <c r="X28" s="425"/>
    </row>
    <row r="29" s="181" customFormat="1">
      <c r="A29" s="181" t="s">
        <v>87</v>
      </c>
      <c r="B29" s="1191"/>
      <c r="F29" s="215"/>
      <c r="W29" s="425"/>
      <c r="X29" s="425"/>
    </row>
    <row r="30" s="181" customFormat="1">
      <c r="A30" s="181" t="s">
        <v>87</v>
      </c>
      <c r="B30" s="1191"/>
      <c r="F30" s="215"/>
      <c r="W30" s="425"/>
      <c r="X30" s="425"/>
    </row>
    <row r="31" s="181" customFormat="1">
      <c r="A31" s="181" t="s">
        <v>87</v>
      </c>
      <c r="B31" s="1191"/>
      <c r="F31" s="215"/>
      <c r="W31" s="425"/>
      <c r="X31" s="425"/>
    </row>
    <row r="32" s="181" customFormat="1">
      <c r="A32" s="181" t="s">
        <v>87</v>
      </c>
      <c r="B32" s="1191"/>
      <c r="F32" s="215"/>
      <c r="W32" s="425"/>
      <c r="X32" s="425"/>
    </row>
    <row r="33" s="181" customFormat="1">
      <c r="A33" s="181" t="s">
        <v>87</v>
      </c>
      <c r="B33" s="1191"/>
      <c r="F33" s="215"/>
      <c r="W33" s="425"/>
      <c r="X33" s="425"/>
    </row>
    <row r="34" s="181" customFormat="1">
      <c r="A34" s="181" t="s">
        <v>87</v>
      </c>
      <c r="B34" s="1191"/>
      <c r="F34" s="215"/>
      <c r="W34" s="425"/>
      <c r="X34" s="425"/>
    </row>
    <row r="35" s="181" customFormat="1">
      <c r="A35" s="181" t="s">
        <v>87</v>
      </c>
      <c r="B35" s="1191"/>
      <c r="F35" s="215"/>
      <c r="W35" s="425"/>
      <c r="X35" s="425"/>
    </row>
    <row r="36" s="181" customFormat="1">
      <c r="A36" s="181" t="s">
        <v>87</v>
      </c>
      <c r="B36" s="1191"/>
      <c r="F36" s="215"/>
      <c r="W36" s="425"/>
      <c r="X36" s="425"/>
    </row>
    <row r="37" s="181" customFormat="1">
      <c r="A37" s="181" t="s">
        <v>87</v>
      </c>
      <c r="B37" s="1191"/>
      <c r="F37" s="215"/>
      <c r="W37" s="425"/>
      <c r="X37" s="425"/>
    </row>
    <row r="38">
      <c r="C38" s="182"/>
      <c r="D38" s="182"/>
      <c r="E38" s="182"/>
      <c r="F38" s="217"/>
      <c r="G38" s="182"/>
      <c r="L38" s="182"/>
      <c r="T38" s="182"/>
      <c r="U38" s="182"/>
    </row>
  </sheetData>
  <mergeCells>
    <mergeCell ref="A9:F9"/>
  </mergeCells>
  <printOptions horizontalCentered="1"/>
  <pageMargins left="0" right="0" top="0.75" bottom="0.75" header="0.3" footer="0.3"/>
  <pageSetup paperSize="9" scale="70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18"/>
  <dimension ref="A1:AA100"/>
  <sheetViews>
    <sheetView zoomScale="85" zoomScaleNormal="85" workbookViewId="0">
      <pane xSplit="7" ySplit="6" topLeftCell="L56" activePane="bottomRight" state="frozen"/>
      <selection pane="topRight"/>
      <selection pane="bottomLeft"/>
      <selection pane="bottomRight" activeCell="T60" sqref="T60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8" customWidth="1" style="184"/>
    <col min="4" max="4" width="13.42578125" customWidth="1" style="183"/>
    <col min="5" max="5" hidden="1" width="7.85546875" customWidth="1" style="183"/>
    <col min="6" max="6" hidden="1" width="8.28515625" customWidth="1" style="183"/>
    <col min="7" max="7" width="14.5703125" customWidth="1" style="185"/>
    <col min="8" max="8" width="11.5703125" customWidth="1" style="185"/>
    <col min="9" max="9" width="10.7109375" customWidth="1" style="182"/>
    <col min="10" max="10" width="9.85546875" customWidth="1" style="182"/>
    <col min="11" max="11" width="11" customWidth="1" style="182"/>
    <col min="12" max="12" width="10.42578125" customWidth="1" style="182"/>
    <col min="13" max="13" width="12.28515625" customWidth="1" style="185"/>
    <col min="14" max="14" width="11.7109375" customWidth="1" style="182"/>
    <col min="15" max="15" width="13.7109375" customWidth="1" style="182"/>
    <col min="16" max="16" width="12.5703125" customWidth="1" style="182"/>
    <col min="17" max="17" width="11.140625" customWidth="1" style="182"/>
    <col min="18" max="18" width="11.7109375" customWidth="1" style="182"/>
    <col min="19" max="19" width="10" customWidth="1" style="182"/>
    <col min="20" max="20" width="11.5703125" customWidth="1" style="182"/>
    <col min="21" max="21" width="10" customWidth="1" style="183"/>
    <col min="22" max="22" width="9.85546875" customWidth="1" style="183"/>
    <col min="23" max="23" width="3.42578125" customWidth="1" style="182"/>
    <col min="24" max="24" width="9.140625" customWidth="1" style="371"/>
    <col min="25" max="25" width="9.7109375" customWidth="1" style="371"/>
    <col min="26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O1" s="451"/>
      <c r="P1" s="451"/>
      <c r="Q1" s="451"/>
      <c r="R1" s="451"/>
      <c r="S1" s="451"/>
      <c r="T1" s="451"/>
      <c r="U1" s="189"/>
      <c r="V1" s="187"/>
      <c r="X1" s="345"/>
      <c r="Y1" s="345"/>
    </row>
    <row r="2" ht="12.75" s="178" customFormat="1">
      <c r="A2" s="186" t="s">
        <v>1132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193"/>
      <c r="O2" s="452"/>
      <c r="P2" s="451"/>
      <c r="Q2" s="452"/>
      <c r="R2" s="452"/>
      <c r="S2" s="452"/>
      <c r="T2" s="452"/>
      <c r="U2" s="191"/>
      <c r="V2" s="191"/>
      <c r="X2" s="345"/>
      <c r="Y2" s="345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8">
        <v>3377265</v>
      </c>
      <c r="H3" s="428"/>
      <c r="M3" s="190"/>
      <c r="O3" s="451"/>
      <c r="P3" s="451"/>
      <c r="Q3" s="451"/>
      <c r="R3" s="451"/>
      <c r="S3" s="451"/>
      <c r="T3" s="451"/>
      <c r="U3" s="189"/>
      <c r="V3" s="187"/>
      <c r="X3" s="345"/>
      <c r="Y3" s="345"/>
    </row>
    <row r="4" ht="13.5" customHeight="1" s="178" customFormat="1">
      <c r="A4" s="195"/>
      <c r="B4" s="187"/>
      <c r="C4" s="188"/>
      <c r="D4" s="189"/>
      <c r="E4" s="189"/>
      <c r="F4" s="189"/>
      <c r="G4" s="190"/>
      <c r="H4" s="190"/>
      <c r="M4" s="190"/>
      <c r="O4" s="451"/>
      <c r="P4" s="451"/>
      <c r="Q4" s="451"/>
      <c r="R4" s="451"/>
      <c r="S4" s="451"/>
      <c r="T4" s="451"/>
      <c r="U4" s="189"/>
      <c r="V4" s="187"/>
      <c r="X4" s="345"/>
      <c r="Y4" s="345"/>
    </row>
    <row r="5" ht="13.5" customHeight="1" s="178" customFormat="1">
      <c r="A5" s="195"/>
      <c r="B5" s="187"/>
      <c r="C5" s="188"/>
      <c r="D5" s="189"/>
      <c r="E5" s="189"/>
      <c r="F5" s="189"/>
      <c r="G5" s="190"/>
      <c r="H5" s="190"/>
      <c r="M5" s="190"/>
      <c r="O5" s="451"/>
      <c r="P5" s="451"/>
      <c r="Q5" s="451"/>
      <c r="R5" s="451"/>
      <c r="S5" s="451"/>
      <c r="T5" s="451"/>
      <c r="U5" s="189"/>
      <c r="V5" s="187"/>
      <c r="X5" s="345"/>
      <c r="Y5" s="345"/>
    </row>
    <row r="6" ht="30" customHeight="1" s="179" customFormat="1">
      <c r="A6" s="429" t="s">
        <v>36</v>
      </c>
      <c r="B6" s="430" t="s">
        <v>37</v>
      </c>
      <c r="C6" s="430" t="s">
        <v>38</v>
      </c>
      <c r="D6" s="430" t="s">
        <v>39</v>
      </c>
      <c r="E6" s="430" t="s">
        <v>40</v>
      </c>
      <c r="F6" s="431" t="s">
        <v>41</v>
      </c>
      <c r="G6" s="432" t="s">
        <v>42</v>
      </c>
      <c r="H6" s="1015" t="s">
        <v>43</v>
      </c>
      <c r="I6" s="433" t="s">
        <v>44</v>
      </c>
      <c r="J6" s="219" t="s">
        <v>45</v>
      </c>
      <c r="K6" s="219" t="s">
        <v>46</v>
      </c>
      <c r="L6" s="453" t="s">
        <v>47</v>
      </c>
      <c r="M6" s="453" t="s">
        <v>48</v>
      </c>
      <c r="N6" s="221" t="s">
        <v>49</v>
      </c>
      <c r="O6" s="222" t="s">
        <v>50</v>
      </c>
      <c r="P6" s="223" t="s">
        <v>52</v>
      </c>
      <c r="Q6" s="221" t="s">
        <v>1133</v>
      </c>
      <c r="R6" s="462" t="s">
        <v>54</v>
      </c>
      <c r="S6" s="463" t="s">
        <v>55</v>
      </c>
      <c r="T6" s="463" t="s">
        <v>56</v>
      </c>
      <c r="U6" s="463" t="s">
        <v>57</v>
      </c>
      <c r="V6" s="464" t="s">
        <v>58</v>
      </c>
      <c r="X6" s="402"/>
      <c r="Y6" s="402"/>
    </row>
    <row r="7" ht="18" customHeight="1" s="178" customFormat="1">
      <c r="A7" s="202" t="s">
        <v>59</v>
      </c>
      <c r="B7" s="979" t="s">
        <v>1207</v>
      </c>
      <c r="C7" s="434" t="s">
        <v>1208</v>
      </c>
      <c r="D7" s="375" t="s">
        <v>78</v>
      </c>
      <c r="E7" s="473" t="s">
        <v>602</v>
      </c>
      <c r="F7" s="474" t="s">
        <v>63</v>
      </c>
      <c r="G7" s="112">
        <f>3377265</f>
        <v>3377265</v>
      </c>
      <c r="H7" s="1011"/>
      <c r="I7" s="329">
        <f>+$G$3*4.89%</f>
        <v>165148.2585</v>
      </c>
      <c r="J7" s="332">
        <f>+$G$3*4%</f>
        <v>135090.6</v>
      </c>
      <c r="K7" s="332">
        <f>+$G$3*2%</f>
        <v>67545.3</v>
      </c>
      <c r="L7" s="332">
        <v>1667</v>
      </c>
      <c r="M7" s="225">
        <f ref="M7:M13" t="shared" si="0">SUM(G7:L7)</f>
        <v>3746716.1585</v>
      </c>
      <c r="N7" s="225">
        <f ref="N7:N13" t="shared" si="1">+M7*8%</f>
        <v>299737.29268</v>
      </c>
      <c r="O7" s="475"/>
      <c r="P7" s="393">
        <f>27*10000</f>
        <v>270000</v>
      </c>
      <c r="Q7" s="490">
        <f>+$G$3/173*40.5</f>
        <v>790631.401734104</v>
      </c>
      <c r="R7" s="409">
        <f ref="R7:R13" t="shared" si="2">SUM(M7:Q7)</f>
        <v>5107084.852914104</v>
      </c>
      <c r="S7" s="409">
        <f ref="S7:S13" t="shared" si="3">N7*0.1</f>
        <v>29973.729268000003</v>
      </c>
      <c r="T7" s="410">
        <f ref="T7:T13" t="shared" si="4">R7+S7</f>
        <v>5137058.582182105</v>
      </c>
      <c r="U7" s="238">
        <v>44409</v>
      </c>
      <c r="V7" s="239">
        <v>44500</v>
      </c>
      <c r="W7" s="194"/>
      <c r="X7" s="495"/>
      <c r="Y7" s="495"/>
      <c r="Z7" s="426"/>
      <c r="AA7" s="426"/>
    </row>
    <row r="8" ht="18" customHeight="1" s="178" customFormat="1">
      <c r="A8" s="202" t="s">
        <v>59</v>
      </c>
      <c r="B8" s="979" t="s">
        <v>1209</v>
      </c>
      <c r="C8" s="434" t="s">
        <v>1210</v>
      </c>
      <c r="D8" s="375" t="s">
        <v>69</v>
      </c>
      <c r="E8" s="473" t="s">
        <v>602</v>
      </c>
      <c r="F8" s="474" t="s">
        <v>63</v>
      </c>
      <c r="G8" s="112">
        <f ref="G8:G12" t="shared" si="6">3377265</f>
        <v>3377265</v>
      </c>
      <c r="H8" s="1011"/>
      <c r="I8" s="329">
        <f>+$G$3*4.89%</f>
        <v>165148.2585</v>
      </c>
      <c r="J8" s="332">
        <f>+$G$3*4%</f>
        <v>135090.6</v>
      </c>
      <c r="K8" s="332">
        <f>+$G$3*2%</f>
        <v>67545.3</v>
      </c>
      <c r="L8" s="332">
        <v>1667</v>
      </c>
      <c r="M8" s="225">
        <f t="shared" si="0"/>
        <v>3746716.1585</v>
      </c>
      <c r="N8" s="225">
        <f t="shared" si="1"/>
        <v>299737.29268</v>
      </c>
      <c r="O8" s="475"/>
      <c r="P8" s="393">
        <f>25*12000</f>
        <v>300000</v>
      </c>
      <c r="Q8" s="490">
        <f>+$G$3/173*37.5</f>
        <v>732066.112716763</v>
      </c>
      <c r="R8" s="409">
        <f t="shared" si="2"/>
        <v>5078519.563896763</v>
      </c>
      <c r="S8" s="409">
        <f t="shared" si="3"/>
        <v>29973.729268000003</v>
      </c>
      <c r="T8" s="410">
        <f t="shared" si="4"/>
        <v>5108493.293164764</v>
      </c>
      <c r="U8" s="238">
        <v>44409</v>
      </c>
      <c r="V8" s="239">
        <v>44500</v>
      </c>
      <c r="W8" s="194"/>
      <c r="X8" s="495"/>
      <c r="Y8" s="495"/>
      <c r="Z8" s="426"/>
      <c r="AA8" s="426"/>
    </row>
    <row r="9" ht="18" customHeight="1" s="178" customFormat="1">
      <c r="A9" s="202" t="s">
        <v>59</v>
      </c>
      <c r="B9" s="979" t="s">
        <v>1211</v>
      </c>
      <c r="C9" s="434" t="s">
        <v>1212</v>
      </c>
      <c r="D9" s="375" t="s">
        <v>245</v>
      </c>
      <c r="E9" s="473" t="s">
        <v>602</v>
      </c>
      <c r="F9" s="474" t="s">
        <v>63</v>
      </c>
      <c r="G9" s="112">
        <f t="shared" si="6"/>
        <v>3377265</v>
      </c>
      <c r="H9" s="1011"/>
      <c r="I9" s="329">
        <f>+$G$3*4.89%</f>
        <v>165148.2585</v>
      </c>
      <c r="J9" s="332">
        <f>+$G$3*4%</f>
        <v>135090.6</v>
      </c>
      <c r="K9" s="332">
        <f>+$G$3*2%</f>
        <v>67545.3</v>
      </c>
      <c r="L9" s="332">
        <v>1667</v>
      </c>
      <c r="M9" s="225">
        <f t="shared" si="0"/>
        <v>3746716.1585</v>
      </c>
      <c r="N9" s="225">
        <f t="shared" si="1"/>
        <v>299737.29268</v>
      </c>
      <c r="O9" s="226"/>
      <c r="P9" s="393">
        <f>26*10000</f>
        <v>260000</v>
      </c>
      <c r="Q9" s="490">
        <f>+$G$3/173*30</f>
        <v>585652.8901734104</v>
      </c>
      <c r="R9" s="409">
        <f t="shared" si="2"/>
        <v>4892106.34135341</v>
      </c>
      <c r="S9" s="409">
        <f t="shared" si="3"/>
        <v>29973.729268000003</v>
      </c>
      <c r="T9" s="410">
        <f t="shared" si="4"/>
        <v>4922080.07062141</v>
      </c>
      <c r="U9" s="238">
        <v>44409</v>
      </c>
      <c r="V9" s="239">
        <v>44500</v>
      </c>
      <c r="W9" s="194"/>
      <c r="X9" s="495"/>
      <c r="Y9" s="495"/>
      <c r="Z9" s="426"/>
      <c r="AA9" s="426"/>
    </row>
    <row r="10" ht="18" customHeight="1" s="178" customFormat="1">
      <c r="A10" s="202" t="s">
        <v>59</v>
      </c>
      <c r="B10" s="979" t="s">
        <v>1213</v>
      </c>
      <c r="C10" s="434" t="s">
        <v>1214</v>
      </c>
      <c r="D10" s="375" t="s">
        <v>69</v>
      </c>
      <c r="E10" s="473" t="s">
        <v>602</v>
      </c>
      <c r="F10" s="474" t="s">
        <v>63</v>
      </c>
      <c r="G10" s="112">
        <f t="shared" si="6"/>
        <v>3377265</v>
      </c>
      <c r="H10" s="1011"/>
      <c r="I10" s="329">
        <f>+$G$3*4.89%</f>
        <v>165148.2585</v>
      </c>
      <c r="J10" s="332">
        <f>+$G$3*4%</f>
        <v>135090.6</v>
      </c>
      <c r="K10" s="332">
        <f>+$G$3*2%</f>
        <v>67545.3</v>
      </c>
      <c r="L10" s="332">
        <v>1667</v>
      </c>
      <c r="M10" s="225">
        <f t="shared" si="0"/>
        <v>3746716.1585</v>
      </c>
      <c r="N10" s="225">
        <f t="shared" si="1"/>
        <v>299737.29268</v>
      </c>
      <c r="O10" s="475"/>
      <c r="P10" s="393">
        <f>23*12000</f>
        <v>276000</v>
      </c>
      <c r="Q10" s="490">
        <f>+$G$3/173*42.5</f>
        <v>829674.9277456647</v>
      </c>
      <c r="R10" s="409">
        <f t="shared" si="2"/>
        <v>5152128.378925664</v>
      </c>
      <c r="S10" s="409">
        <f t="shared" si="3"/>
        <v>29973.729268000003</v>
      </c>
      <c r="T10" s="410">
        <f t="shared" si="4"/>
        <v>5182102.108193665</v>
      </c>
      <c r="U10" s="238">
        <v>44409</v>
      </c>
      <c r="V10" s="239">
        <v>44500</v>
      </c>
      <c r="W10" s="194"/>
      <c r="X10" s="495"/>
      <c r="Y10" s="495"/>
      <c r="Z10" s="426"/>
      <c r="AA10" s="426"/>
    </row>
    <row r="11" ht="18" customHeight="1" s="178" customFormat="1">
      <c r="A11" s="202" t="s">
        <v>59</v>
      </c>
      <c r="B11" s="331" t="s">
        <v>1215</v>
      </c>
      <c r="C11" s="477" t="s">
        <v>908</v>
      </c>
      <c r="D11" s="478" t="s">
        <v>78</v>
      </c>
      <c r="E11" s="335" t="s">
        <v>602</v>
      </c>
      <c r="F11" s="435" t="s">
        <v>63</v>
      </c>
      <c r="G11" s="112">
        <f t="shared" si="6"/>
        <v>3377265</v>
      </c>
      <c r="H11" s="1011"/>
      <c r="I11" s="329">
        <f ref="I11:I13" t="shared" si="7">+$G$3*4.89%</f>
        <v>165148.2585</v>
      </c>
      <c r="J11" s="332">
        <f ref="J11:J13" t="shared" si="8">+$G$3*4%</f>
        <v>135090.6</v>
      </c>
      <c r="K11" s="332">
        <f ref="K11:K13" t="shared" si="9">+$G$3*2%</f>
        <v>67545.3</v>
      </c>
      <c r="L11" s="332">
        <v>1667</v>
      </c>
      <c r="M11" s="225">
        <f t="shared" si="0"/>
        <v>3746716.1585</v>
      </c>
      <c r="N11" s="225">
        <f t="shared" si="1"/>
        <v>299737.29268</v>
      </c>
      <c r="O11" s="337"/>
      <c r="P11" s="491">
        <f>25*10000</f>
        <v>250000</v>
      </c>
      <c r="Q11" s="490">
        <f>+$G$3/173*41.5</f>
        <v>810153.1647398844</v>
      </c>
      <c r="R11" s="236">
        <f t="shared" si="2"/>
        <v>5106606.615919884</v>
      </c>
      <c r="S11" s="236">
        <f t="shared" si="3"/>
        <v>29973.729268000003</v>
      </c>
      <c r="T11" s="237">
        <f t="shared" si="4"/>
        <v>5136580.345187885</v>
      </c>
      <c r="U11" s="238">
        <v>44378</v>
      </c>
      <c r="V11" s="239">
        <v>44469</v>
      </c>
      <c r="W11" s="194"/>
      <c r="X11" s="495"/>
      <c r="Y11" s="495"/>
    </row>
    <row r="12" ht="18" customHeight="1" s="178" customFormat="1">
      <c r="A12" s="202" t="s">
        <v>64</v>
      </c>
      <c r="B12" s="1232" t="s">
        <v>1216</v>
      </c>
      <c r="C12" s="1233" t="s">
        <v>1217</v>
      </c>
      <c r="D12" s="375" t="s">
        <v>75</v>
      </c>
      <c r="E12" s="205" t="s">
        <v>602</v>
      </c>
      <c r="F12" s="435" t="s">
        <v>63</v>
      </c>
      <c r="G12" s="351">
        <f t="shared" si="6"/>
        <v>3377265</v>
      </c>
      <c r="H12" s="1013"/>
      <c r="I12" s="329">
        <f t="shared" si="7"/>
        <v>165148.2585</v>
      </c>
      <c r="J12" s="332">
        <f t="shared" si="8"/>
        <v>135090.6</v>
      </c>
      <c r="K12" s="332">
        <f t="shared" si="9"/>
        <v>67545.3</v>
      </c>
      <c r="L12" s="332">
        <v>1667</v>
      </c>
      <c r="M12" s="225">
        <f t="shared" si="0"/>
        <v>3746716.1585</v>
      </c>
      <c r="N12" s="225">
        <f t="shared" si="1"/>
        <v>299737.29268</v>
      </c>
      <c r="O12" s="492"/>
      <c r="P12" s="393">
        <f>26*10000</f>
        <v>260000</v>
      </c>
      <c r="Q12" s="490">
        <f>+$G$3/173*37.5</f>
        <v>732066.112716763</v>
      </c>
      <c r="R12" s="409">
        <f t="shared" si="2"/>
        <v>5038519.563896763</v>
      </c>
      <c r="S12" s="409">
        <f t="shared" si="3"/>
        <v>29973.729268000003</v>
      </c>
      <c r="T12" s="410">
        <f t="shared" si="4"/>
        <v>5068493.293164764</v>
      </c>
      <c r="U12" s="238">
        <v>44378</v>
      </c>
      <c r="V12" s="239">
        <v>44469</v>
      </c>
      <c r="W12" s="194"/>
      <c r="X12" s="495"/>
      <c r="Y12" s="495"/>
      <c r="Z12" s="426"/>
      <c r="AA12" s="426"/>
    </row>
    <row r="13" ht="18" customHeight="1" s="426" customFormat="1">
      <c r="A13" s="202" t="s">
        <v>59</v>
      </c>
      <c r="B13" s="980" t="s">
        <v>1218</v>
      </c>
      <c r="C13" s="479" t="s">
        <v>1219</v>
      </c>
      <c r="D13" s="478" t="s">
        <v>78</v>
      </c>
      <c r="E13" s="473" t="s">
        <v>602</v>
      </c>
      <c r="F13" s="480" t="s">
        <v>63</v>
      </c>
      <c r="G13" s="112">
        <f>3377265</f>
        <v>3377265</v>
      </c>
      <c r="H13" s="1011"/>
      <c r="I13" s="481">
        <f t="shared" si="7"/>
        <v>165148.2585</v>
      </c>
      <c r="J13" s="493">
        <f t="shared" si="8"/>
        <v>135090.6</v>
      </c>
      <c r="K13" s="493">
        <f t="shared" si="9"/>
        <v>67545.3</v>
      </c>
      <c r="L13" s="332">
        <v>1667</v>
      </c>
      <c r="M13" s="494">
        <f t="shared" si="0"/>
        <v>3746716.1585</v>
      </c>
      <c r="N13" s="494">
        <f t="shared" si="1"/>
        <v>299737.29268</v>
      </c>
      <c r="O13" s="492"/>
      <c r="P13" s="490">
        <f>25*10000</f>
        <v>250000</v>
      </c>
      <c r="Q13" s="490">
        <f>+$G$3/173*41.5</f>
        <v>810153.1647398844</v>
      </c>
      <c r="R13" s="409">
        <f t="shared" si="2"/>
        <v>5106606.615919884</v>
      </c>
      <c r="S13" s="496">
        <f t="shared" si="3"/>
        <v>29973.729268000003</v>
      </c>
      <c r="T13" s="410">
        <f t="shared" si="4"/>
        <v>5136580.345187885</v>
      </c>
      <c r="U13" s="497">
        <v>44409</v>
      </c>
      <c r="V13" s="498">
        <v>44500</v>
      </c>
      <c r="W13" s="194"/>
      <c r="X13" s="495"/>
      <c r="Y13" s="495"/>
    </row>
    <row r="14" ht="18" customHeight="1" s="426" customFormat="1">
      <c r="A14" s="442" t="s">
        <v>87</v>
      </c>
      <c r="B14" s="1234"/>
      <c r="C14" s="443" t="s">
        <v>1140</v>
      </c>
      <c r="D14" s="444"/>
      <c r="E14" s="444"/>
      <c r="F14" s="444"/>
      <c r="G14" s="445">
        <f ref="G14:S14" t="shared" si="11">SUM(G7:G13)</f>
        <v>23640855</v>
      </c>
      <c r="H14" s="445"/>
      <c r="I14" s="445">
        <f t="shared" si="11"/>
        <v>1156037.8095</v>
      </c>
      <c r="J14" s="445">
        <f t="shared" si="11"/>
        <v>945634.2</v>
      </c>
      <c r="K14" s="445">
        <f t="shared" si="11"/>
        <v>472817.1</v>
      </c>
      <c r="L14" s="445">
        <f t="shared" si="11"/>
        <v>11669</v>
      </c>
      <c r="M14" s="445">
        <f t="shared" si="11"/>
        <v>26227013.109500002</v>
      </c>
      <c r="N14" s="445">
        <f t="shared" si="11"/>
        <v>2098161.04876</v>
      </c>
      <c r="O14" s="445">
        <f t="shared" si="11"/>
        <v>0</v>
      </c>
      <c r="P14" s="445">
        <f t="shared" si="11"/>
        <v>1866000</v>
      </c>
      <c r="Q14" s="445">
        <f t="shared" si="11"/>
        <v>5290397.774566474</v>
      </c>
      <c r="R14" s="445">
        <f t="shared" si="11"/>
        <v>35481571.932826474</v>
      </c>
      <c r="S14" s="445">
        <f t="shared" si="11"/>
        <v>209816.104876</v>
      </c>
      <c r="T14" s="445">
        <f>SUM(T7:T13)</f>
        <v>35691388.03770248</v>
      </c>
      <c r="U14" s="469"/>
      <c r="V14" s="470"/>
      <c r="W14" s="194"/>
      <c r="X14" s="345"/>
      <c r="Y14" s="345"/>
    </row>
    <row r="15" s="180" customFormat="1">
      <c r="A15" s="210" t="s">
        <v>87</v>
      </c>
      <c r="B15" s="1178"/>
      <c r="C15" s="184"/>
      <c r="D15" s="212"/>
      <c r="E15" s="212"/>
      <c r="F15" s="212"/>
      <c r="I15" s="446"/>
      <c r="M15" s="228"/>
      <c r="O15" s="456"/>
      <c r="U15" s="212"/>
      <c r="V15" s="211"/>
      <c r="X15" s="408"/>
      <c r="Y15" s="408"/>
    </row>
    <row r="16" ht="10.5" customHeight="1" s="427" customFormat="1">
      <c r="A16" s="447" t="s">
        <v>87</v>
      </c>
      <c r="B16" s="1235"/>
      <c r="C16" s="447"/>
      <c r="D16" s="447"/>
      <c r="E16" s="447"/>
      <c r="F16" s="448"/>
      <c r="G16" s="449"/>
      <c r="H16" s="449"/>
      <c r="I16" s="450"/>
      <c r="J16" s="457"/>
      <c r="K16" s="457"/>
      <c r="L16" s="458"/>
      <c r="M16" s="458"/>
      <c r="N16" s="459"/>
      <c r="O16" s="460"/>
      <c r="P16" s="461"/>
      <c r="Q16" s="459"/>
      <c r="R16" s="471"/>
      <c r="S16" s="472"/>
      <c r="T16" s="472"/>
      <c r="U16" s="472"/>
      <c r="V16" s="472"/>
      <c r="X16" s="499"/>
      <c r="Y16" s="499"/>
    </row>
    <row r="17" ht="30.75" customHeight="1" s="179" customFormat="1">
      <c r="A17" s="429" t="s">
        <v>64</v>
      </c>
      <c r="B17" s="1197" t="s">
        <v>37</v>
      </c>
      <c r="C17" s="1197" t="s">
        <v>38</v>
      </c>
      <c r="D17" s="430" t="s">
        <v>39</v>
      </c>
      <c r="E17" s="430" t="s">
        <v>40</v>
      </c>
      <c r="F17" s="431" t="s">
        <v>41</v>
      </c>
      <c r="G17" s="432" t="s">
        <v>42</v>
      </c>
      <c r="H17" s="1015" t="s">
        <v>43</v>
      </c>
      <c r="I17" s="433" t="s">
        <v>44</v>
      </c>
      <c r="J17" s="219" t="s">
        <v>45</v>
      </c>
      <c r="K17" s="219" t="s">
        <v>46</v>
      </c>
      <c r="L17" s="453" t="s">
        <v>47</v>
      </c>
      <c r="M17" s="453" t="s">
        <v>48</v>
      </c>
      <c r="N17" s="221" t="s">
        <v>49</v>
      </c>
      <c r="O17" s="222" t="s">
        <v>50</v>
      </c>
      <c r="P17" s="223" t="s">
        <v>52</v>
      </c>
      <c r="Q17" s="221" t="s">
        <v>1133</v>
      </c>
      <c r="R17" s="462" t="s">
        <v>54</v>
      </c>
      <c r="S17" s="463" t="s">
        <v>55</v>
      </c>
      <c r="T17" s="463" t="s">
        <v>56</v>
      </c>
      <c r="U17" s="463" t="s">
        <v>57</v>
      </c>
      <c r="V17" s="464" t="s">
        <v>58</v>
      </c>
      <c r="X17" s="402"/>
      <c r="Y17" s="402"/>
    </row>
    <row r="18" ht="18" customHeight="1" s="426" customFormat="1">
      <c r="A18" s="482" t="s">
        <v>59</v>
      </c>
      <c r="B18" s="483" t="s">
        <v>1220</v>
      </c>
      <c r="C18" s="204" t="s">
        <v>1221</v>
      </c>
      <c r="D18" s="375" t="s">
        <v>84</v>
      </c>
      <c r="E18" s="473" t="s">
        <v>602</v>
      </c>
      <c r="F18" s="480" t="s">
        <v>63</v>
      </c>
      <c r="G18" s="112">
        <f ref="G18:G51" t="shared" si="12">3377265</f>
        <v>3377265</v>
      </c>
      <c r="H18" s="1011"/>
      <c r="I18" s="481">
        <f ref="I18:I57" t="shared" si="13">+$G$3*4.89%</f>
        <v>165148.2585</v>
      </c>
      <c r="J18" s="493">
        <f ref="J18:J57" t="shared" si="14">+$G$3*4%</f>
        <v>135090.6</v>
      </c>
      <c r="K18" s="493">
        <f ref="K18:K57" t="shared" si="15">+$G$3*2%</f>
        <v>67545.3</v>
      </c>
      <c r="L18" s="493">
        <v>15000</v>
      </c>
      <c r="M18" s="494">
        <f ref="M18:M50" t="shared" si="16">SUM(G18:L18)</f>
        <v>3760049.1585</v>
      </c>
      <c r="N18" s="494">
        <f ref="N18:N50" t="shared" si="17">+M18*8%</f>
        <v>300803.93268</v>
      </c>
      <c r="O18" s="492">
        <v>1158000</v>
      </c>
      <c r="P18" s="395"/>
      <c r="Q18" s="494"/>
      <c r="R18" s="409">
        <f ref="R18:R50" t="shared" si="18">SUM(M18:Q18)</f>
        <v>5218853.09118</v>
      </c>
      <c r="S18" s="496">
        <f ref="S18:S50" t="shared" si="19">N18*0.1</f>
        <v>30080.393268000003</v>
      </c>
      <c r="T18" s="410">
        <f ref="T18:T50" t="shared" si="20">R18+S18</f>
        <v>5248933.484448001</v>
      </c>
      <c r="U18" s="497">
        <v>44348</v>
      </c>
      <c r="V18" s="498">
        <v>44439</v>
      </c>
      <c r="W18" s="194"/>
      <c r="X18" s="495"/>
      <c r="Y18" s="495"/>
    </row>
    <row r="19" ht="18" customHeight="1" s="426" customFormat="1">
      <c r="A19" s="482" t="s">
        <v>59</v>
      </c>
      <c r="B19" s="483" t="s">
        <v>1222</v>
      </c>
      <c r="C19" s="204" t="s">
        <v>1223</v>
      </c>
      <c r="D19" s="375" t="s">
        <v>84</v>
      </c>
      <c r="E19" s="473" t="s">
        <v>602</v>
      </c>
      <c r="F19" s="480" t="s">
        <v>63</v>
      </c>
      <c r="G19" s="112">
        <f t="shared" si="12"/>
        <v>3377265</v>
      </c>
      <c r="H19" s="1011"/>
      <c r="I19" s="481">
        <f t="shared" si="13"/>
        <v>165148.2585</v>
      </c>
      <c r="J19" s="493">
        <f t="shared" si="14"/>
        <v>135090.6</v>
      </c>
      <c r="K19" s="493">
        <f t="shared" si="15"/>
        <v>67545.3</v>
      </c>
      <c r="L19" s="493">
        <v>15000</v>
      </c>
      <c r="M19" s="494">
        <f t="shared" si="16"/>
        <v>3760049.1585</v>
      </c>
      <c r="N19" s="494">
        <f t="shared" si="17"/>
        <v>300803.93268</v>
      </c>
      <c r="O19" s="492">
        <v>1294000</v>
      </c>
      <c r="P19" s="395"/>
      <c r="Q19" s="494"/>
      <c r="R19" s="409">
        <f t="shared" si="18"/>
        <v>5354853.09118</v>
      </c>
      <c r="S19" s="496">
        <f t="shared" si="19"/>
        <v>30080.393268000003</v>
      </c>
      <c r="T19" s="410">
        <f t="shared" si="20"/>
        <v>5384933.484448001</v>
      </c>
      <c r="U19" s="497">
        <v>44348</v>
      </c>
      <c r="V19" s="498">
        <v>44439</v>
      </c>
      <c r="W19" s="194"/>
      <c r="X19" s="495"/>
      <c r="Y19" s="495"/>
    </row>
    <row r="20" ht="18" customHeight="1" s="426" customFormat="1">
      <c r="A20" s="482" t="s">
        <v>59</v>
      </c>
      <c r="B20" s="979" t="s">
        <v>1224</v>
      </c>
      <c r="C20" s="434" t="s">
        <v>1225</v>
      </c>
      <c r="D20" s="205" t="s">
        <v>84</v>
      </c>
      <c r="E20" s="335" t="s">
        <v>602</v>
      </c>
      <c r="F20" s="435" t="s">
        <v>63</v>
      </c>
      <c r="G20" s="112">
        <f t="shared" si="12"/>
        <v>3377265</v>
      </c>
      <c r="H20" s="1011"/>
      <c r="I20" s="329">
        <f t="shared" si="13"/>
        <v>165148.2585</v>
      </c>
      <c r="J20" s="332">
        <f t="shared" si="14"/>
        <v>135090.6</v>
      </c>
      <c r="K20" s="332">
        <f t="shared" si="15"/>
        <v>67545.3</v>
      </c>
      <c r="L20" s="493">
        <v>15000</v>
      </c>
      <c r="M20" s="225">
        <f t="shared" si="16"/>
        <v>3760049.1585</v>
      </c>
      <c r="N20" s="225">
        <f t="shared" si="17"/>
        <v>300803.93268</v>
      </c>
      <c r="O20" s="492">
        <v>845000</v>
      </c>
      <c r="P20" s="395"/>
      <c r="Q20" s="395"/>
      <c r="R20" s="409">
        <f t="shared" si="18"/>
        <v>4905853.09118</v>
      </c>
      <c r="S20" s="409">
        <f t="shared" si="19"/>
        <v>30080.393268000003</v>
      </c>
      <c r="T20" s="410">
        <f t="shared" si="20"/>
        <v>4935933.484448001</v>
      </c>
      <c r="U20" s="238">
        <v>44378</v>
      </c>
      <c r="V20" s="239">
        <v>44469</v>
      </c>
      <c r="W20" s="194"/>
      <c r="X20" s="495"/>
      <c r="Y20" s="495"/>
    </row>
    <row r="21" ht="18" customHeight="1" s="178" customFormat="1">
      <c r="A21" s="482" t="s">
        <v>59</v>
      </c>
      <c r="B21" s="979" t="s">
        <v>1226</v>
      </c>
      <c r="C21" s="434" t="s">
        <v>1227</v>
      </c>
      <c r="D21" s="205" t="s">
        <v>84</v>
      </c>
      <c r="E21" s="205" t="s">
        <v>602</v>
      </c>
      <c r="F21" s="435" t="s">
        <v>63</v>
      </c>
      <c r="G21" s="112">
        <f t="shared" si="12"/>
        <v>3377265</v>
      </c>
      <c r="H21" s="1011"/>
      <c r="I21" s="329">
        <f t="shared" si="13"/>
        <v>165148.2585</v>
      </c>
      <c r="J21" s="332">
        <f t="shared" si="14"/>
        <v>135090.6</v>
      </c>
      <c r="K21" s="332">
        <f t="shared" si="15"/>
        <v>67545.3</v>
      </c>
      <c r="L21" s="493">
        <v>15000</v>
      </c>
      <c r="M21" s="225">
        <f t="shared" si="16"/>
        <v>3760049.1585</v>
      </c>
      <c r="N21" s="225">
        <f t="shared" si="17"/>
        <v>300803.93268</v>
      </c>
      <c r="O21" s="492">
        <v>1372000</v>
      </c>
      <c r="P21" s="395"/>
      <c r="Q21" s="395"/>
      <c r="R21" s="409">
        <f t="shared" si="18"/>
        <v>5432853.09118</v>
      </c>
      <c r="S21" s="409">
        <f t="shared" si="19"/>
        <v>30080.393268000003</v>
      </c>
      <c r="T21" s="410">
        <f t="shared" si="20"/>
        <v>5462933.484448001</v>
      </c>
      <c r="U21" s="238">
        <v>44378</v>
      </c>
      <c r="V21" s="239">
        <v>44469</v>
      </c>
      <c r="W21" s="194"/>
      <c r="X21" s="495"/>
      <c r="Y21" s="495"/>
      <c r="Z21" s="426"/>
      <c r="AA21" s="426"/>
    </row>
    <row r="22" ht="18" customHeight="1" s="178" customFormat="1">
      <c r="A22" s="482" t="s">
        <v>59</v>
      </c>
      <c r="B22" s="979" t="s">
        <v>1228</v>
      </c>
      <c r="C22" s="434" t="s">
        <v>1229</v>
      </c>
      <c r="D22" s="205" t="s">
        <v>84</v>
      </c>
      <c r="E22" s="205" t="s">
        <v>602</v>
      </c>
      <c r="F22" s="435" t="s">
        <v>63</v>
      </c>
      <c r="G22" s="112">
        <f t="shared" si="12"/>
        <v>3377265</v>
      </c>
      <c r="H22" s="1011"/>
      <c r="I22" s="329">
        <f t="shared" si="13"/>
        <v>165148.2585</v>
      </c>
      <c r="J22" s="332">
        <f t="shared" si="14"/>
        <v>135090.6</v>
      </c>
      <c r="K22" s="332">
        <f t="shared" si="15"/>
        <v>67545.3</v>
      </c>
      <c r="L22" s="493">
        <v>15000</v>
      </c>
      <c r="M22" s="225">
        <f t="shared" si="16"/>
        <v>3760049.1585</v>
      </c>
      <c r="N22" s="225">
        <f t="shared" si="17"/>
        <v>300803.93268</v>
      </c>
      <c r="O22" s="492">
        <v>1346000</v>
      </c>
      <c r="P22" s="395"/>
      <c r="Q22" s="395"/>
      <c r="R22" s="409">
        <f t="shared" si="18"/>
        <v>5406853.09118</v>
      </c>
      <c r="S22" s="409">
        <f t="shared" si="19"/>
        <v>30080.393268000003</v>
      </c>
      <c r="T22" s="410">
        <f t="shared" si="20"/>
        <v>5436933.484448001</v>
      </c>
      <c r="U22" s="238">
        <v>44378</v>
      </c>
      <c r="V22" s="239">
        <v>44469</v>
      </c>
      <c r="W22" s="194"/>
      <c r="X22" s="495"/>
      <c r="Y22" s="495"/>
      <c r="Z22" s="426"/>
      <c r="AA22" s="426"/>
    </row>
    <row r="23" ht="18" customHeight="1" s="178" customFormat="1">
      <c r="A23" s="482" t="s">
        <v>59</v>
      </c>
      <c r="B23" s="979" t="s">
        <v>1230</v>
      </c>
      <c r="C23" s="434" t="s">
        <v>1231</v>
      </c>
      <c r="D23" s="205" t="s">
        <v>84</v>
      </c>
      <c r="E23" s="205" t="s">
        <v>602</v>
      </c>
      <c r="F23" s="435" t="s">
        <v>63</v>
      </c>
      <c r="G23" s="112">
        <f t="shared" si="12"/>
        <v>3377265</v>
      </c>
      <c r="H23" s="1011"/>
      <c r="I23" s="329">
        <f t="shared" si="13"/>
        <v>165148.2585</v>
      </c>
      <c r="J23" s="332">
        <f t="shared" si="14"/>
        <v>135090.6</v>
      </c>
      <c r="K23" s="332">
        <f t="shared" si="15"/>
        <v>67545.3</v>
      </c>
      <c r="L23" s="493">
        <v>15000</v>
      </c>
      <c r="M23" s="225">
        <f t="shared" si="16"/>
        <v>3760049.1585</v>
      </c>
      <c r="N23" s="225">
        <f t="shared" si="17"/>
        <v>300803.93268</v>
      </c>
      <c r="O23" s="492">
        <v>975000</v>
      </c>
      <c r="P23" s="395"/>
      <c r="Q23" s="395"/>
      <c r="R23" s="409">
        <f t="shared" si="18"/>
        <v>5035853.09118</v>
      </c>
      <c r="S23" s="409">
        <f t="shared" si="19"/>
        <v>30080.393268000003</v>
      </c>
      <c r="T23" s="410">
        <f t="shared" si="20"/>
        <v>5065933.484448001</v>
      </c>
      <c r="U23" s="238">
        <v>44378</v>
      </c>
      <c r="V23" s="239">
        <v>44469</v>
      </c>
      <c r="W23" s="194"/>
      <c r="X23" s="495"/>
      <c r="Y23" s="495"/>
      <c r="Z23" s="426"/>
      <c r="AA23" s="426"/>
    </row>
    <row r="24" ht="18" customHeight="1" s="178" customFormat="1">
      <c r="A24" s="482" t="s">
        <v>59</v>
      </c>
      <c r="B24" s="979" t="s">
        <v>1232</v>
      </c>
      <c r="C24" s="434" t="s">
        <v>1233</v>
      </c>
      <c r="D24" s="205" t="s">
        <v>84</v>
      </c>
      <c r="E24" s="205" t="s">
        <v>602</v>
      </c>
      <c r="F24" s="435" t="s">
        <v>63</v>
      </c>
      <c r="G24" s="112">
        <f t="shared" si="12"/>
        <v>3377265</v>
      </c>
      <c r="H24" s="1011"/>
      <c r="I24" s="329">
        <f t="shared" si="13"/>
        <v>165148.2585</v>
      </c>
      <c r="J24" s="332">
        <f t="shared" si="14"/>
        <v>135090.6</v>
      </c>
      <c r="K24" s="332">
        <f t="shared" si="15"/>
        <v>67545.3</v>
      </c>
      <c r="L24" s="493">
        <v>15000</v>
      </c>
      <c r="M24" s="225">
        <f t="shared" si="16"/>
        <v>3760049.1585</v>
      </c>
      <c r="N24" s="225">
        <f t="shared" si="17"/>
        <v>300803.93268</v>
      </c>
      <c r="O24" s="492"/>
      <c r="P24" s="395"/>
      <c r="Q24" s="395"/>
      <c r="R24" s="409">
        <f t="shared" si="18"/>
        <v>4060853.09118</v>
      </c>
      <c r="S24" s="409">
        <f t="shared" si="19"/>
        <v>30080.393268000003</v>
      </c>
      <c r="T24" s="410">
        <f t="shared" si="20"/>
        <v>4090933.484448</v>
      </c>
      <c r="U24" s="238">
        <v>44378</v>
      </c>
      <c r="V24" s="239">
        <v>44469</v>
      </c>
      <c r="W24" s="194"/>
      <c r="X24" s="495"/>
      <c r="Y24" s="495"/>
      <c r="Z24" s="426"/>
      <c r="AA24" s="426"/>
    </row>
    <row r="25" ht="18" customHeight="1" s="178" customFormat="1">
      <c r="A25" s="482" t="s">
        <v>59</v>
      </c>
      <c r="B25" s="979" t="s">
        <v>1234</v>
      </c>
      <c r="C25" s="434" t="s">
        <v>1235</v>
      </c>
      <c r="D25" s="205" t="s">
        <v>84</v>
      </c>
      <c r="E25" s="205" t="s">
        <v>602</v>
      </c>
      <c r="F25" s="435" t="s">
        <v>63</v>
      </c>
      <c r="G25" s="112">
        <f t="shared" si="12"/>
        <v>3377265</v>
      </c>
      <c r="H25" s="1011"/>
      <c r="I25" s="329">
        <f t="shared" si="13"/>
        <v>165148.2585</v>
      </c>
      <c r="J25" s="332">
        <f t="shared" si="14"/>
        <v>135090.6</v>
      </c>
      <c r="K25" s="332">
        <f t="shared" si="15"/>
        <v>67545.3</v>
      </c>
      <c r="L25" s="493">
        <v>15000</v>
      </c>
      <c r="M25" s="225">
        <f t="shared" si="16"/>
        <v>3760049.1585</v>
      </c>
      <c r="N25" s="225">
        <f t="shared" si="17"/>
        <v>300803.93268</v>
      </c>
      <c r="O25" s="492">
        <v>975000</v>
      </c>
      <c r="P25" s="395"/>
      <c r="Q25" s="395"/>
      <c r="R25" s="409">
        <f t="shared" si="18"/>
        <v>5035853.09118</v>
      </c>
      <c r="S25" s="409">
        <f t="shared" si="19"/>
        <v>30080.393268000003</v>
      </c>
      <c r="T25" s="410">
        <f t="shared" si="20"/>
        <v>5065933.484448001</v>
      </c>
      <c r="U25" s="238">
        <v>44378</v>
      </c>
      <c r="V25" s="239">
        <v>44469</v>
      </c>
      <c r="W25" s="194"/>
      <c r="X25" s="495"/>
      <c r="Y25" s="495"/>
      <c r="Z25" s="426"/>
      <c r="AA25" s="426"/>
    </row>
    <row r="26" ht="18" customHeight="1" s="178" customFormat="1">
      <c r="A26" s="482" t="s">
        <v>59</v>
      </c>
      <c r="B26" s="979" t="s">
        <v>1236</v>
      </c>
      <c r="C26" s="434" t="s">
        <v>1237</v>
      </c>
      <c r="D26" s="205" t="s">
        <v>84</v>
      </c>
      <c r="E26" s="205" t="s">
        <v>602</v>
      </c>
      <c r="F26" s="435" t="s">
        <v>63</v>
      </c>
      <c r="G26" s="112">
        <f t="shared" si="12"/>
        <v>3377265</v>
      </c>
      <c r="H26" s="1011"/>
      <c r="I26" s="329">
        <f t="shared" si="13"/>
        <v>165148.2585</v>
      </c>
      <c r="J26" s="332">
        <f t="shared" si="14"/>
        <v>135090.6</v>
      </c>
      <c r="K26" s="332">
        <f t="shared" si="15"/>
        <v>67545.3</v>
      </c>
      <c r="L26" s="493">
        <v>15000</v>
      </c>
      <c r="M26" s="225">
        <f t="shared" si="16"/>
        <v>3760049.1585</v>
      </c>
      <c r="N26" s="225">
        <f t="shared" si="17"/>
        <v>300803.93268</v>
      </c>
      <c r="O26" s="492">
        <v>1203000</v>
      </c>
      <c r="P26" s="395"/>
      <c r="Q26" s="395"/>
      <c r="R26" s="409">
        <f t="shared" si="18"/>
        <v>5263853.09118</v>
      </c>
      <c r="S26" s="409">
        <f t="shared" si="19"/>
        <v>30080.393268000003</v>
      </c>
      <c r="T26" s="410">
        <f t="shared" si="20"/>
        <v>5293933.484448001</v>
      </c>
      <c r="U26" s="238">
        <v>44378</v>
      </c>
      <c r="V26" s="239">
        <v>44469</v>
      </c>
      <c r="W26" s="194"/>
      <c r="X26" s="495"/>
      <c r="Y26" s="495"/>
      <c r="Z26" s="426"/>
      <c r="AA26" s="426"/>
    </row>
    <row r="27" ht="18" customHeight="1" s="178" customFormat="1">
      <c r="A27" s="482" t="s">
        <v>59</v>
      </c>
      <c r="B27" s="979" t="s">
        <v>1238</v>
      </c>
      <c r="C27" s="434" t="s">
        <v>1239</v>
      </c>
      <c r="D27" s="205" t="s">
        <v>84</v>
      </c>
      <c r="E27" s="205" t="s">
        <v>602</v>
      </c>
      <c r="F27" s="435" t="s">
        <v>63</v>
      </c>
      <c r="G27" s="112">
        <f t="shared" si="12"/>
        <v>3377265</v>
      </c>
      <c r="H27" s="1011"/>
      <c r="I27" s="329">
        <f t="shared" si="13"/>
        <v>165148.2585</v>
      </c>
      <c r="J27" s="332">
        <f t="shared" si="14"/>
        <v>135090.6</v>
      </c>
      <c r="K27" s="332">
        <f t="shared" si="15"/>
        <v>67545.3</v>
      </c>
      <c r="L27" s="493">
        <v>15000</v>
      </c>
      <c r="M27" s="225">
        <f t="shared" si="16"/>
        <v>3760049.1585</v>
      </c>
      <c r="N27" s="225">
        <f t="shared" si="17"/>
        <v>300803.93268</v>
      </c>
      <c r="O27" s="492">
        <v>1255000</v>
      </c>
      <c r="P27" s="395"/>
      <c r="Q27" s="395"/>
      <c r="R27" s="409">
        <f t="shared" si="18"/>
        <v>5315853.09118</v>
      </c>
      <c r="S27" s="409">
        <f t="shared" si="19"/>
        <v>30080.393268000003</v>
      </c>
      <c r="T27" s="410">
        <f t="shared" si="20"/>
        <v>5345933.484448001</v>
      </c>
      <c r="U27" s="238">
        <v>44378</v>
      </c>
      <c r="V27" s="239">
        <v>44469</v>
      </c>
      <c r="W27" s="194"/>
      <c r="X27" s="495"/>
      <c r="Y27" s="495"/>
      <c r="Z27" s="426"/>
      <c r="AA27" s="426"/>
    </row>
    <row r="28" ht="18" customHeight="1" s="178" customFormat="1">
      <c r="A28" s="482" t="s">
        <v>59</v>
      </c>
      <c r="B28" s="979" t="s">
        <v>1240</v>
      </c>
      <c r="C28" s="434" t="s">
        <v>1241</v>
      </c>
      <c r="D28" s="205" t="s">
        <v>84</v>
      </c>
      <c r="E28" s="205" t="s">
        <v>602</v>
      </c>
      <c r="F28" s="435" t="s">
        <v>63</v>
      </c>
      <c r="G28" s="112">
        <f t="shared" si="12"/>
        <v>3377265</v>
      </c>
      <c r="H28" s="1011"/>
      <c r="I28" s="329">
        <f t="shared" si="13"/>
        <v>165148.2585</v>
      </c>
      <c r="J28" s="332">
        <f t="shared" si="14"/>
        <v>135090.6</v>
      </c>
      <c r="K28" s="332">
        <f t="shared" si="15"/>
        <v>67545.3</v>
      </c>
      <c r="L28" s="493">
        <v>15000</v>
      </c>
      <c r="M28" s="225">
        <f t="shared" si="16"/>
        <v>3760049.1585</v>
      </c>
      <c r="N28" s="225">
        <f t="shared" si="17"/>
        <v>300803.93268</v>
      </c>
      <c r="O28" s="492">
        <v>1236000</v>
      </c>
      <c r="P28" s="395"/>
      <c r="Q28" s="395"/>
      <c r="R28" s="409">
        <f t="shared" si="18"/>
        <v>5296853.09118</v>
      </c>
      <c r="S28" s="409">
        <f t="shared" si="19"/>
        <v>30080.393268000003</v>
      </c>
      <c r="T28" s="410">
        <f t="shared" si="20"/>
        <v>5326933.484448001</v>
      </c>
      <c r="U28" s="238">
        <v>44378</v>
      </c>
      <c r="V28" s="239">
        <v>44469</v>
      </c>
      <c r="W28" s="194"/>
      <c r="X28" s="495"/>
      <c r="Y28" s="495"/>
      <c r="Z28" s="426"/>
      <c r="AA28" s="426"/>
    </row>
    <row r="29" ht="18" customHeight="1" s="178" customFormat="1">
      <c r="A29" s="482" t="s">
        <v>59</v>
      </c>
      <c r="B29" s="979" t="s">
        <v>1242</v>
      </c>
      <c r="C29" s="484" t="s">
        <v>1243</v>
      </c>
      <c r="D29" s="205" t="s">
        <v>84</v>
      </c>
      <c r="E29" s="205" t="s">
        <v>602</v>
      </c>
      <c r="F29" s="435" t="s">
        <v>63</v>
      </c>
      <c r="G29" s="112">
        <f t="shared" si="12"/>
        <v>3377265</v>
      </c>
      <c r="H29" s="1011"/>
      <c r="I29" s="329">
        <f t="shared" si="13"/>
        <v>165148.2585</v>
      </c>
      <c r="J29" s="332">
        <f t="shared" si="14"/>
        <v>135090.6</v>
      </c>
      <c r="K29" s="332">
        <f t="shared" si="15"/>
        <v>67545.3</v>
      </c>
      <c r="L29" s="493">
        <v>15000</v>
      </c>
      <c r="M29" s="225">
        <f t="shared" si="16"/>
        <v>3760049.1585</v>
      </c>
      <c r="N29" s="225">
        <f t="shared" si="17"/>
        <v>300803.93268</v>
      </c>
      <c r="O29" s="492">
        <v>1196000</v>
      </c>
      <c r="P29" s="395"/>
      <c r="Q29" s="395"/>
      <c r="R29" s="409">
        <f t="shared" si="18"/>
        <v>5256853.09118</v>
      </c>
      <c r="S29" s="409">
        <f t="shared" si="19"/>
        <v>30080.393268000003</v>
      </c>
      <c r="T29" s="410">
        <f t="shared" si="20"/>
        <v>5286933.484448001</v>
      </c>
      <c r="U29" s="238">
        <v>44378</v>
      </c>
      <c r="V29" s="239">
        <v>44469</v>
      </c>
      <c r="W29" s="194"/>
      <c r="X29" s="495"/>
      <c r="Y29" s="495"/>
      <c r="Z29" s="426"/>
      <c r="AA29" s="426"/>
    </row>
    <row r="30" ht="18" customHeight="1" s="178" customFormat="1">
      <c r="A30" s="482" t="s">
        <v>59</v>
      </c>
      <c r="B30" s="979" t="s">
        <v>1244</v>
      </c>
      <c r="C30" s="479" t="s">
        <v>1245</v>
      </c>
      <c r="D30" s="205" t="s">
        <v>84</v>
      </c>
      <c r="E30" s="335" t="s">
        <v>602</v>
      </c>
      <c r="F30" s="435" t="s">
        <v>63</v>
      </c>
      <c r="G30" s="112">
        <f t="shared" si="12"/>
        <v>3377265</v>
      </c>
      <c r="H30" s="1011"/>
      <c r="I30" s="329">
        <f t="shared" si="13"/>
        <v>165148.2585</v>
      </c>
      <c r="J30" s="332">
        <f t="shared" si="14"/>
        <v>135090.6</v>
      </c>
      <c r="K30" s="332">
        <f t="shared" si="15"/>
        <v>67545.3</v>
      </c>
      <c r="L30" s="493">
        <v>15000</v>
      </c>
      <c r="M30" s="225">
        <f t="shared" si="16"/>
        <v>3760049.1585</v>
      </c>
      <c r="N30" s="225">
        <f t="shared" si="17"/>
        <v>300803.93268</v>
      </c>
      <c r="O30" s="492">
        <v>1203000</v>
      </c>
      <c r="P30" s="395"/>
      <c r="Q30" s="395"/>
      <c r="R30" s="409">
        <f t="shared" si="18"/>
        <v>5263853.09118</v>
      </c>
      <c r="S30" s="409">
        <f t="shared" si="19"/>
        <v>30080.393268000003</v>
      </c>
      <c r="T30" s="410">
        <f t="shared" si="20"/>
        <v>5293933.484448001</v>
      </c>
      <c r="U30" s="238">
        <v>44409</v>
      </c>
      <c r="V30" s="239">
        <v>44500</v>
      </c>
      <c r="W30" s="194"/>
      <c r="X30" s="495"/>
      <c r="Y30" s="495"/>
      <c r="Z30" s="426"/>
      <c r="AA30" s="426"/>
    </row>
    <row r="31" ht="18" customHeight="1" s="178" customFormat="1">
      <c r="A31" s="482" t="s">
        <v>59</v>
      </c>
      <c r="B31" s="981" t="s">
        <v>1246</v>
      </c>
      <c r="C31" s="485" t="s">
        <v>1247</v>
      </c>
      <c r="D31" s="205" t="s">
        <v>84</v>
      </c>
      <c r="E31" s="335" t="s">
        <v>602</v>
      </c>
      <c r="F31" s="435" t="s">
        <v>63</v>
      </c>
      <c r="G31" s="112">
        <f t="shared" si="12"/>
        <v>3377265</v>
      </c>
      <c r="H31" s="1011"/>
      <c r="I31" s="329">
        <f t="shared" si="13"/>
        <v>165148.2585</v>
      </c>
      <c r="J31" s="332">
        <f t="shared" si="14"/>
        <v>135090.6</v>
      </c>
      <c r="K31" s="332">
        <f t="shared" si="15"/>
        <v>67545.3</v>
      </c>
      <c r="L31" s="493">
        <v>15000</v>
      </c>
      <c r="M31" s="225">
        <f t="shared" si="16"/>
        <v>3760049.1585</v>
      </c>
      <c r="N31" s="225">
        <f t="shared" si="17"/>
        <v>300803.93268</v>
      </c>
      <c r="O31" s="492">
        <v>1230000</v>
      </c>
      <c r="P31" s="225"/>
      <c r="Q31" s="225"/>
      <c r="R31" s="236">
        <f t="shared" si="18"/>
        <v>5290853.09118</v>
      </c>
      <c r="S31" s="236">
        <f t="shared" si="19"/>
        <v>30080.393268000003</v>
      </c>
      <c r="T31" s="237">
        <f t="shared" si="20"/>
        <v>5320933.484448001</v>
      </c>
      <c r="U31" s="238">
        <v>44409</v>
      </c>
      <c r="V31" s="239">
        <v>44500</v>
      </c>
      <c r="W31" s="194"/>
      <c r="X31" s="495"/>
      <c r="Y31" s="495"/>
      <c r="Z31" s="426"/>
      <c r="AA31" s="426"/>
    </row>
    <row r="32" ht="18" customHeight="1" s="178" customFormat="1">
      <c r="A32" s="482" t="s">
        <v>59</v>
      </c>
      <c r="B32" s="979" t="s">
        <v>1248</v>
      </c>
      <c r="C32" s="479" t="s">
        <v>1249</v>
      </c>
      <c r="D32" s="205" t="s">
        <v>84</v>
      </c>
      <c r="E32" s="335" t="s">
        <v>602</v>
      </c>
      <c r="F32" s="435" t="s">
        <v>63</v>
      </c>
      <c r="G32" s="112">
        <f t="shared" si="12"/>
        <v>3377265</v>
      </c>
      <c r="H32" s="1011"/>
      <c r="I32" s="329">
        <f t="shared" si="13"/>
        <v>165148.2585</v>
      </c>
      <c r="J32" s="332">
        <f t="shared" si="14"/>
        <v>135090.6</v>
      </c>
      <c r="K32" s="332">
        <f t="shared" si="15"/>
        <v>67545.3</v>
      </c>
      <c r="L32" s="493">
        <v>15000</v>
      </c>
      <c r="M32" s="225">
        <f t="shared" si="16"/>
        <v>3760049.1585</v>
      </c>
      <c r="N32" s="225">
        <f t="shared" si="17"/>
        <v>300803.93268</v>
      </c>
      <c r="O32" s="492">
        <v>845000</v>
      </c>
      <c r="P32" s="395"/>
      <c r="Q32" s="395"/>
      <c r="R32" s="409">
        <f t="shared" si="18"/>
        <v>4905853.09118</v>
      </c>
      <c r="S32" s="409">
        <f t="shared" si="19"/>
        <v>30080.393268000003</v>
      </c>
      <c r="T32" s="410">
        <f t="shared" si="20"/>
        <v>4935933.484448001</v>
      </c>
      <c r="U32" s="497">
        <v>44409</v>
      </c>
      <c r="V32" s="498">
        <v>44500</v>
      </c>
      <c r="W32" s="194"/>
      <c r="X32" s="495"/>
      <c r="Y32" s="495"/>
    </row>
    <row r="33" ht="18" customHeight="1" s="178" customFormat="1">
      <c r="A33" s="482" t="s">
        <v>59</v>
      </c>
      <c r="B33" s="979" t="s">
        <v>1250</v>
      </c>
      <c r="C33" s="479" t="s">
        <v>1251</v>
      </c>
      <c r="D33" s="205" t="s">
        <v>84</v>
      </c>
      <c r="E33" s="335" t="s">
        <v>602</v>
      </c>
      <c r="F33" s="435" t="s">
        <v>63</v>
      </c>
      <c r="G33" s="112">
        <f t="shared" si="12"/>
        <v>3377265</v>
      </c>
      <c r="H33" s="1011"/>
      <c r="I33" s="329">
        <f t="shared" si="13"/>
        <v>165148.2585</v>
      </c>
      <c r="J33" s="332">
        <f t="shared" si="14"/>
        <v>135090.6</v>
      </c>
      <c r="K33" s="332">
        <f t="shared" si="15"/>
        <v>67545.3</v>
      </c>
      <c r="L33" s="493">
        <v>15000</v>
      </c>
      <c r="M33" s="225">
        <f t="shared" si="16"/>
        <v>3760049.1585</v>
      </c>
      <c r="N33" s="225">
        <f t="shared" si="17"/>
        <v>300803.93268</v>
      </c>
      <c r="O33" s="492">
        <v>910000</v>
      </c>
      <c r="P33" s="395"/>
      <c r="Q33" s="395"/>
      <c r="R33" s="409">
        <f t="shared" si="18"/>
        <v>4970853.09118</v>
      </c>
      <c r="S33" s="409">
        <f t="shared" si="19"/>
        <v>30080.393268000003</v>
      </c>
      <c r="T33" s="410">
        <f t="shared" si="20"/>
        <v>5000933.484448001</v>
      </c>
      <c r="U33" s="497">
        <v>44409</v>
      </c>
      <c r="V33" s="498">
        <v>44439</v>
      </c>
      <c r="W33" s="194"/>
      <c r="X33" s="495"/>
      <c r="Y33" s="495"/>
    </row>
    <row r="34" ht="18" customHeight="1" s="178" customFormat="1">
      <c r="A34" s="482" t="s">
        <v>59</v>
      </c>
      <c r="B34" s="331" t="s">
        <v>1252</v>
      </c>
      <c r="C34" s="486" t="s">
        <v>751</v>
      </c>
      <c r="D34" s="205" t="s">
        <v>84</v>
      </c>
      <c r="E34" s="335" t="s">
        <v>602</v>
      </c>
      <c r="F34" s="435" t="s">
        <v>63</v>
      </c>
      <c r="G34" s="112">
        <f t="shared" si="12"/>
        <v>3377265</v>
      </c>
      <c r="H34" s="1011"/>
      <c r="I34" s="329">
        <f t="shared" si="13"/>
        <v>165148.2585</v>
      </c>
      <c r="J34" s="332">
        <f t="shared" si="14"/>
        <v>135090.6</v>
      </c>
      <c r="K34" s="332">
        <f t="shared" si="15"/>
        <v>67545.3</v>
      </c>
      <c r="L34" s="493">
        <v>15000</v>
      </c>
      <c r="M34" s="225">
        <f t="shared" si="16"/>
        <v>3760049.1585</v>
      </c>
      <c r="N34" s="225">
        <f t="shared" si="17"/>
        <v>300803.93268</v>
      </c>
      <c r="O34" s="492">
        <v>1321000</v>
      </c>
      <c r="P34" s="395"/>
      <c r="Q34" s="225"/>
      <c r="R34" s="409">
        <f t="shared" si="18"/>
        <v>5381853.09118</v>
      </c>
      <c r="S34" s="236">
        <f t="shared" si="19"/>
        <v>30080.393268000003</v>
      </c>
      <c r="T34" s="410">
        <f t="shared" si="20"/>
        <v>5411933.484448001</v>
      </c>
      <c r="U34" s="238">
        <v>44348</v>
      </c>
      <c r="V34" s="239">
        <v>44439</v>
      </c>
      <c r="W34" s="194"/>
      <c r="X34" s="495"/>
      <c r="Y34" s="495"/>
    </row>
    <row r="35" ht="18" customHeight="1" s="178" customFormat="1">
      <c r="A35" s="482" t="s">
        <v>59</v>
      </c>
      <c r="B35" s="331" t="s">
        <v>853</v>
      </c>
      <c r="C35" s="477" t="s">
        <v>854</v>
      </c>
      <c r="D35" s="205" t="s">
        <v>84</v>
      </c>
      <c r="E35" s="335" t="s">
        <v>602</v>
      </c>
      <c r="F35" s="435" t="s">
        <v>63</v>
      </c>
      <c r="G35" s="112">
        <f t="shared" si="12"/>
        <v>3377265</v>
      </c>
      <c r="H35" s="1011">
        <f>-3377265/25*3</f>
        <v>-405271.80000000005</v>
      </c>
      <c r="I35" s="329">
        <f t="shared" si="13"/>
        <v>165148.2585</v>
      </c>
      <c r="J35" s="332">
        <f t="shared" si="14"/>
        <v>135090.6</v>
      </c>
      <c r="K35" s="332">
        <f t="shared" si="15"/>
        <v>67545.3</v>
      </c>
      <c r="L35" s="493">
        <v>15000</v>
      </c>
      <c r="M35" s="225">
        <f t="shared" si="16"/>
        <v>3354777.3585</v>
      </c>
      <c r="N35" s="225">
        <f t="shared" si="17"/>
        <v>268382.18868</v>
      </c>
      <c r="O35" s="492">
        <v>897000</v>
      </c>
      <c r="P35" s="225"/>
      <c r="Q35" s="225"/>
      <c r="R35" s="236">
        <f t="shared" si="18"/>
        <v>4520159.547180001</v>
      </c>
      <c r="S35" s="236">
        <f t="shared" si="19"/>
        <v>26838.218868000004</v>
      </c>
      <c r="T35" s="237">
        <f t="shared" si="20"/>
        <v>4546997.766048001</v>
      </c>
      <c r="U35" s="238">
        <v>44378</v>
      </c>
      <c r="V35" s="239">
        <v>44469</v>
      </c>
      <c r="W35" s="194"/>
      <c r="X35" s="495"/>
      <c r="Y35" s="495"/>
    </row>
    <row r="36" ht="18" customHeight="1" s="178" customFormat="1">
      <c r="A36" s="482" t="s">
        <v>59</v>
      </c>
      <c r="B36" s="331" t="s">
        <v>855</v>
      </c>
      <c r="C36" s="477" t="s">
        <v>856</v>
      </c>
      <c r="D36" s="205" t="s">
        <v>84</v>
      </c>
      <c r="E36" s="335" t="s">
        <v>602</v>
      </c>
      <c r="F36" s="435" t="s">
        <v>63</v>
      </c>
      <c r="G36" s="112">
        <f t="shared" si="12"/>
        <v>3377265</v>
      </c>
      <c r="H36" s="1011"/>
      <c r="I36" s="329">
        <f t="shared" si="13"/>
        <v>165148.2585</v>
      </c>
      <c r="J36" s="332">
        <f t="shared" si="14"/>
        <v>135090.6</v>
      </c>
      <c r="K36" s="332">
        <f t="shared" si="15"/>
        <v>67545.3</v>
      </c>
      <c r="L36" s="493">
        <v>15000</v>
      </c>
      <c r="M36" s="225">
        <f t="shared" si="16"/>
        <v>3760049.1585</v>
      </c>
      <c r="N36" s="225">
        <f t="shared" si="17"/>
        <v>300803.93268</v>
      </c>
      <c r="O36" s="492">
        <v>1203000</v>
      </c>
      <c r="P36" s="225"/>
      <c r="Q36" s="225"/>
      <c r="R36" s="236">
        <f t="shared" si="18"/>
        <v>5263853.09118</v>
      </c>
      <c r="S36" s="236">
        <f t="shared" si="19"/>
        <v>30080.393268000003</v>
      </c>
      <c r="T36" s="237">
        <f t="shared" si="20"/>
        <v>5293933.484448001</v>
      </c>
      <c r="U36" s="238">
        <v>44378</v>
      </c>
      <c r="V36" s="239">
        <v>44469</v>
      </c>
      <c r="W36" s="194"/>
      <c r="X36" s="495"/>
      <c r="Y36" s="495"/>
    </row>
    <row r="37" ht="18" customHeight="1" s="178" customFormat="1">
      <c r="A37" s="482" t="s">
        <v>59</v>
      </c>
      <c r="B37" s="331" t="s">
        <v>1253</v>
      </c>
      <c r="C37" s="477" t="s">
        <v>1254</v>
      </c>
      <c r="D37" s="205" t="s">
        <v>84</v>
      </c>
      <c r="E37" s="335" t="s">
        <v>602</v>
      </c>
      <c r="F37" s="435" t="s">
        <v>63</v>
      </c>
      <c r="G37" s="112">
        <f t="shared" si="12"/>
        <v>3377265</v>
      </c>
      <c r="H37" s="1011"/>
      <c r="I37" s="329">
        <f t="shared" si="13"/>
        <v>165148.2585</v>
      </c>
      <c r="J37" s="332">
        <f t="shared" si="14"/>
        <v>135090.6</v>
      </c>
      <c r="K37" s="332">
        <f t="shared" si="15"/>
        <v>67545.3</v>
      </c>
      <c r="L37" s="493">
        <v>15000</v>
      </c>
      <c r="M37" s="225">
        <f t="shared" si="16"/>
        <v>3760049.1585</v>
      </c>
      <c r="N37" s="225">
        <f t="shared" si="17"/>
        <v>300803.93268</v>
      </c>
      <c r="O37" s="492">
        <v>1119000</v>
      </c>
      <c r="P37" s="225"/>
      <c r="Q37" s="225"/>
      <c r="R37" s="236">
        <f t="shared" si="18"/>
        <v>5179853.09118</v>
      </c>
      <c r="S37" s="236">
        <f t="shared" si="19"/>
        <v>30080.393268000003</v>
      </c>
      <c r="T37" s="237">
        <f t="shared" si="20"/>
        <v>5209933.484448001</v>
      </c>
      <c r="U37" s="238">
        <v>44378</v>
      </c>
      <c r="V37" s="239">
        <v>44469</v>
      </c>
      <c r="W37" s="194"/>
      <c r="X37" s="495"/>
      <c r="Y37" s="495"/>
    </row>
    <row r="38" ht="18" customHeight="1" s="178" customFormat="1">
      <c r="A38" s="482" t="s">
        <v>59</v>
      </c>
      <c r="B38" s="331" t="s">
        <v>1255</v>
      </c>
      <c r="C38" s="477" t="s">
        <v>902</v>
      </c>
      <c r="D38" s="205" t="s">
        <v>84</v>
      </c>
      <c r="E38" s="335" t="s">
        <v>602</v>
      </c>
      <c r="F38" s="435" t="s">
        <v>63</v>
      </c>
      <c r="G38" s="112">
        <f t="shared" si="12"/>
        <v>3377265</v>
      </c>
      <c r="H38" s="1011">
        <f>-3377265/25*2</f>
        <v>-270181.2</v>
      </c>
      <c r="I38" s="329">
        <f t="shared" si="13"/>
        <v>165148.2585</v>
      </c>
      <c r="J38" s="332">
        <f t="shared" si="14"/>
        <v>135090.6</v>
      </c>
      <c r="K38" s="332">
        <f t="shared" si="15"/>
        <v>67545.3</v>
      </c>
      <c r="L38" s="493">
        <v>15000</v>
      </c>
      <c r="M38" s="225">
        <f t="shared" si="16"/>
        <v>3489867.9584999997</v>
      </c>
      <c r="N38" s="225">
        <f t="shared" si="17"/>
        <v>279189.43668</v>
      </c>
      <c r="O38" s="492">
        <v>910000</v>
      </c>
      <c r="P38" s="225"/>
      <c r="Q38" s="225"/>
      <c r="R38" s="236">
        <f t="shared" si="18"/>
        <v>4679057.39518</v>
      </c>
      <c r="S38" s="236">
        <f t="shared" si="19"/>
        <v>27918.943668</v>
      </c>
      <c r="T38" s="237">
        <f t="shared" si="20"/>
        <v>4706976.338848</v>
      </c>
      <c r="U38" s="238">
        <v>44348</v>
      </c>
      <c r="V38" s="239">
        <v>44439</v>
      </c>
      <c r="W38" s="194"/>
      <c r="X38" s="495"/>
      <c r="Y38" s="495"/>
    </row>
    <row r="39" ht="18" customHeight="1" s="178" customFormat="1">
      <c r="A39" s="482" t="s">
        <v>59</v>
      </c>
      <c r="B39" s="483" t="s">
        <v>1256</v>
      </c>
      <c r="C39" s="204" t="s">
        <v>1257</v>
      </c>
      <c r="D39" s="375" t="s">
        <v>84</v>
      </c>
      <c r="E39" s="473" t="s">
        <v>602</v>
      </c>
      <c r="F39" s="480" t="s">
        <v>63</v>
      </c>
      <c r="G39" s="112">
        <f t="shared" si="12"/>
        <v>3377265</v>
      </c>
      <c r="H39" s="1011">
        <f>-3377265/25*2</f>
        <v>-270181.2</v>
      </c>
      <c r="I39" s="481">
        <f t="shared" si="13"/>
        <v>165148.2585</v>
      </c>
      <c r="J39" s="493">
        <f t="shared" si="14"/>
        <v>135090.6</v>
      </c>
      <c r="K39" s="493">
        <f t="shared" si="15"/>
        <v>67545.3</v>
      </c>
      <c r="L39" s="493">
        <v>15000</v>
      </c>
      <c r="M39" s="494">
        <f t="shared" si="16"/>
        <v>3489867.9584999997</v>
      </c>
      <c r="N39" s="494">
        <f t="shared" si="17"/>
        <v>279189.43668</v>
      </c>
      <c r="O39" s="492">
        <v>1230000</v>
      </c>
      <c r="P39" s="395"/>
      <c r="Q39" s="494"/>
      <c r="R39" s="409">
        <f t="shared" si="18"/>
        <v>4999057.39518</v>
      </c>
      <c r="S39" s="496">
        <f t="shared" si="19"/>
        <v>27918.943668</v>
      </c>
      <c r="T39" s="410">
        <f t="shared" si="20"/>
        <v>5026976.338848</v>
      </c>
      <c r="U39" s="497">
        <v>44348</v>
      </c>
      <c r="V39" s="498">
        <v>44439</v>
      </c>
      <c r="W39" s="194"/>
      <c r="X39" s="495"/>
      <c r="Y39" s="495"/>
    </row>
    <row r="40" ht="18" customHeight="1" s="178" customFormat="1">
      <c r="A40" s="482" t="s">
        <v>59</v>
      </c>
      <c r="B40" s="981" t="s">
        <v>1258</v>
      </c>
      <c r="C40" s="434" t="s">
        <v>935</v>
      </c>
      <c r="D40" s="205" t="s">
        <v>84</v>
      </c>
      <c r="E40" s="335" t="s">
        <v>602</v>
      </c>
      <c r="F40" s="435" t="s">
        <v>63</v>
      </c>
      <c r="G40" s="112">
        <f t="shared" si="12"/>
        <v>3377265</v>
      </c>
      <c r="H40" s="1011"/>
      <c r="I40" s="329">
        <f t="shared" si="13"/>
        <v>165148.2585</v>
      </c>
      <c r="J40" s="332">
        <f t="shared" si="14"/>
        <v>135090.6</v>
      </c>
      <c r="K40" s="332">
        <f t="shared" si="15"/>
        <v>67545.3</v>
      </c>
      <c r="L40" s="493">
        <v>15000</v>
      </c>
      <c r="M40" s="225">
        <f t="shared" si="16"/>
        <v>3760049.1585</v>
      </c>
      <c r="N40" s="225">
        <f t="shared" si="17"/>
        <v>300803.93268</v>
      </c>
      <c r="O40" s="492">
        <v>1119000</v>
      </c>
      <c r="P40" s="225"/>
      <c r="Q40" s="225"/>
      <c r="R40" s="236">
        <f t="shared" si="18"/>
        <v>5179853.09118</v>
      </c>
      <c r="S40" s="236">
        <f t="shared" si="19"/>
        <v>30080.393268000003</v>
      </c>
      <c r="T40" s="237">
        <f t="shared" si="20"/>
        <v>5209933.484448001</v>
      </c>
      <c r="U40" s="238">
        <v>44409</v>
      </c>
      <c r="V40" s="239">
        <v>44500</v>
      </c>
      <c r="W40" s="194"/>
      <c r="X40" s="495"/>
      <c r="Y40" s="495"/>
    </row>
    <row r="41" ht="18" customHeight="1" s="178" customFormat="1">
      <c r="A41" s="482" t="s">
        <v>59</v>
      </c>
      <c r="B41" s="981" t="s">
        <v>972</v>
      </c>
      <c r="C41" s="434" t="s">
        <v>973</v>
      </c>
      <c r="D41" s="205" t="s">
        <v>84</v>
      </c>
      <c r="E41" s="335" t="s">
        <v>602</v>
      </c>
      <c r="F41" s="435" t="s">
        <v>63</v>
      </c>
      <c r="G41" s="112">
        <f t="shared" si="12"/>
        <v>3377265</v>
      </c>
      <c r="H41" s="1011">
        <f>-3377265/25*1</f>
        <v>-135090.6</v>
      </c>
      <c r="I41" s="329">
        <f t="shared" si="13"/>
        <v>165148.2585</v>
      </c>
      <c r="J41" s="332">
        <f t="shared" si="14"/>
        <v>135090.6</v>
      </c>
      <c r="K41" s="332">
        <f t="shared" si="15"/>
        <v>67545.3</v>
      </c>
      <c r="L41" s="332">
        <v>15000</v>
      </c>
      <c r="M41" s="225">
        <f t="shared" si="16"/>
        <v>3624958.5585</v>
      </c>
      <c r="N41" s="225">
        <f t="shared" si="17"/>
        <v>289996.68468</v>
      </c>
      <c r="O41" s="492">
        <v>1138000</v>
      </c>
      <c r="P41" s="225"/>
      <c r="Q41" s="225"/>
      <c r="R41" s="236">
        <f t="shared" si="18"/>
        <v>5052955.243179999</v>
      </c>
      <c r="S41" s="236">
        <f t="shared" si="19"/>
        <v>28999.668468000003</v>
      </c>
      <c r="T41" s="237">
        <f t="shared" si="20"/>
        <v>5081954.911648</v>
      </c>
      <c r="U41" s="238">
        <v>44409</v>
      </c>
      <c r="V41" s="239">
        <v>44500</v>
      </c>
      <c r="W41" s="194"/>
      <c r="X41" s="495"/>
      <c r="Y41" s="495"/>
    </row>
    <row r="42" ht="18" customHeight="1" s="178" customFormat="1">
      <c r="A42" s="482" t="s">
        <v>59</v>
      </c>
      <c r="B42" s="981" t="s">
        <v>974</v>
      </c>
      <c r="C42" s="434" t="s">
        <v>975</v>
      </c>
      <c r="D42" s="205" t="s">
        <v>84</v>
      </c>
      <c r="E42" s="335" t="s">
        <v>602</v>
      </c>
      <c r="F42" s="435" t="s">
        <v>63</v>
      </c>
      <c r="G42" s="112">
        <f t="shared" si="12"/>
        <v>3377265</v>
      </c>
      <c r="H42" s="1011"/>
      <c r="I42" s="329">
        <f t="shared" si="13"/>
        <v>165148.2585</v>
      </c>
      <c r="J42" s="332">
        <f t="shared" si="14"/>
        <v>135090.6</v>
      </c>
      <c r="K42" s="332">
        <f t="shared" si="15"/>
        <v>67545.3</v>
      </c>
      <c r="L42" s="332">
        <v>15000</v>
      </c>
      <c r="M42" s="225">
        <f t="shared" si="16"/>
        <v>3760049.1585</v>
      </c>
      <c r="N42" s="225">
        <f t="shared" si="17"/>
        <v>300803.93268</v>
      </c>
      <c r="O42" s="492">
        <v>1151000</v>
      </c>
      <c r="P42" s="225"/>
      <c r="Q42" s="225"/>
      <c r="R42" s="236">
        <f t="shared" si="18"/>
        <v>5211853.09118</v>
      </c>
      <c r="S42" s="236">
        <f t="shared" si="19"/>
        <v>30080.393268000003</v>
      </c>
      <c r="T42" s="237">
        <f t="shared" si="20"/>
        <v>5241933.484448001</v>
      </c>
      <c r="U42" s="238">
        <v>44409</v>
      </c>
      <c r="V42" s="239">
        <v>44439</v>
      </c>
      <c r="W42" s="194"/>
      <c r="X42" s="495"/>
      <c r="Y42" s="495"/>
    </row>
    <row r="43" ht="18" customHeight="1" s="178" customFormat="1">
      <c r="A43" s="482" t="s">
        <v>59</v>
      </c>
      <c r="B43" s="981" t="s">
        <v>976</v>
      </c>
      <c r="C43" s="434" t="s">
        <v>977</v>
      </c>
      <c r="D43" s="205" t="s">
        <v>84</v>
      </c>
      <c r="E43" s="335" t="s">
        <v>602</v>
      </c>
      <c r="F43" s="435" t="s">
        <v>63</v>
      </c>
      <c r="G43" s="112">
        <f t="shared" si="12"/>
        <v>3377265</v>
      </c>
      <c r="H43" s="1011"/>
      <c r="I43" s="329">
        <f t="shared" si="13"/>
        <v>165148.2585</v>
      </c>
      <c r="J43" s="332">
        <f t="shared" si="14"/>
        <v>135090.6</v>
      </c>
      <c r="K43" s="332">
        <f t="shared" si="15"/>
        <v>67545.3</v>
      </c>
      <c r="L43" s="332">
        <v>15000</v>
      </c>
      <c r="M43" s="225">
        <f t="shared" si="16"/>
        <v>3760049.1585</v>
      </c>
      <c r="N43" s="225">
        <f t="shared" si="17"/>
        <v>300803.93268</v>
      </c>
      <c r="O43" s="492">
        <v>1131000</v>
      </c>
      <c r="P43" s="225"/>
      <c r="Q43" s="225"/>
      <c r="R43" s="236">
        <f t="shared" si="18"/>
        <v>5191853.09118</v>
      </c>
      <c r="S43" s="236">
        <f t="shared" si="19"/>
        <v>30080.393268000003</v>
      </c>
      <c r="T43" s="237">
        <f t="shared" si="20"/>
        <v>5221933.484448001</v>
      </c>
      <c r="U43" s="238">
        <v>44409</v>
      </c>
      <c r="V43" s="239">
        <v>44439</v>
      </c>
      <c r="W43" s="194"/>
      <c r="X43" s="495"/>
      <c r="Y43" s="495"/>
    </row>
    <row r="44" ht="18" customHeight="1" s="178" customFormat="1">
      <c r="A44" s="482" t="s">
        <v>59</v>
      </c>
      <c r="B44" s="331" t="s">
        <v>1001</v>
      </c>
      <c r="C44" s="434" t="s">
        <v>1002</v>
      </c>
      <c r="D44" s="205" t="s">
        <v>84</v>
      </c>
      <c r="E44" s="335" t="s">
        <v>602</v>
      </c>
      <c r="F44" s="435" t="s">
        <v>63</v>
      </c>
      <c r="G44" s="112">
        <f t="shared" si="12"/>
        <v>3377265</v>
      </c>
      <c r="H44" s="1011">
        <f>-3377265/25*2</f>
        <v>-270181.2</v>
      </c>
      <c r="I44" s="329">
        <f t="shared" si="13"/>
        <v>165148.2585</v>
      </c>
      <c r="J44" s="332">
        <f t="shared" si="14"/>
        <v>135090.6</v>
      </c>
      <c r="K44" s="332">
        <f t="shared" si="15"/>
        <v>67545.3</v>
      </c>
      <c r="L44" s="332">
        <v>15000</v>
      </c>
      <c r="M44" s="225">
        <f t="shared" si="16"/>
        <v>3489867.9584999997</v>
      </c>
      <c r="N44" s="225">
        <f t="shared" si="17"/>
        <v>279189.43668</v>
      </c>
      <c r="O44" s="492">
        <v>1080000</v>
      </c>
      <c r="P44" s="225"/>
      <c r="Q44" s="225"/>
      <c r="R44" s="236">
        <f t="shared" si="18"/>
        <v>4849057.39518</v>
      </c>
      <c r="S44" s="236">
        <f t="shared" si="19"/>
        <v>27918.943668</v>
      </c>
      <c r="T44" s="237">
        <f t="shared" si="20"/>
        <v>4876976.338848</v>
      </c>
      <c r="U44" s="238">
        <v>44348</v>
      </c>
      <c r="V44" s="239">
        <v>44439</v>
      </c>
      <c r="W44" s="194"/>
      <c r="X44" s="495"/>
      <c r="Y44" s="495"/>
    </row>
    <row r="45" ht="18" customHeight="1" s="178" customFormat="1">
      <c r="A45" s="482" t="s">
        <v>59</v>
      </c>
      <c r="B45" s="331" t="s">
        <v>1259</v>
      </c>
      <c r="C45" s="434" t="s">
        <v>1260</v>
      </c>
      <c r="D45" s="205" t="s">
        <v>84</v>
      </c>
      <c r="E45" s="335" t="s">
        <v>602</v>
      </c>
      <c r="F45" s="435" t="s">
        <v>63</v>
      </c>
      <c r="G45" s="112">
        <f t="shared" si="12"/>
        <v>3377265</v>
      </c>
      <c r="H45" s="1011"/>
      <c r="I45" s="329">
        <f t="shared" si="13"/>
        <v>165148.2585</v>
      </c>
      <c r="J45" s="332">
        <f t="shared" si="14"/>
        <v>135090.6</v>
      </c>
      <c r="K45" s="332">
        <f t="shared" si="15"/>
        <v>67545.3</v>
      </c>
      <c r="L45" s="332">
        <v>15000</v>
      </c>
      <c r="M45" s="225">
        <f t="shared" si="16"/>
        <v>3760049.1585</v>
      </c>
      <c r="N45" s="225">
        <f t="shared" si="17"/>
        <v>300803.93268</v>
      </c>
      <c r="O45" s="492">
        <v>1412000</v>
      </c>
      <c r="P45" s="225"/>
      <c r="Q45" s="225"/>
      <c r="R45" s="236">
        <f t="shared" si="18"/>
        <v>5472853.09118</v>
      </c>
      <c r="S45" s="236">
        <f t="shared" si="19"/>
        <v>30080.393268000003</v>
      </c>
      <c r="T45" s="237">
        <f t="shared" si="20"/>
        <v>5502933.484448001</v>
      </c>
      <c r="U45" s="238">
        <v>44378</v>
      </c>
      <c r="V45" s="239">
        <v>44469</v>
      </c>
      <c r="W45" s="194"/>
      <c r="X45" s="495"/>
      <c r="Y45" s="495"/>
    </row>
    <row r="46" ht="18" customHeight="1" s="178" customFormat="1">
      <c r="A46" s="482" t="s">
        <v>59</v>
      </c>
      <c r="B46" s="331" t="s">
        <v>1261</v>
      </c>
      <c r="C46" s="434" t="s">
        <v>1262</v>
      </c>
      <c r="D46" s="205" t="s">
        <v>84</v>
      </c>
      <c r="E46" s="335" t="s">
        <v>602</v>
      </c>
      <c r="F46" s="435" t="s">
        <v>63</v>
      </c>
      <c r="G46" s="112">
        <f t="shared" si="12"/>
        <v>3377265</v>
      </c>
      <c r="H46" s="1011"/>
      <c r="I46" s="329">
        <f t="shared" si="13"/>
        <v>165148.2585</v>
      </c>
      <c r="J46" s="332">
        <f t="shared" si="14"/>
        <v>135090.6</v>
      </c>
      <c r="K46" s="332">
        <f t="shared" si="15"/>
        <v>67545.3</v>
      </c>
      <c r="L46" s="332">
        <v>15000</v>
      </c>
      <c r="M46" s="225">
        <f t="shared" si="16"/>
        <v>3760049.1585</v>
      </c>
      <c r="N46" s="225">
        <f t="shared" si="17"/>
        <v>300803.93268</v>
      </c>
      <c r="O46" s="492">
        <v>1197000</v>
      </c>
      <c r="P46" s="225"/>
      <c r="Q46" s="225"/>
      <c r="R46" s="236">
        <f t="shared" si="18"/>
        <v>5257853.09118</v>
      </c>
      <c r="S46" s="236">
        <f t="shared" si="19"/>
        <v>30080.393268000003</v>
      </c>
      <c r="T46" s="237">
        <f t="shared" si="20"/>
        <v>5287933.484448001</v>
      </c>
      <c r="U46" s="238">
        <v>44378</v>
      </c>
      <c r="V46" s="239">
        <v>44469</v>
      </c>
      <c r="W46" s="194"/>
      <c r="X46" s="495"/>
      <c r="Y46" s="495"/>
    </row>
    <row r="47" ht="18" customHeight="1" s="178" customFormat="1">
      <c r="A47" s="482" t="s">
        <v>59</v>
      </c>
      <c r="B47" s="331" t="s">
        <v>1263</v>
      </c>
      <c r="C47" s="434" t="s">
        <v>1264</v>
      </c>
      <c r="D47" s="205" t="s">
        <v>84</v>
      </c>
      <c r="E47" s="335" t="s">
        <v>602</v>
      </c>
      <c r="F47" s="435" t="s">
        <v>63</v>
      </c>
      <c r="G47" s="112">
        <f t="shared" si="12"/>
        <v>3377265</v>
      </c>
      <c r="H47" s="1011"/>
      <c r="I47" s="329">
        <f t="shared" si="13"/>
        <v>165148.2585</v>
      </c>
      <c r="J47" s="332">
        <f t="shared" si="14"/>
        <v>135090.6</v>
      </c>
      <c r="K47" s="332">
        <f t="shared" si="15"/>
        <v>67545.3</v>
      </c>
      <c r="L47" s="332">
        <v>15000</v>
      </c>
      <c r="M47" s="225">
        <f t="shared" si="16"/>
        <v>3760049.1585</v>
      </c>
      <c r="N47" s="225">
        <f t="shared" si="17"/>
        <v>300803.93268</v>
      </c>
      <c r="O47" s="492">
        <v>1144000</v>
      </c>
      <c r="P47" s="225"/>
      <c r="Q47" s="225"/>
      <c r="R47" s="236">
        <f t="shared" si="18"/>
        <v>5204853.09118</v>
      </c>
      <c r="S47" s="236">
        <f t="shared" si="19"/>
        <v>30080.393268000003</v>
      </c>
      <c r="T47" s="237">
        <f t="shared" si="20"/>
        <v>5234933.484448001</v>
      </c>
      <c r="U47" s="238">
        <v>44409</v>
      </c>
      <c r="V47" s="239">
        <v>44500</v>
      </c>
      <c r="W47" s="194"/>
      <c r="X47" s="495"/>
      <c r="Y47" s="495"/>
    </row>
    <row r="48" ht="18" customHeight="1" s="178" customFormat="1">
      <c r="A48" s="482" t="s">
        <v>59</v>
      </c>
      <c r="B48" s="331" t="s">
        <v>1265</v>
      </c>
      <c r="C48" s="434" t="s">
        <v>1266</v>
      </c>
      <c r="D48" s="205" t="s">
        <v>84</v>
      </c>
      <c r="E48" s="335" t="s">
        <v>602</v>
      </c>
      <c r="F48" s="435" t="s">
        <v>63</v>
      </c>
      <c r="G48" s="112">
        <f t="shared" si="12"/>
        <v>3377265</v>
      </c>
      <c r="H48" s="1011"/>
      <c r="I48" s="329">
        <f t="shared" si="13"/>
        <v>165148.2585</v>
      </c>
      <c r="J48" s="332">
        <f t="shared" si="14"/>
        <v>135090.6</v>
      </c>
      <c r="K48" s="332">
        <f t="shared" si="15"/>
        <v>67545.3</v>
      </c>
      <c r="L48" s="332">
        <v>15000</v>
      </c>
      <c r="M48" s="225">
        <f t="shared" si="16"/>
        <v>3760049.1585</v>
      </c>
      <c r="N48" s="225">
        <f t="shared" si="17"/>
        <v>300803.93268</v>
      </c>
      <c r="O48" s="492">
        <v>1366000</v>
      </c>
      <c r="P48" s="225"/>
      <c r="Q48" s="225"/>
      <c r="R48" s="236">
        <f t="shared" si="18"/>
        <v>5426853.09118</v>
      </c>
      <c r="S48" s="236">
        <f t="shared" si="19"/>
        <v>30080.393268000003</v>
      </c>
      <c r="T48" s="237">
        <f t="shared" si="20"/>
        <v>5456933.484448001</v>
      </c>
      <c r="U48" s="238">
        <v>44378</v>
      </c>
      <c r="V48" s="239">
        <v>44469</v>
      </c>
      <c r="W48" s="194"/>
      <c r="X48" s="495"/>
      <c r="Y48" s="495"/>
    </row>
    <row r="49" ht="18" customHeight="1" s="178" customFormat="1">
      <c r="A49" s="482" t="s">
        <v>59</v>
      </c>
      <c r="B49" s="331" t="s">
        <v>1267</v>
      </c>
      <c r="C49" s="434" t="s">
        <v>1268</v>
      </c>
      <c r="D49" s="205" t="s">
        <v>84</v>
      </c>
      <c r="E49" s="335" t="s">
        <v>602</v>
      </c>
      <c r="F49" s="435" t="s">
        <v>63</v>
      </c>
      <c r="G49" s="112">
        <f t="shared" si="12"/>
        <v>3377265</v>
      </c>
      <c r="H49" s="1011"/>
      <c r="I49" s="329">
        <f t="shared" si="13"/>
        <v>165148.2585</v>
      </c>
      <c r="J49" s="332">
        <f t="shared" si="14"/>
        <v>135090.6</v>
      </c>
      <c r="K49" s="332">
        <f t="shared" si="15"/>
        <v>67545.3</v>
      </c>
      <c r="L49" s="332">
        <v>15000</v>
      </c>
      <c r="M49" s="225">
        <f t="shared" si="16"/>
        <v>3760049.1585</v>
      </c>
      <c r="N49" s="225">
        <f t="shared" si="17"/>
        <v>300803.93268</v>
      </c>
      <c r="O49" s="492">
        <v>910000</v>
      </c>
      <c r="P49" s="225"/>
      <c r="Q49" s="225"/>
      <c r="R49" s="236">
        <f t="shared" si="18"/>
        <v>4970853.09118</v>
      </c>
      <c r="S49" s="236">
        <f t="shared" si="19"/>
        <v>30080.393268000003</v>
      </c>
      <c r="T49" s="237">
        <f t="shared" si="20"/>
        <v>5000933.484448001</v>
      </c>
      <c r="U49" s="238">
        <v>44348</v>
      </c>
      <c r="V49" s="239">
        <v>44439</v>
      </c>
      <c r="W49" s="194"/>
      <c r="X49" s="495"/>
      <c r="Y49" s="495"/>
    </row>
    <row r="50" ht="18" customHeight="1" s="178" customFormat="1">
      <c r="A50" s="482" t="s">
        <v>59</v>
      </c>
      <c r="B50" s="331" t="s">
        <v>1269</v>
      </c>
      <c r="C50" s="434" t="s">
        <v>1270</v>
      </c>
      <c r="D50" s="205" t="s">
        <v>84</v>
      </c>
      <c r="E50" s="335" t="s">
        <v>602</v>
      </c>
      <c r="F50" s="435" t="s">
        <v>63</v>
      </c>
      <c r="G50" s="112">
        <f t="shared" si="12"/>
        <v>3377265</v>
      </c>
      <c r="H50" s="1011"/>
      <c r="I50" s="329">
        <f t="shared" si="13"/>
        <v>165148.2585</v>
      </c>
      <c r="J50" s="332">
        <f t="shared" si="14"/>
        <v>135090.6</v>
      </c>
      <c r="K50" s="332">
        <f t="shared" si="15"/>
        <v>67545.3</v>
      </c>
      <c r="L50" s="332">
        <v>15000</v>
      </c>
      <c r="M50" s="225">
        <f t="shared" si="16"/>
        <v>3760049.1585</v>
      </c>
      <c r="N50" s="225">
        <f t="shared" si="17"/>
        <v>300803.93268</v>
      </c>
      <c r="O50" s="492">
        <v>1445000</v>
      </c>
      <c r="P50" s="225"/>
      <c r="Q50" s="225"/>
      <c r="R50" s="236">
        <f t="shared" si="18"/>
        <v>5505853.09118</v>
      </c>
      <c r="S50" s="236">
        <f t="shared" si="19"/>
        <v>30080.393268000003</v>
      </c>
      <c r="T50" s="237">
        <f t="shared" si="20"/>
        <v>5535933.484448001</v>
      </c>
      <c r="U50" s="238">
        <v>44350</v>
      </c>
      <c r="V50" s="239">
        <v>44439</v>
      </c>
      <c r="W50" s="194"/>
      <c r="X50" s="495"/>
      <c r="Y50" s="495"/>
    </row>
    <row r="51" ht="18" customHeight="1" s="178" customFormat="1">
      <c r="A51" s="482" t="s">
        <v>59</v>
      </c>
      <c r="B51" s="331" t="s">
        <v>1271</v>
      </c>
      <c r="C51" s="434" t="s">
        <v>1272</v>
      </c>
      <c r="D51" s="205" t="s">
        <v>84</v>
      </c>
      <c r="E51" s="335" t="s">
        <v>602</v>
      </c>
      <c r="F51" s="435" t="s">
        <v>63</v>
      </c>
      <c r="G51" s="112">
        <f t="shared" si="12"/>
        <v>3377265</v>
      </c>
      <c r="H51" s="1011"/>
      <c r="I51" s="329">
        <f ref="I51:I54" t="shared" si="22">+$G$3*4.89%</f>
        <v>165148.2585</v>
      </c>
      <c r="J51" s="332">
        <f ref="J51:J54" t="shared" si="23">+$G$3*4%</f>
        <v>135090.6</v>
      </c>
      <c r="K51" s="332">
        <f ref="K51:K54" t="shared" si="24">+$G$3*2%</f>
        <v>67545.3</v>
      </c>
      <c r="L51" s="332">
        <v>15000</v>
      </c>
      <c r="M51" s="225">
        <f>SUM(G51:L51)</f>
        <v>3760049.1585</v>
      </c>
      <c r="N51" s="225">
        <f>+M51*8%</f>
        <v>300803.93268</v>
      </c>
      <c r="O51" s="492">
        <v>1576000</v>
      </c>
      <c r="P51" s="225"/>
      <c r="Q51" s="225"/>
      <c r="R51" s="236">
        <f>SUM(M51:Q51)</f>
        <v>5636853.09118</v>
      </c>
      <c r="S51" s="236">
        <f>N51*0.1</f>
        <v>30080.393268000003</v>
      </c>
      <c r="T51" s="237">
        <f>R51+S51</f>
        <v>5666933.484448001</v>
      </c>
      <c r="U51" s="238">
        <v>44372</v>
      </c>
      <c r="V51" s="239">
        <v>44469</v>
      </c>
      <c r="W51" s="194"/>
      <c r="X51" s="495"/>
      <c r="Y51" s="495"/>
    </row>
    <row r="52" ht="18" customHeight="1" s="297" customFormat="1">
      <c r="A52" s="299" t="s">
        <v>64</v>
      </c>
      <c r="B52" s="1236" t="s">
        <v>1273</v>
      </c>
      <c r="C52" s="1237" t="s">
        <v>1274</v>
      </c>
      <c r="D52" s="321" t="s">
        <v>84</v>
      </c>
      <c r="E52" s="301" t="s">
        <v>602</v>
      </c>
      <c r="F52" s="437" t="s">
        <v>63</v>
      </c>
      <c r="G52" s="322">
        <f>3377265/31*23</f>
        <v>2505712.7419354836</v>
      </c>
      <c r="H52" s="1014"/>
      <c r="I52" s="438">
        <f t="shared" si="22"/>
        <v>165148.2585</v>
      </c>
      <c r="J52" s="305">
        <f t="shared" si="23"/>
        <v>135090.6</v>
      </c>
      <c r="K52" s="305">
        <f t="shared" si="24"/>
        <v>67545.3</v>
      </c>
      <c r="L52" s="305">
        <v>15000</v>
      </c>
      <c r="M52" s="306">
        <f ref="M52:M57" t="shared" si="30">SUM(G52:L52)</f>
        <v>2888496.9004354835</v>
      </c>
      <c r="N52" s="306">
        <f ref="N52:N57" t="shared" si="31">+M52*8%</f>
        <v>231079.7520348387</v>
      </c>
      <c r="O52" s="327">
        <v>351000</v>
      </c>
      <c r="P52" s="306"/>
      <c r="Q52" s="306"/>
      <c r="R52" s="313">
        <f ref="R52:R57" t="shared" si="32">SUM(M52:Q52)</f>
        <v>3470576.6524703223</v>
      </c>
      <c r="S52" s="313">
        <f ref="S52:S57" t="shared" si="33">N52*0.1</f>
        <v>23107.97520348387</v>
      </c>
      <c r="T52" s="314">
        <f ref="T52:T57" t="shared" si="34">R52+S52</f>
        <v>3493684.627673806</v>
      </c>
      <c r="U52" s="315">
        <v>44401</v>
      </c>
      <c r="V52" s="316">
        <v>44500</v>
      </c>
      <c r="W52" s="417"/>
      <c r="X52" s="346"/>
      <c r="Y52" s="346"/>
    </row>
    <row r="53" ht="18" customHeight="1" s="297" customFormat="1">
      <c r="A53" s="299" t="s">
        <v>64</v>
      </c>
      <c r="B53" s="1236">
        <v>2780</v>
      </c>
      <c r="C53" s="1237" t="s">
        <v>1275</v>
      </c>
      <c r="D53" s="321" t="s">
        <v>84</v>
      </c>
      <c r="E53" s="301" t="s">
        <v>602</v>
      </c>
      <c r="F53" s="437" t="s">
        <v>63</v>
      </c>
      <c r="G53" s="322">
        <f>3377265/31*15</f>
        <v>1634160.4838709678</v>
      </c>
      <c r="H53" s="1014"/>
      <c r="I53" s="438">
        <f t="shared" si="22"/>
        <v>165148.2585</v>
      </c>
      <c r="J53" s="305">
        <f t="shared" si="23"/>
        <v>135090.6</v>
      </c>
      <c r="K53" s="305">
        <f t="shared" si="24"/>
        <v>67545.3</v>
      </c>
      <c r="L53" s="305">
        <v>15000</v>
      </c>
      <c r="M53" s="306">
        <f t="shared" si="30"/>
        <v>2016944.642370968</v>
      </c>
      <c r="N53" s="306">
        <f t="shared" si="31"/>
        <v>161355.57138967744</v>
      </c>
      <c r="O53" s="327"/>
      <c r="P53" s="306"/>
      <c r="Q53" s="306"/>
      <c r="R53" s="313">
        <f t="shared" si="32"/>
        <v>2178300.213760645</v>
      </c>
      <c r="S53" s="313">
        <f t="shared" si="33"/>
        <v>16135.557138967744</v>
      </c>
      <c r="T53" s="314">
        <f t="shared" si="34"/>
        <v>2194435.770899613</v>
      </c>
      <c r="U53" s="315">
        <v>44409</v>
      </c>
      <c r="V53" s="316">
        <v>44500</v>
      </c>
      <c r="W53" s="417"/>
      <c r="X53" s="346"/>
      <c r="Y53" s="346"/>
    </row>
    <row r="54" ht="18" customHeight="1" s="297" customFormat="1">
      <c r="A54" s="299" t="s">
        <v>59</v>
      </c>
      <c r="B54" s="344" t="s">
        <v>1276</v>
      </c>
      <c r="C54" s="436" t="s">
        <v>971</v>
      </c>
      <c r="D54" s="321" t="s">
        <v>84</v>
      </c>
      <c r="E54" s="301" t="s">
        <v>602</v>
      </c>
      <c r="F54" s="437" t="s">
        <v>63</v>
      </c>
      <c r="G54" s="322">
        <f>3377265/31*10</f>
        <v>1089440.322580645</v>
      </c>
      <c r="H54" s="1014"/>
      <c r="I54" s="438">
        <f t="shared" si="22"/>
        <v>165148.2585</v>
      </c>
      <c r="J54" s="305">
        <f t="shared" si="23"/>
        <v>135090.6</v>
      </c>
      <c r="K54" s="305">
        <f t="shared" si="24"/>
        <v>67545.3</v>
      </c>
      <c r="L54" s="305">
        <v>15000</v>
      </c>
      <c r="M54" s="306">
        <f t="shared" si="30"/>
        <v>1472224.4810806452</v>
      </c>
      <c r="N54" s="306">
        <f t="shared" si="31"/>
        <v>117777.95848645162</v>
      </c>
      <c r="O54" s="327"/>
      <c r="P54" s="306"/>
      <c r="Q54" s="306"/>
      <c r="R54" s="313">
        <f t="shared" si="32"/>
        <v>1590002.4395670968</v>
      </c>
      <c r="S54" s="313">
        <f t="shared" si="33"/>
        <v>11777.795848645163</v>
      </c>
      <c r="T54" s="314">
        <f t="shared" si="34"/>
        <v>1601780.235415742</v>
      </c>
      <c r="U54" s="315">
        <v>44414</v>
      </c>
      <c r="V54" s="316">
        <v>44500</v>
      </c>
      <c r="W54" s="417"/>
      <c r="X54" s="346"/>
      <c r="Y54" s="346"/>
    </row>
    <row r="55" ht="18" customHeight="1" s="1036" customFormat="1">
      <c r="A55" s="1046" t="s">
        <v>64</v>
      </c>
      <c r="B55" s="1238" t="s">
        <v>1277</v>
      </c>
      <c r="C55" s="1239" t="s">
        <v>1278</v>
      </c>
      <c r="D55" s="1028" t="s">
        <v>84</v>
      </c>
      <c r="E55" s="1028" t="s">
        <v>602</v>
      </c>
      <c r="F55" s="1048" t="s">
        <v>63</v>
      </c>
      <c r="G55" s="1049">
        <f>3377265/31*18</f>
        <v>1960992.5806451612</v>
      </c>
      <c r="H55" s="1050">
        <f>-3377265/25*1</f>
        <v>-135090.6</v>
      </c>
      <c r="I55" s="1051">
        <f t="shared" si="13"/>
        <v>165148.2585</v>
      </c>
      <c r="J55" s="996">
        <f t="shared" si="14"/>
        <v>135090.6</v>
      </c>
      <c r="K55" s="996">
        <f t="shared" si="15"/>
        <v>67545.3</v>
      </c>
      <c r="L55" s="996">
        <v>15000</v>
      </c>
      <c r="M55" s="1000">
        <f t="shared" si="30"/>
        <v>2208686.139145161</v>
      </c>
      <c r="N55" s="1000">
        <f t="shared" si="31"/>
        <v>176694.89113161288</v>
      </c>
      <c r="O55" s="1052">
        <v>1268000</v>
      </c>
      <c r="P55" s="1000"/>
      <c r="Q55" s="1000"/>
      <c r="R55" s="1002">
        <f t="shared" si="32"/>
        <v>3653381.030276774</v>
      </c>
      <c r="S55" s="1002">
        <f t="shared" si="33"/>
        <v>17669.48911316129</v>
      </c>
      <c r="T55" s="1004">
        <f t="shared" si="34"/>
        <v>3671050.5193899353</v>
      </c>
      <c r="U55" s="1053">
        <v>44378</v>
      </c>
      <c r="V55" s="1054">
        <v>44412</v>
      </c>
      <c r="W55" s="1055"/>
      <c r="X55" s="1056"/>
      <c r="Y55" s="1056"/>
    </row>
    <row r="56" ht="18" customHeight="1" s="1036" customFormat="1">
      <c r="A56" s="1046" t="s">
        <v>64</v>
      </c>
      <c r="B56" s="1240" t="s">
        <v>1279</v>
      </c>
      <c r="C56" s="1239" t="s">
        <v>1280</v>
      </c>
      <c r="D56" s="1028" t="s">
        <v>84</v>
      </c>
      <c r="E56" s="1047" t="s">
        <v>602</v>
      </c>
      <c r="F56" s="1048" t="s">
        <v>63</v>
      </c>
      <c r="G56" s="1049">
        <f>3377265/31*15</f>
        <v>1634160.4838709678</v>
      </c>
      <c r="H56" s="1050">
        <f>-3377265/25*1</f>
        <v>-135090.6</v>
      </c>
      <c r="I56" s="1051">
        <f t="shared" si="13"/>
        <v>165148.2585</v>
      </c>
      <c r="J56" s="996">
        <f t="shared" si="14"/>
        <v>135090.6</v>
      </c>
      <c r="K56" s="996">
        <f t="shared" si="15"/>
        <v>67545.3</v>
      </c>
      <c r="L56" s="996">
        <v>15000</v>
      </c>
      <c r="M56" s="1000">
        <f t="shared" si="30"/>
        <v>1881854.0423709678</v>
      </c>
      <c r="N56" s="1000">
        <f t="shared" si="31"/>
        <v>150548.32338967742</v>
      </c>
      <c r="O56" s="1052">
        <v>1034000</v>
      </c>
      <c r="P56" s="1000"/>
      <c r="Q56" s="1000"/>
      <c r="R56" s="1002">
        <f t="shared" si="32"/>
        <v>3066402.365760645</v>
      </c>
      <c r="S56" s="1002">
        <f t="shared" si="33"/>
        <v>15054.832338967743</v>
      </c>
      <c r="T56" s="1004">
        <f t="shared" si="34"/>
        <v>3081457.1980996127</v>
      </c>
      <c r="U56" s="1053">
        <v>44317</v>
      </c>
      <c r="V56" s="1054">
        <v>44408</v>
      </c>
      <c r="W56" s="1055"/>
      <c r="X56" s="1056"/>
      <c r="Y56" s="1056"/>
    </row>
    <row r="57" ht="18" customHeight="1" s="1036" customFormat="1">
      <c r="A57" s="1046" t="s">
        <v>64</v>
      </c>
      <c r="B57" s="1240" t="s">
        <v>1281</v>
      </c>
      <c r="C57" s="1239" t="s">
        <v>1282</v>
      </c>
      <c r="D57" s="1028" t="s">
        <v>84</v>
      </c>
      <c r="E57" s="1047" t="s">
        <v>602</v>
      </c>
      <c r="F57" s="1048" t="s">
        <v>63</v>
      </c>
      <c r="G57" s="1049">
        <f>3377265/31*8</f>
        <v>871552.2580645161</v>
      </c>
      <c r="H57" s="1050">
        <f>-3377265/25*5</f>
        <v>-675453</v>
      </c>
      <c r="I57" s="1051">
        <f t="shared" si="13"/>
        <v>165148.2585</v>
      </c>
      <c r="J57" s="996">
        <f t="shared" si="14"/>
        <v>135090.6</v>
      </c>
      <c r="K57" s="996">
        <f t="shared" si="15"/>
        <v>67545.3</v>
      </c>
      <c r="L57" s="996">
        <v>15000</v>
      </c>
      <c r="M57" s="1000">
        <f t="shared" si="30"/>
        <v>578883.4165645161</v>
      </c>
      <c r="N57" s="1000">
        <f t="shared" si="31"/>
        <v>46310.67332516129</v>
      </c>
      <c r="O57" s="1052">
        <v>728000</v>
      </c>
      <c r="P57" s="1000"/>
      <c r="Q57" s="1000"/>
      <c r="R57" s="1002">
        <f t="shared" si="32"/>
        <v>1353194.0898896775</v>
      </c>
      <c r="S57" s="1002">
        <f t="shared" si="33"/>
        <v>4631.067332516129</v>
      </c>
      <c r="T57" s="1004">
        <f t="shared" si="34"/>
        <v>1357825.1572221937</v>
      </c>
      <c r="U57" s="1053">
        <v>44349</v>
      </c>
      <c r="V57" s="1054">
        <v>44401</v>
      </c>
      <c r="W57" s="1055"/>
      <c r="X57" s="1056"/>
      <c r="Y57" s="1056"/>
    </row>
    <row r="58" ht="18" customHeight="1" s="426" customFormat="1">
      <c r="A58" s="487" t="s">
        <v>87</v>
      </c>
      <c r="B58" s="1234"/>
      <c r="C58" s="488"/>
      <c r="D58" s="444"/>
      <c r="E58" s="444"/>
      <c r="F58" s="444"/>
      <c r="G58" s="445">
        <f ref="G58:T58" t="shared" si="35">SUM(G18:G57)</f>
        <v>124523028.87096775</v>
      </c>
      <c r="H58" s="445">
        <f t="shared" si="35"/>
        <v>-2296540.2</v>
      </c>
      <c r="I58" s="445">
        <f t="shared" si="35"/>
        <v>6605930.340000005</v>
      </c>
      <c r="J58" s="445">
        <f t="shared" si="35"/>
        <v>5403623.999999999</v>
      </c>
      <c r="K58" s="445">
        <f t="shared" si="35"/>
        <v>2701811.9999999995</v>
      </c>
      <c r="L58" s="445">
        <f t="shared" si="35"/>
        <v>600000</v>
      </c>
      <c r="M58" s="445">
        <f t="shared" si="35"/>
        <v>137537855.01096776</v>
      </c>
      <c r="N58" s="445">
        <f t="shared" si="35"/>
        <v>11003028.400877414</v>
      </c>
      <c r="O58" s="445">
        <f t="shared" si="35"/>
        <v>41773000</v>
      </c>
      <c r="P58" s="445">
        <f t="shared" si="35"/>
        <v>0</v>
      </c>
      <c r="Q58" s="445">
        <f t="shared" si="35"/>
        <v>0</v>
      </c>
      <c r="R58" s="476">
        <f t="shared" si="35"/>
        <v>190313883.4118451</v>
      </c>
      <c r="S58" s="445">
        <f t="shared" si="35"/>
        <v>1100302.840087742</v>
      </c>
      <c r="T58" s="476">
        <f t="shared" si="35"/>
        <v>191414186.25193304</v>
      </c>
      <c r="U58" s="469"/>
      <c r="V58" s="470"/>
      <c r="W58" s="411"/>
      <c r="X58" s="500"/>
      <c r="Y58" s="500"/>
    </row>
    <row r="59" ht="18" customHeight="1" s="180" customFormat="1">
      <c r="A59" s="180" t="s">
        <v>87</v>
      </c>
      <c r="B59" s="1178"/>
      <c r="C59" s="489"/>
      <c r="D59" s="212"/>
      <c r="E59" s="212"/>
      <c r="F59" s="212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V59" s="211"/>
      <c r="X59" s="408"/>
      <c r="Y59" s="408"/>
    </row>
    <row r="60" ht="18" customHeight="1" s="180" customFormat="1">
      <c r="A60" s="1061" t="s">
        <v>87</v>
      </c>
      <c r="B60" s="1188"/>
      <c r="C60" s="1062"/>
      <c r="D60" s="1062"/>
      <c r="E60" s="1062"/>
      <c r="F60" s="1087"/>
      <c r="G60" s="390">
        <f ref="G60:T60" t="shared" si="36">+G58+G14</f>
        <v>148163883.87096775</v>
      </c>
      <c r="H60" s="390">
        <f t="shared" si="36"/>
        <v>-2296540.2</v>
      </c>
      <c r="I60" s="390">
        <f t="shared" si="36"/>
        <v>7761968.149500005</v>
      </c>
      <c r="J60" s="390">
        <f t="shared" si="36"/>
        <v>6349258.199999999</v>
      </c>
      <c r="K60" s="390">
        <f t="shared" si="36"/>
        <v>3174629.0999999996</v>
      </c>
      <c r="L60" s="390">
        <f t="shared" si="36"/>
        <v>611669</v>
      </c>
      <c r="M60" s="390">
        <f t="shared" si="36"/>
        <v>163764868.12046775</v>
      </c>
      <c r="N60" s="390">
        <f t="shared" si="36"/>
        <v>13101189.449637415</v>
      </c>
      <c r="O60" s="390">
        <f t="shared" si="36"/>
        <v>41773000</v>
      </c>
      <c r="P60" s="390">
        <f t="shared" si="36"/>
        <v>1866000</v>
      </c>
      <c r="Q60" s="390">
        <f t="shared" si="36"/>
        <v>5290397.774566474</v>
      </c>
      <c r="R60" s="390">
        <f t="shared" si="36"/>
        <v>225795455.34467155</v>
      </c>
      <c r="S60" s="390">
        <f t="shared" si="36"/>
        <v>1310118.944963742</v>
      </c>
      <c r="T60" s="390">
        <f t="shared" si="36"/>
        <v>227105574.2896355</v>
      </c>
      <c r="U60" s="390"/>
      <c r="V60" s="501"/>
      <c r="X60" s="408"/>
      <c r="Y60" s="408"/>
    </row>
    <row r="61" s="181" customFormat="1">
      <c r="A61" s="181" t="s">
        <v>87</v>
      </c>
      <c r="B61" s="1191"/>
      <c r="C61" s="188"/>
      <c r="D61" s="189"/>
      <c r="E61" s="189"/>
      <c r="F61" s="189"/>
      <c r="G61" s="190"/>
      <c r="H61" s="190"/>
      <c r="M61" s="190"/>
      <c r="O61" s="229"/>
      <c r="X61" s="425"/>
      <c r="Y61" s="425"/>
    </row>
    <row r="62" s="178" customFormat="1">
      <c r="A62" s="213" t="s">
        <v>87</v>
      </c>
      <c r="B62" s="1178"/>
      <c r="C62" s="181"/>
      <c r="D62" s="189"/>
      <c r="E62" s="189"/>
      <c r="F62" s="189"/>
      <c r="G62" s="190"/>
      <c r="H62" s="190"/>
      <c r="N62" s="229"/>
      <c r="O62" s="229"/>
      <c r="P62" s="229"/>
      <c r="Q62" s="230"/>
      <c r="X62" s="345"/>
      <c r="Y62" s="345"/>
    </row>
    <row r="63" s="178" customFormat="1">
      <c r="A63" s="213" t="s">
        <v>87</v>
      </c>
      <c r="B63" s="1178"/>
      <c r="C63" s="181"/>
      <c r="D63" s="189"/>
      <c r="E63" s="189"/>
      <c r="F63" s="189"/>
      <c r="G63" s="190"/>
      <c r="H63" s="190"/>
      <c r="N63" s="229"/>
      <c r="O63" s="229"/>
      <c r="P63" s="229"/>
      <c r="Q63" s="230"/>
      <c r="X63" s="345"/>
      <c r="Y63" s="345"/>
    </row>
    <row r="64" s="178" customFormat="1">
      <c r="A64" s="178" t="s">
        <v>87</v>
      </c>
      <c r="B64" s="1178"/>
      <c r="C64" s="214" t="str">
        <f>+'BANJARMASIN '!C102</f>
        <v>Karawang,  16 Agustus 2020</v>
      </c>
      <c r="D64" s="189"/>
      <c r="E64" s="189"/>
      <c r="F64" s="189"/>
      <c r="G64" s="190"/>
      <c r="H64" s="190"/>
      <c r="M64" s="231"/>
      <c r="N64" s="231"/>
      <c r="O64" s="231"/>
      <c r="P64" s="231"/>
      <c r="Q64" s="230"/>
      <c r="X64" s="345"/>
      <c r="Y64" s="345"/>
    </row>
    <row r="65" s="178" customFormat="1">
      <c r="A65" s="213" t="s">
        <v>87</v>
      </c>
      <c r="B65" s="1178"/>
      <c r="C65" s="189"/>
      <c r="D65" s="189"/>
      <c r="E65" s="189"/>
      <c r="F65" s="189"/>
      <c r="G65" s="190"/>
      <c r="H65" s="190"/>
      <c r="N65" s="229"/>
      <c r="O65" s="229"/>
      <c r="P65" s="229"/>
      <c r="Q65" s="230"/>
      <c r="X65" s="345"/>
      <c r="Y65" s="345"/>
    </row>
    <row r="66" s="178" customFormat="1">
      <c r="A66" s="178" t="s">
        <v>87</v>
      </c>
      <c r="B66" s="1178"/>
      <c r="C66" s="189" t="s">
        <v>232</v>
      </c>
      <c r="D66" s="189"/>
      <c r="F66" s="215"/>
      <c r="G66" s="190"/>
      <c r="H66" s="190"/>
      <c r="L66" s="229"/>
      <c r="M66" s="181" t="s">
        <v>233</v>
      </c>
      <c r="N66" s="231"/>
      <c r="O66" s="181"/>
      <c r="P66" s="181"/>
      <c r="X66" s="345"/>
      <c r="Y66" s="345"/>
    </row>
    <row r="67" s="178" customFormat="1">
      <c r="A67" s="178" t="s">
        <v>87</v>
      </c>
      <c r="B67" s="1178"/>
      <c r="C67" s="189"/>
      <c r="D67" s="189"/>
      <c r="F67" s="215"/>
      <c r="G67" s="190"/>
      <c r="H67" s="190"/>
      <c r="I67" s="190"/>
      <c r="L67" s="229"/>
      <c r="X67" s="345"/>
      <c r="Y67" s="345"/>
    </row>
    <row r="68" s="178" customFormat="1">
      <c r="A68" s="178" t="s">
        <v>87</v>
      </c>
      <c r="B68" s="1178"/>
      <c r="C68" s="189"/>
      <c r="D68" s="189"/>
      <c r="F68" s="215"/>
      <c r="G68" s="190"/>
      <c r="H68" s="190"/>
      <c r="I68" s="190"/>
      <c r="L68" s="229"/>
      <c r="N68" s="230"/>
      <c r="X68" s="345"/>
      <c r="Y68" s="345"/>
    </row>
    <row r="69" s="178" customFormat="1">
      <c r="A69" s="178" t="s">
        <v>87</v>
      </c>
      <c r="B69" s="1178"/>
      <c r="C69" s="189"/>
      <c r="D69" s="189"/>
      <c r="F69" s="215"/>
      <c r="G69" s="190"/>
      <c r="H69" s="190"/>
      <c r="I69" s="190"/>
      <c r="L69" s="229"/>
      <c r="N69" s="231"/>
      <c r="X69" s="345"/>
      <c r="Y69" s="345"/>
    </row>
    <row r="70" s="178" customFormat="1">
      <c r="A70" s="178" t="s">
        <v>87</v>
      </c>
      <c r="B70" s="1178"/>
      <c r="C70" s="189"/>
      <c r="D70" s="189"/>
      <c r="F70" s="215"/>
      <c r="G70" s="190"/>
      <c r="H70" s="190"/>
      <c r="I70" s="190"/>
      <c r="L70" s="229"/>
      <c r="X70" s="345"/>
      <c r="Y70" s="345"/>
    </row>
    <row r="71" s="178" customFormat="1">
      <c r="A71" s="178" t="s">
        <v>87</v>
      </c>
      <c r="B71" s="1178"/>
      <c r="C71" s="189"/>
      <c r="D71" s="189"/>
      <c r="F71" s="215"/>
      <c r="G71" s="190"/>
      <c r="H71" s="190"/>
      <c r="I71" s="190"/>
      <c r="L71" s="229"/>
      <c r="Q71" s="189"/>
      <c r="X71" s="345"/>
      <c r="Y71" s="345"/>
    </row>
    <row r="72" s="178" customFormat="1">
      <c r="A72" s="181" t="s">
        <v>87</v>
      </c>
      <c r="B72" s="1178"/>
      <c r="C72" s="189"/>
      <c r="D72" s="189"/>
      <c r="F72" s="189"/>
      <c r="G72" s="190"/>
      <c r="H72" s="190"/>
      <c r="I72" s="190"/>
      <c r="L72" s="229"/>
      <c r="X72" s="345"/>
      <c r="Y72" s="345"/>
    </row>
    <row r="73" s="181" customFormat="1">
      <c r="A73" s="181" t="s">
        <v>87</v>
      </c>
      <c r="B73" s="1191"/>
      <c r="C73" s="214" t="s">
        <v>234</v>
      </c>
      <c r="D73" s="189"/>
      <c r="E73" s="189"/>
      <c r="F73" s="214"/>
      <c r="G73" s="190"/>
      <c r="H73" s="190"/>
      <c r="I73" s="190"/>
      <c r="J73" s="232" t="s">
        <v>235</v>
      </c>
      <c r="M73" s="213" t="s">
        <v>236</v>
      </c>
      <c r="O73" s="214" t="s">
        <v>237</v>
      </c>
      <c r="Q73" s="213" t="s">
        <v>238</v>
      </c>
      <c r="X73" s="425"/>
      <c r="Y73" s="425"/>
    </row>
    <row r="74" s="181" customFormat="1">
      <c r="A74" s="181" t="s">
        <v>87</v>
      </c>
      <c r="B74" s="1191"/>
      <c r="C74" s="188"/>
      <c r="D74" s="189"/>
      <c r="E74" s="189"/>
      <c r="F74" s="189"/>
      <c r="G74" s="190"/>
      <c r="H74" s="190"/>
      <c r="M74" s="190"/>
      <c r="X74" s="425"/>
      <c r="Y74" s="425"/>
    </row>
    <row r="75" s="181" customFormat="1">
      <c r="A75" s="181" t="s">
        <v>87</v>
      </c>
      <c r="B75" s="1191"/>
      <c r="C75" s="188"/>
      <c r="D75" s="189"/>
      <c r="E75" s="189"/>
      <c r="F75" s="189"/>
      <c r="G75" s="190"/>
      <c r="H75" s="190"/>
      <c r="M75" s="190"/>
      <c r="X75" s="425"/>
      <c r="Y75" s="425"/>
    </row>
    <row r="76" s="181" customFormat="1">
      <c r="A76" s="181" t="s">
        <v>87</v>
      </c>
      <c r="B76" s="1191"/>
      <c r="C76" s="188"/>
      <c r="D76" s="189"/>
      <c r="E76" s="189"/>
      <c r="F76" s="189"/>
      <c r="G76" s="190"/>
      <c r="H76" s="190"/>
      <c r="M76" s="190"/>
      <c r="X76" s="425"/>
      <c r="Y76" s="425"/>
    </row>
    <row r="77" s="181" customFormat="1">
      <c r="A77" s="181" t="s">
        <v>87</v>
      </c>
      <c r="B77" s="1191"/>
      <c r="C77" s="188"/>
      <c r="D77" s="189"/>
      <c r="E77" s="189"/>
      <c r="F77" s="189"/>
      <c r="G77" s="190"/>
      <c r="H77" s="190"/>
      <c r="M77" s="190"/>
      <c r="U77" s="189"/>
      <c r="V77" s="189"/>
      <c r="X77" s="425"/>
      <c r="Y77" s="425"/>
    </row>
    <row r="78" s="181" customFormat="1">
      <c r="A78" s="181" t="s">
        <v>87</v>
      </c>
      <c r="B78" s="1191"/>
      <c r="F78" s="215"/>
      <c r="X78" s="425"/>
      <c r="Y78" s="425"/>
    </row>
    <row r="79" s="181" customFormat="1">
      <c r="A79" s="181" t="s">
        <v>87</v>
      </c>
      <c r="B79" s="1191"/>
      <c r="F79" s="215"/>
      <c r="X79" s="425"/>
      <c r="Y79" s="425"/>
    </row>
    <row r="80" s="181" customFormat="1">
      <c r="A80" s="181" t="s">
        <v>87</v>
      </c>
      <c r="B80" s="1191"/>
      <c r="F80" s="215"/>
      <c r="X80" s="425"/>
      <c r="Y80" s="425"/>
    </row>
    <row r="81" s="181" customFormat="1">
      <c r="A81" s="181" t="s">
        <v>87</v>
      </c>
      <c r="B81" s="1191"/>
      <c r="F81" s="215"/>
      <c r="X81" s="425"/>
      <c r="Y81" s="425"/>
    </row>
    <row r="82" s="181" customFormat="1">
      <c r="A82" s="181" t="s">
        <v>87</v>
      </c>
      <c r="B82" s="1191"/>
      <c r="F82" s="215"/>
      <c r="X82" s="425"/>
      <c r="Y82" s="425"/>
    </row>
    <row r="83" s="181" customFormat="1">
      <c r="A83" s="181" t="s">
        <v>87</v>
      </c>
      <c r="B83" s="1191"/>
      <c r="F83" s="215"/>
      <c r="X83" s="425"/>
      <c r="Y83" s="425"/>
    </row>
    <row r="84" s="181" customFormat="1">
      <c r="A84" s="181" t="s">
        <v>87</v>
      </c>
      <c r="B84" s="1191"/>
      <c r="F84" s="215"/>
      <c r="X84" s="425"/>
      <c r="Y84" s="425"/>
    </row>
    <row r="85" s="181" customFormat="1">
      <c r="A85" s="181" t="s">
        <v>87</v>
      </c>
      <c r="B85" s="1191"/>
      <c r="F85" s="215"/>
      <c r="X85" s="425"/>
      <c r="Y85" s="425"/>
    </row>
    <row r="86">
      <c r="A86" s="182" t="s">
        <v>87</v>
      </c>
      <c r="B86" s="1191"/>
      <c r="C86" s="182"/>
      <c r="D86" s="182"/>
      <c r="E86" s="182"/>
      <c r="F86" s="217"/>
      <c r="G86" s="182"/>
      <c r="H86" s="182"/>
      <c r="M86" s="182"/>
      <c r="U86" s="182"/>
      <c r="V86" s="182"/>
    </row>
    <row r="87">
      <c r="A87" s="182" t="s">
        <v>87</v>
      </c>
      <c r="B87" s="1191"/>
      <c r="C87" s="182"/>
      <c r="D87" s="182"/>
      <c r="E87" s="182"/>
      <c r="F87" s="217"/>
      <c r="G87" s="182"/>
      <c r="H87" s="182"/>
      <c r="M87" s="182"/>
      <c r="U87" s="182"/>
      <c r="V87" s="182"/>
    </row>
    <row r="88">
      <c r="A88" s="182" t="s">
        <v>87</v>
      </c>
      <c r="B88" s="1191"/>
    </row>
    <row r="89">
      <c r="A89" s="182" t="s">
        <v>87</v>
      </c>
      <c r="B89" s="1191"/>
    </row>
    <row r="90">
      <c r="A90" s="182" t="s">
        <v>87</v>
      </c>
      <c r="B90" s="1191"/>
    </row>
    <row r="91">
      <c r="A91" s="182" t="s">
        <v>87</v>
      </c>
      <c r="B91" s="1191"/>
    </row>
    <row r="92">
      <c r="A92" s="182" t="s">
        <v>87</v>
      </c>
      <c r="B92" s="1191"/>
    </row>
    <row r="93">
      <c r="A93" s="182" t="s">
        <v>87</v>
      </c>
      <c r="B93" s="1191"/>
    </row>
    <row r="94">
      <c r="A94" s="182" t="s">
        <v>87</v>
      </c>
      <c r="B94" s="1191"/>
    </row>
    <row r="95">
      <c r="A95" s="182" t="s">
        <v>87</v>
      </c>
      <c r="B95" s="1191"/>
    </row>
    <row r="96">
      <c r="A96" s="182" t="s">
        <v>87</v>
      </c>
      <c r="B96" s="1191"/>
    </row>
    <row r="97">
      <c r="A97" s="182" t="s">
        <v>87</v>
      </c>
      <c r="B97" s="1191"/>
    </row>
    <row r="98">
      <c r="A98" s="182" t="s">
        <v>87</v>
      </c>
      <c r="B98" s="1191"/>
    </row>
    <row r="99">
      <c r="A99" s="182" t="s">
        <v>87</v>
      </c>
      <c r="B99" s="1191"/>
    </row>
    <row r="100">
      <c r="D100" s="217"/>
    </row>
  </sheetData>
  <sortState ref="A18:X53">
    <sortCondition ref="B18:B53"/>
  </sortState>
  <mergeCells>
    <mergeCell ref="A60:F60"/>
  </mergeCells>
  <printOptions horizontalCentered="1"/>
  <pageMargins left="0" right="0" top="0.75" bottom="0.75" header="0.3" footer="0.3"/>
  <pageSetup paperSize="9" scale="60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5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30" customWidth="1" style="184"/>
    <col min="4" max="4" width="6.7109375" customWidth="1" style="183"/>
    <col min="5" max="5" hidden="1" width="7.85546875" customWidth="1" style="183"/>
    <col min="6" max="6" hidden="1" width="8.28515625" customWidth="1" style="183"/>
    <col min="7" max="7" width="10.5703125" customWidth="1" style="185"/>
    <col min="8" max="8" width="11.28515625" customWidth="1" style="182"/>
    <col min="9" max="9" width="13.42578125" customWidth="1" style="182"/>
    <col min="10" max="10" width="12.42578125" customWidth="1" style="182"/>
    <col min="11" max="11" width="11.42578125" customWidth="1" style="182"/>
    <col min="12" max="12" width="13.85546875" customWidth="1" style="185"/>
    <col min="13" max="13" width="11" customWidth="1" style="182"/>
    <col min="14" max="14" width="11.42578125" customWidth="1" style="182"/>
    <col min="15" max="15" hidden="1" width="11.85546875" customWidth="1" style="182"/>
    <col min="16" max="16" hidden="1" width="12" customWidth="1" style="182"/>
    <col min="17" max="17" width="12.85546875" customWidth="1" style="182"/>
    <col min="18" max="18" width="10" customWidth="1" style="182"/>
    <col min="19" max="19" width="11.42578125" customWidth="1" style="182"/>
    <col min="20" max="20" width="10" customWidth="1" style="183"/>
    <col min="21" max="21" width="9.85546875" customWidth="1" style="183"/>
    <col min="22" max="22" width="14.710937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N1" s="451"/>
      <c r="O1" s="451"/>
      <c r="P1" s="451"/>
      <c r="Q1" s="451"/>
      <c r="R1" s="451"/>
      <c r="S1" s="451"/>
      <c r="T1" s="189"/>
      <c r="U1" s="187"/>
    </row>
    <row r="2" ht="12.75" s="178" customFormat="1">
      <c r="A2" s="186" t="s">
        <v>1132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452"/>
      <c r="O2" s="451"/>
      <c r="P2" s="452"/>
      <c r="Q2" s="452"/>
      <c r="R2" s="452"/>
      <c r="S2" s="452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8">
        <v>3377265</v>
      </c>
      <c r="L3" s="190"/>
      <c r="N3" s="451"/>
      <c r="O3" s="451"/>
      <c r="P3" s="451"/>
      <c r="Q3" s="451"/>
      <c r="R3" s="451"/>
      <c r="S3" s="451"/>
      <c r="T3" s="189"/>
      <c r="U3" s="187"/>
    </row>
    <row r="4" ht="13.5" customHeight="1" s="178" customFormat="1">
      <c r="A4" s="195"/>
      <c r="B4" s="187"/>
      <c r="C4" s="188"/>
      <c r="D4" s="189"/>
      <c r="E4" s="189"/>
      <c r="F4" s="189"/>
      <c r="G4" s="190"/>
      <c r="L4" s="190"/>
      <c r="N4" s="451"/>
      <c r="O4" s="451"/>
      <c r="P4" s="451"/>
      <c r="Q4" s="451"/>
      <c r="R4" s="451"/>
      <c r="S4" s="451"/>
      <c r="T4" s="189"/>
      <c r="U4" s="187"/>
    </row>
    <row r="5" ht="13.5" customHeight="1" s="178" customFormat="1">
      <c r="A5" s="195"/>
      <c r="B5" s="187"/>
      <c r="C5" s="188"/>
      <c r="D5" s="189"/>
      <c r="E5" s="189"/>
      <c r="F5" s="189"/>
      <c r="G5" s="190"/>
      <c r="L5" s="190"/>
      <c r="N5" s="451"/>
      <c r="O5" s="451"/>
      <c r="P5" s="451"/>
      <c r="Q5" s="451"/>
      <c r="R5" s="451"/>
      <c r="S5" s="451"/>
      <c r="T5" s="189"/>
      <c r="U5" s="187"/>
    </row>
    <row r="6" ht="30" customHeight="1" s="179" customFormat="1">
      <c r="A6" s="429" t="s">
        <v>36</v>
      </c>
      <c r="B6" s="430" t="s">
        <v>37</v>
      </c>
      <c r="C6" s="430" t="s">
        <v>38</v>
      </c>
      <c r="D6" s="430" t="s">
        <v>39</v>
      </c>
      <c r="E6" s="430" t="s">
        <v>40</v>
      </c>
      <c r="F6" s="431" t="s">
        <v>41</v>
      </c>
      <c r="G6" s="432" t="s">
        <v>42</v>
      </c>
      <c r="H6" s="433" t="s">
        <v>44</v>
      </c>
      <c r="I6" s="219" t="s">
        <v>45</v>
      </c>
      <c r="J6" s="219" t="s">
        <v>46</v>
      </c>
      <c r="K6" s="453" t="s">
        <v>47</v>
      </c>
      <c r="L6" s="453" t="s">
        <v>48</v>
      </c>
      <c r="M6" s="221" t="s">
        <v>49</v>
      </c>
      <c r="N6" s="222" t="s">
        <v>50</v>
      </c>
      <c r="O6" s="223" t="s">
        <v>52</v>
      </c>
      <c r="P6" s="221" t="s">
        <v>1133</v>
      </c>
      <c r="Q6" s="462" t="s">
        <v>54</v>
      </c>
      <c r="R6" s="463" t="s">
        <v>55</v>
      </c>
      <c r="S6" s="463" t="s">
        <v>56</v>
      </c>
      <c r="T6" s="463" t="s">
        <v>57</v>
      </c>
      <c r="U6" s="464" t="s">
        <v>58</v>
      </c>
    </row>
    <row r="7" ht="18" customHeight="1" s="178" customFormat="1">
      <c r="A7" s="202" t="s">
        <v>59</v>
      </c>
      <c r="B7" s="979" t="s">
        <v>1134</v>
      </c>
      <c r="C7" s="434" t="s">
        <v>1135</v>
      </c>
      <c r="D7" s="375" t="s">
        <v>84</v>
      </c>
      <c r="E7" s="473" t="s">
        <v>602</v>
      </c>
      <c r="F7" s="474" t="s">
        <v>421</v>
      </c>
      <c r="G7" s="112">
        <f>3377265</f>
        <v>3377265</v>
      </c>
      <c r="H7" s="329">
        <f>+$G$3*4.89%</f>
        <v>165148.2585</v>
      </c>
      <c r="I7" s="332">
        <f>+$G$3*4%</f>
        <v>135090.6</v>
      </c>
      <c r="J7" s="332">
        <f>+$G$3*2%</f>
        <v>67545.3</v>
      </c>
      <c r="K7" s="332">
        <v>1667</v>
      </c>
      <c r="L7" s="225">
        <f>SUM(G7:K7)</f>
        <v>3746716.1585</v>
      </c>
      <c r="M7" s="225">
        <f>+L7*8%</f>
        <v>299737.29268</v>
      </c>
      <c r="N7" s="226">
        <v>460000</v>
      </c>
      <c r="O7" s="475"/>
      <c r="P7" s="225"/>
      <c r="Q7" s="409">
        <f>SUM(L7:P7)</f>
        <v>4506453.45118</v>
      </c>
      <c r="R7" s="409">
        <f>M7*0.1</f>
        <v>29973.729268</v>
      </c>
      <c r="S7" s="410">
        <f>Q7+R7</f>
        <v>4536427.180448</v>
      </c>
      <c r="T7" s="238">
        <v>44378</v>
      </c>
      <c r="U7" s="239">
        <v>44469</v>
      </c>
      <c r="V7" s="194"/>
      <c r="W7" s="194"/>
    </row>
    <row r="8" ht="18" customHeight="1" s="178" customFormat="1">
      <c r="A8" s="202" t="s">
        <v>59</v>
      </c>
      <c r="B8" s="979" t="s">
        <v>1136</v>
      </c>
      <c r="C8" s="434" t="s">
        <v>1137</v>
      </c>
      <c r="D8" s="375" t="s">
        <v>84</v>
      </c>
      <c r="E8" s="473" t="s">
        <v>602</v>
      </c>
      <c r="F8" s="474" t="s">
        <v>421</v>
      </c>
      <c r="G8" s="112">
        <f>3377265</f>
        <v>3377265</v>
      </c>
      <c r="H8" s="329">
        <f>+$G$3*4.89%</f>
        <v>165148.2585</v>
      </c>
      <c r="I8" s="332">
        <f>+$G$3*4%</f>
        <v>135090.6</v>
      </c>
      <c r="J8" s="332">
        <f>+$G$3*2%</f>
        <v>67545.3</v>
      </c>
      <c r="K8" s="332">
        <v>1667</v>
      </c>
      <c r="L8" s="225">
        <f>SUM(G8:K8)</f>
        <v>3746716.1585</v>
      </c>
      <c r="M8" s="225">
        <f>+L8*8%</f>
        <v>299737.29268</v>
      </c>
      <c r="N8" s="226">
        <v>480000</v>
      </c>
      <c r="O8" s="475"/>
      <c r="P8" s="225"/>
      <c r="Q8" s="409">
        <f>SUM(L8:P8)</f>
        <v>4526453.45118</v>
      </c>
      <c r="R8" s="409">
        <f>M8*0.1</f>
        <v>29973.729268</v>
      </c>
      <c r="S8" s="410">
        <f>Q8+R8</f>
        <v>4556427.180448</v>
      </c>
      <c r="T8" s="238">
        <v>44378</v>
      </c>
      <c r="U8" s="239">
        <v>44469</v>
      </c>
      <c r="V8" s="194"/>
      <c r="W8" s="194"/>
    </row>
    <row r="9" ht="18" customHeight="1" s="178" customFormat="1">
      <c r="A9" s="202" t="s">
        <v>59</v>
      </c>
      <c r="B9" s="979" t="s">
        <v>1138</v>
      </c>
      <c r="C9" s="434" t="s">
        <v>1139</v>
      </c>
      <c r="D9" s="375" t="s">
        <v>84</v>
      </c>
      <c r="E9" s="473" t="s">
        <v>602</v>
      </c>
      <c r="F9" s="474" t="s">
        <v>421</v>
      </c>
      <c r="G9" s="112">
        <f>3377265</f>
        <v>3377265</v>
      </c>
      <c r="H9" s="329">
        <f>+$G$3*4.89%</f>
        <v>165148.2585</v>
      </c>
      <c r="I9" s="332">
        <f>+$G$3*4%</f>
        <v>135090.6</v>
      </c>
      <c r="J9" s="332">
        <f>+$G$3*2%</f>
        <v>67545.3</v>
      </c>
      <c r="K9" s="332">
        <v>1667</v>
      </c>
      <c r="L9" s="225">
        <f>SUM(G9:K9)</f>
        <v>3746716.1585</v>
      </c>
      <c r="M9" s="225">
        <f>+L9*8%</f>
        <v>299737.29268</v>
      </c>
      <c r="N9" s="226">
        <v>400000</v>
      </c>
      <c r="O9" s="475"/>
      <c r="P9" s="225"/>
      <c r="Q9" s="409">
        <f>SUM(L9:P9)</f>
        <v>4446453.45118</v>
      </c>
      <c r="R9" s="409">
        <f>M9*0.1</f>
        <v>29973.729268</v>
      </c>
      <c r="S9" s="410">
        <f>Q9+R9</f>
        <v>4476427.180448</v>
      </c>
      <c r="T9" s="238">
        <v>44378</v>
      </c>
      <c r="U9" s="239">
        <v>44469</v>
      </c>
      <c r="V9" s="194"/>
      <c r="W9" s="194"/>
    </row>
    <row r="10" ht="18" customHeight="1" s="426" customFormat="1">
      <c r="A10" s="442" t="s">
        <v>87</v>
      </c>
      <c r="B10" s="1234"/>
      <c r="C10" s="443" t="s">
        <v>1140</v>
      </c>
      <c r="D10" s="444"/>
      <c r="E10" s="444"/>
      <c r="F10" s="444"/>
      <c r="G10" s="445">
        <f>SUM(G7:G9)</f>
        <v>10131795</v>
      </c>
      <c r="H10" s="445">
        <f ref="H10:R10" t="shared" si="0">SUM(H7:H9)</f>
        <v>495444.7755</v>
      </c>
      <c r="I10" s="445">
        <f t="shared" si="0"/>
        <v>405271.8</v>
      </c>
      <c r="J10" s="445">
        <f t="shared" si="0"/>
        <v>202635.9</v>
      </c>
      <c r="K10" s="445">
        <f t="shared" si="0"/>
        <v>5001</v>
      </c>
      <c r="L10" s="445">
        <f t="shared" si="0"/>
        <v>11240148.4755</v>
      </c>
      <c r="M10" s="445">
        <f t="shared" si="0"/>
        <v>899211.87804</v>
      </c>
      <c r="N10" s="445">
        <f t="shared" si="0"/>
        <v>1340000</v>
      </c>
      <c r="O10" s="445">
        <f t="shared" si="0"/>
        <v>0</v>
      </c>
      <c r="P10" s="445">
        <f t="shared" si="0"/>
        <v>0</v>
      </c>
      <c r="Q10" s="476">
        <f t="shared" si="0"/>
        <v>13479360.35354</v>
      </c>
      <c r="R10" s="445">
        <f t="shared" si="0"/>
        <v>89921.187804</v>
      </c>
      <c r="S10" s="476">
        <f>SUM(S7:S9)</f>
        <v>13569281.541344</v>
      </c>
      <c r="T10" s="469"/>
      <c r="U10" s="470"/>
      <c r="V10" s="194"/>
      <c r="W10" s="178"/>
      <c r="X10" s="178"/>
    </row>
    <row r="11" s="180" customFormat="1">
      <c r="A11" s="210" t="s">
        <v>87</v>
      </c>
      <c r="B11" s="1178"/>
      <c r="C11" s="184"/>
      <c r="D11" s="212"/>
      <c r="E11" s="212"/>
      <c r="F11" s="212"/>
      <c r="H11" s="446"/>
      <c r="L11" s="228"/>
      <c r="N11" s="456"/>
      <c r="T11" s="212"/>
      <c r="U11" s="211"/>
    </row>
    <row r="12" ht="13.5" customHeight="1" s="427" customFormat="1">
      <c r="A12" s="447" t="s">
        <v>87</v>
      </c>
      <c r="B12" s="1235"/>
      <c r="C12" s="447"/>
      <c r="D12" s="447"/>
      <c r="E12" s="447"/>
      <c r="F12" s="448"/>
      <c r="G12" s="449"/>
      <c r="H12" s="450"/>
      <c r="I12" s="457"/>
      <c r="J12" s="457"/>
      <c r="K12" s="458"/>
      <c r="L12" s="458"/>
      <c r="M12" s="459"/>
      <c r="N12" s="460"/>
      <c r="O12" s="461"/>
      <c r="P12" s="459"/>
      <c r="Q12" s="471"/>
      <c r="R12" s="472"/>
      <c r="S12" s="472"/>
      <c r="T12" s="472"/>
      <c r="U12" s="472"/>
    </row>
    <row r="13" s="181" customFormat="1">
      <c r="A13" s="181" t="s">
        <v>87</v>
      </c>
      <c r="B13" s="1191"/>
      <c r="C13" s="188"/>
      <c r="D13" s="189"/>
      <c r="E13" s="189"/>
      <c r="F13" s="189"/>
      <c r="G13" s="190"/>
      <c r="L13" s="190"/>
      <c r="N13" s="229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30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M15" s="229"/>
      <c r="N15" s="229"/>
      <c r="O15" s="229"/>
      <c r="P15" s="230"/>
    </row>
    <row r="16" s="178" customFormat="1">
      <c r="A16" s="178" t="s">
        <v>87</v>
      </c>
      <c r="B16" s="1178"/>
      <c r="C16" s="214" t="str">
        <f>+'BANJARMASIN '!C102</f>
        <v>Karawang,  16 Agustus 2020</v>
      </c>
      <c r="D16" s="189"/>
      <c r="E16" s="189"/>
      <c r="F16" s="189"/>
      <c r="G16" s="190"/>
      <c r="L16" s="231"/>
      <c r="M16" s="231"/>
      <c r="N16" s="231"/>
      <c r="O16" s="231"/>
      <c r="P16" s="230"/>
    </row>
    <row r="17" s="178" customFormat="1">
      <c r="A17" s="213" t="s">
        <v>87</v>
      </c>
      <c r="B17" s="1178"/>
      <c r="C17" s="189"/>
      <c r="D17" s="189"/>
      <c r="E17" s="189"/>
      <c r="F17" s="189"/>
      <c r="G17" s="190"/>
      <c r="M17" s="229"/>
      <c r="N17" s="229"/>
      <c r="O17" s="229"/>
      <c r="P17" s="230"/>
    </row>
    <row r="18" s="178" customFormat="1">
      <c r="A18" s="178" t="s">
        <v>87</v>
      </c>
      <c r="B18" s="1178"/>
      <c r="C18" s="189" t="s">
        <v>232</v>
      </c>
      <c r="D18" s="189"/>
      <c r="F18" s="215"/>
      <c r="G18" s="190"/>
      <c r="K18" s="229"/>
      <c r="L18" s="181" t="s">
        <v>233</v>
      </c>
      <c r="M18" s="231"/>
      <c r="N18" s="181"/>
      <c r="O18" s="181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0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1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P23" s="189"/>
    </row>
    <row r="24" s="178" customFormat="1">
      <c r="A24" s="181" t="s">
        <v>87</v>
      </c>
      <c r="B24" s="1178"/>
      <c r="C24" s="189"/>
      <c r="D24" s="189"/>
      <c r="F24" s="189"/>
      <c r="G24" s="190"/>
      <c r="H24" s="190"/>
      <c r="K24" s="229"/>
    </row>
    <row r="25" s="181" customFormat="1">
      <c r="A25" s="181" t="s">
        <v>87</v>
      </c>
      <c r="B25" s="1191"/>
      <c r="C25" s="214" t="s">
        <v>234</v>
      </c>
      <c r="D25" s="189"/>
      <c r="E25" s="189"/>
      <c r="F25" s="214"/>
      <c r="G25" s="190"/>
      <c r="H25" s="190"/>
      <c r="I25" s="232" t="s">
        <v>235</v>
      </c>
      <c r="L25" s="213" t="s">
        <v>236</v>
      </c>
      <c r="N25" s="214" t="s">
        <v>237</v>
      </c>
      <c r="Q25" s="213" t="s">
        <v>238</v>
      </c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T29" s="189"/>
      <c r="U29" s="189"/>
    </row>
    <row r="30" s="181" customFormat="1">
      <c r="A30" s="181" t="s">
        <v>87</v>
      </c>
      <c r="B30" s="1191"/>
      <c r="F30" s="215"/>
    </row>
    <row r="31">
      <c r="A31" s="182" t="s">
        <v>87</v>
      </c>
      <c r="B31" s="1191"/>
      <c r="C31" s="182"/>
      <c r="D31" s="182"/>
      <c r="E31" s="182"/>
      <c r="F31" s="217"/>
      <c r="G31" s="182"/>
      <c r="L31" s="182"/>
      <c r="T31" s="182"/>
      <c r="U31" s="182"/>
    </row>
    <row r="32">
      <c r="A32" s="182" t="s">
        <v>87</v>
      </c>
      <c r="B32" s="1191"/>
      <c r="C32" s="182"/>
      <c r="D32" s="182"/>
      <c r="E32" s="182"/>
      <c r="F32" s="217"/>
      <c r="G32" s="182"/>
      <c r="L32" s="182"/>
      <c r="T32" s="182"/>
      <c r="U32" s="182"/>
    </row>
    <row r="33">
      <c r="A33" s="182" t="s">
        <v>87</v>
      </c>
      <c r="B33" s="1191"/>
    </row>
    <row r="34">
      <c r="A34" s="182" t="s">
        <v>87</v>
      </c>
      <c r="B34" s="1191"/>
    </row>
    <row r="35">
      <c r="A35" s="182" t="s">
        <v>87</v>
      </c>
      <c r="B35" s="1191"/>
    </row>
    <row r="36">
      <c r="A36" s="182" t="s">
        <v>87</v>
      </c>
      <c r="B36" s="1191"/>
    </row>
    <row r="37">
      <c r="A37" s="182" t="s">
        <v>87</v>
      </c>
      <c r="B37" s="1191"/>
    </row>
    <row r="38">
      <c r="A38" s="182" t="s">
        <v>87</v>
      </c>
      <c r="B38" s="1191"/>
    </row>
    <row r="39">
      <c r="A39" s="182" t="s">
        <v>87</v>
      </c>
      <c r="B39" s="1191"/>
    </row>
    <row r="40">
      <c r="A40" s="182" t="s">
        <v>87</v>
      </c>
      <c r="B40" s="1191"/>
    </row>
    <row r="41">
      <c r="A41" s="182" t="s">
        <v>87</v>
      </c>
      <c r="B41" s="1191"/>
    </row>
    <row r="42">
      <c r="A42" s="182" t="s">
        <v>87</v>
      </c>
      <c r="B42" s="1191"/>
    </row>
    <row r="43">
      <c r="A43" s="182" t="s">
        <v>87</v>
      </c>
      <c r="B43" s="1191"/>
    </row>
    <row r="44">
      <c r="A44" s="182" t="s">
        <v>87</v>
      </c>
      <c r="B44" s="1191"/>
    </row>
    <row r="45" s="183" customFormat="1">
      <c r="A45" s="182"/>
      <c r="C45" s="184"/>
      <c r="D45" s="217"/>
      <c r="G45" s="185"/>
      <c r="H45" s="182"/>
      <c r="I45" s="182"/>
      <c r="J45" s="182"/>
      <c r="K45" s="182"/>
      <c r="L45" s="185"/>
      <c r="M45" s="182"/>
      <c r="N45" s="182"/>
      <c r="O45" s="182"/>
      <c r="P45" s="182"/>
      <c r="Q45" s="182"/>
      <c r="R45" s="182"/>
      <c r="S45" s="182"/>
      <c r="V45" s="182"/>
      <c r="W45" s="182"/>
      <c r="X45" s="182"/>
    </row>
  </sheetData>
  <printOptions horizontalCentered="1"/>
  <pageMargins left="0" right="0" top="0.75" bottom="0.75" header="0.3" footer="0.3"/>
  <pageSetup paperSize="9" scale="70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X4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30" customWidth="1" style="184"/>
    <col min="4" max="4" width="6.7109375" customWidth="1" style="183"/>
    <col min="5" max="5" hidden="1" width="9.7109375" customWidth="1" style="183"/>
    <col min="6" max="6" hidden="1" width="8.28515625" customWidth="1" style="183"/>
    <col min="7" max="7" width="10.5703125" customWidth="1" style="185"/>
    <col min="8" max="8" width="11.28515625" customWidth="1" style="182"/>
    <col min="9" max="9" width="13.42578125" customWidth="1" style="182"/>
    <col min="10" max="10" width="12.42578125" customWidth="1" style="182"/>
    <col min="11" max="11" width="11.42578125" customWidth="1" style="182"/>
    <col min="12" max="12" width="13.85546875" customWidth="1" style="185"/>
    <col min="13" max="13" width="11" customWidth="1" style="182"/>
    <col min="14" max="14" width="14.28515625" customWidth="1" style="182"/>
    <col min="15" max="15" hidden="1" width="11.85546875" customWidth="1" style="182"/>
    <col min="16" max="16" hidden="1" width="12" customWidth="1" style="182"/>
    <col min="17" max="17" width="12.85546875" customWidth="1" style="182"/>
    <col min="18" max="18" width="10" customWidth="1" style="182"/>
    <col min="19" max="19" width="11.42578125" customWidth="1" style="182"/>
    <col min="20" max="20" width="10" customWidth="1" style="183"/>
    <col min="21" max="21" width="9.85546875" customWidth="1" style="183"/>
    <col min="22" max="22" width="14.710937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N1" s="451"/>
      <c r="O1" s="451"/>
      <c r="P1" s="451"/>
      <c r="Q1" s="451"/>
      <c r="R1" s="451"/>
      <c r="S1" s="451"/>
      <c r="T1" s="189"/>
      <c r="U1" s="187"/>
    </row>
    <row r="2" ht="12.75" s="178" customFormat="1">
      <c r="A2" s="186" t="s">
        <v>1141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452"/>
      <c r="O2" s="451"/>
      <c r="P2" s="452"/>
      <c r="Q2" s="452"/>
      <c r="R2" s="452"/>
      <c r="S2" s="452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428">
        <v>2215000</v>
      </c>
      <c r="L3" s="190"/>
      <c r="N3" s="451"/>
      <c r="O3" s="451"/>
      <c r="P3" s="451"/>
      <c r="Q3" s="451"/>
      <c r="R3" s="451"/>
      <c r="S3" s="451"/>
      <c r="T3" s="189"/>
      <c r="U3" s="187"/>
    </row>
    <row r="4" ht="13.5" customHeight="1" s="178" customFormat="1">
      <c r="A4" s="195"/>
      <c r="B4" s="187"/>
      <c r="C4" s="188"/>
      <c r="D4" s="189"/>
      <c r="E4" s="189"/>
      <c r="F4" s="189"/>
      <c r="G4" s="190"/>
      <c r="L4" s="190"/>
      <c r="N4" s="451"/>
      <c r="O4" s="451"/>
      <c r="P4" s="451"/>
      <c r="Q4" s="451"/>
      <c r="R4" s="451"/>
      <c r="S4" s="451"/>
      <c r="T4" s="189"/>
      <c r="U4" s="187"/>
    </row>
    <row r="5" ht="13.5" customHeight="1" s="178" customFormat="1">
      <c r="A5" s="195"/>
      <c r="B5" s="187"/>
      <c r="C5" s="188"/>
      <c r="D5" s="189"/>
      <c r="E5" s="189"/>
      <c r="F5" s="189"/>
      <c r="G5" s="190"/>
      <c r="L5" s="190"/>
      <c r="N5" s="451"/>
      <c r="O5" s="451"/>
      <c r="P5" s="451"/>
      <c r="Q5" s="451"/>
      <c r="R5" s="451"/>
      <c r="S5" s="451"/>
      <c r="T5" s="189"/>
      <c r="U5" s="187"/>
    </row>
    <row r="6" ht="30" customHeight="1" s="179" customFormat="1">
      <c r="A6" s="429" t="s">
        <v>36</v>
      </c>
      <c r="B6" s="430" t="s">
        <v>37</v>
      </c>
      <c r="C6" s="430" t="s">
        <v>38</v>
      </c>
      <c r="D6" s="430" t="s">
        <v>39</v>
      </c>
      <c r="E6" s="430" t="s">
        <v>40</v>
      </c>
      <c r="F6" s="431" t="s">
        <v>41</v>
      </c>
      <c r="G6" s="432" t="s">
        <v>42</v>
      </c>
      <c r="H6" s="433" t="s">
        <v>44</v>
      </c>
      <c r="I6" s="219" t="s">
        <v>45</v>
      </c>
      <c r="J6" s="219" t="s">
        <v>46</v>
      </c>
      <c r="K6" s="453" t="s">
        <v>47</v>
      </c>
      <c r="L6" s="453" t="s">
        <v>48</v>
      </c>
      <c r="M6" s="221" t="s">
        <v>49</v>
      </c>
      <c r="N6" s="222" t="s">
        <v>50</v>
      </c>
      <c r="O6" s="223" t="s">
        <v>52</v>
      </c>
      <c r="P6" s="221" t="s">
        <v>1133</v>
      </c>
      <c r="Q6" s="462" t="s">
        <v>54</v>
      </c>
      <c r="R6" s="463" t="s">
        <v>55</v>
      </c>
      <c r="S6" s="463" t="s">
        <v>56</v>
      </c>
      <c r="T6" s="463" t="s">
        <v>57</v>
      </c>
      <c r="U6" s="464" t="s">
        <v>58</v>
      </c>
    </row>
    <row r="7" ht="18" customHeight="1" s="178" customFormat="1">
      <c r="A7" s="202" t="s">
        <v>64</v>
      </c>
      <c r="B7" s="1232" t="s">
        <v>1142</v>
      </c>
      <c r="C7" s="1233" t="s">
        <v>1143</v>
      </c>
      <c r="D7" s="205" t="s">
        <v>84</v>
      </c>
      <c r="E7" s="335" t="s">
        <v>1104</v>
      </c>
      <c r="F7" s="435" t="s">
        <v>421</v>
      </c>
      <c r="G7" s="112">
        <v>2215000</v>
      </c>
      <c r="H7" s="329">
        <f>+$G$3*4.89%</f>
        <v>108313.5</v>
      </c>
      <c r="I7" s="332">
        <f>+$G$3*4%</f>
        <v>88600</v>
      </c>
      <c r="J7" s="332">
        <f>+$G$3*2%</f>
        <v>44300</v>
      </c>
      <c r="K7" s="332">
        <v>1667</v>
      </c>
      <c r="L7" s="225">
        <f>SUM(G7:K7)</f>
        <v>2457880.5</v>
      </c>
      <c r="M7" s="225">
        <f>+L7*8%</f>
        <v>196630.44</v>
      </c>
      <c r="N7" s="226">
        <f>26*20000</f>
        <v>520000</v>
      </c>
      <c r="O7" s="226"/>
      <c r="P7" s="225"/>
      <c r="Q7" s="236">
        <f>SUM(L7:P7)</f>
        <v>3174510.94</v>
      </c>
      <c r="R7" s="236">
        <f>M7*0.1</f>
        <v>19663.044</v>
      </c>
      <c r="S7" s="237">
        <f>Q7+R7</f>
        <v>3194173.984</v>
      </c>
      <c r="T7" s="238">
        <v>44335</v>
      </c>
      <c r="U7" s="239">
        <v>44439</v>
      </c>
      <c r="V7" s="194"/>
      <c r="W7" s="194"/>
    </row>
    <row r="8" ht="18" customHeight="1" s="178" customFormat="1">
      <c r="A8" s="202" t="s">
        <v>64</v>
      </c>
      <c r="B8" s="1232" t="s">
        <v>1144</v>
      </c>
      <c r="C8" s="1233" t="s">
        <v>1145</v>
      </c>
      <c r="D8" s="205" t="s">
        <v>84</v>
      </c>
      <c r="E8" s="335" t="s">
        <v>1104</v>
      </c>
      <c r="F8" s="435" t="s">
        <v>421</v>
      </c>
      <c r="G8" s="112">
        <v>2215000</v>
      </c>
      <c r="H8" s="329">
        <f ref="H8:H11" t="shared" si="1">+$G$3*4.89%</f>
        <v>108313.5</v>
      </c>
      <c r="I8" s="332">
        <f ref="I8:I11" t="shared" si="2">+$G$3*4%</f>
        <v>88600</v>
      </c>
      <c r="J8" s="332">
        <f ref="J8:J11" t="shared" si="3">+$G$3*2%</f>
        <v>44300</v>
      </c>
      <c r="K8" s="332">
        <v>1667</v>
      </c>
      <c r="L8" s="225">
        <f ref="L8:L10" t="shared" si="4">SUM(G8:K8)</f>
        <v>2457880.5</v>
      </c>
      <c r="M8" s="225">
        <f ref="M8:M10" t="shared" si="5">+L8*8%</f>
        <v>196630.44</v>
      </c>
      <c r="N8" s="226">
        <f>29*20000</f>
        <v>580000</v>
      </c>
      <c r="O8" s="226"/>
      <c r="P8" s="225"/>
      <c r="Q8" s="236">
        <f ref="Q8:Q10" t="shared" si="6">SUM(L8:P8)</f>
        <v>3234510.94</v>
      </c>
      <c r="R8" s="236">
        <f ref="R8:R10" t="shared" si="7">M8*0.1</f>
        <v>19663.044</v>
      </c>
      <c r="S8" s="237">
        <f ref="S8:S10" t="shared" si="8">Q8+R8</f>
        <v>3254173.984</v>
      </c>
      <c r="T8" s="238">
        <v>44335</v>
      </c>
      <c r="U8" s="239">
        <v>44439</v>
      </c>
      <c r="V8" s="194"/>
      <c r="W8" s="194"/>
    </row>
    <row r="9" ht="18" customHeight="1" s="178" customFormat="1">
      <c r="A9" s="202" t="s">
        <v>64</v>
      </c>
      <c r="B9" s="1232" t="s">
        <v>1146</v>
      </c>
      <c r="C9" s="1233" t="s">
        <v>1147</v>
      </c>
      <c r="D9" s="205" t="s">
        <v>84</v>
      </c>
      <c r="E9" s="335" t="s">
        <v>1104</v>
      </c>
      <c r="F9" s="435" t="s">
        <v>421</v>
      </c>
      <c r="G9" s="112">
        <v>2215000</v>
      </c>
      <c r="H9" s="329">
        <f t="shared" si="1"/>
        <v>108313.5</v>
      </c>
      <c r="I9" s="332">
        <f t="shared" si="2"/>
        <v>88600</v>
      </c>
      <c r="J9" s="332">
        <f t="shared" si="3"/>
        <v>44300</v>
      </c>
      <c r="K9" s="332">
        <v>1667</v>
      </c>
      <c r="L9" s="225">
        <f t="shared" si="4"/>
        <v>2457880.5</v>
      </c>
      <c r="M9" s="225">
        <f t="shared" si="5"/>
        <v>196630.44</v>
      </c>
      <c r="N9" s="226">
        <f>27*20000</f>
        <v>540000</v>
      </c>
      <c r="O9" s="226"/>
      <c r="P9" s="225"/>
      <c r="Q9" s="236">
        <f t="shared" si="6"/>
        <v>3194510.94</v>
      </c>
      <c r="R9" s="236">
        <f t="shared" si="7"/>
        <v>19663.044</v>
      </c>
      <c r="S9" s="237">
        <f t="shared" si="8"/>
        <v>3214173.984</v>
      </c>
      <c r="T9" s="238">
        <v>44336</v>
      </c>
      <c r="U9" s="239">
        <v>44439</v>
      </c>
      <c r="V9" s="194"/>
      <c r="W9" s="194"/>
    </row>
    <row r="10" ht="18" customHeight="1" s="178" customFormat="1">
      <c r="A10" s="202" t="s">
        <v>64</v>
      </c>
      <c r="B10" s="1232" t="s">
        <v>1148</v>
      </c>
      <c r="C10" s="1233" t="s">
        <v>1149</v>
      </c>
      <c r="D10" s="205" t="s">
        <v>84</v>
      </c>
      <c r="E10" s="335" t="s">
        <v>1104</v>
      </c>
      <c r="F10" s="435" t="s">
        <v>421</v>
      </c>
      <c r="G10" s="112">
        <v>2215000</v>
      </c>
      <c r="H10" s="329">
        <f t="shared" si="1"/>
        <v>108313.5</v>
      </c>
      <c r="I10" s="332">
        <f t="shared" si="2"/>
        <v>88600</v>
      </c>
      <c r="J10" s="332">
        <f t="shared" si="3"/>
        <v>44300</v>
      </c>
      <c r="K10" s="332">
        <v>1667</v>
      </c>
      <c r="L10" s="225">
        <f t="shared" si="4"/>
        <v>2457880.5</v>
      </c>
      <c r="M10" s="225">
        <f t="shared" si="5"/>
        <v>196630.44</v>
      </c>
      <c r="N10" s="226">
        <f>29*20000</f>
        <v>580000</v>
      </c>
      <c r="O10" s="226"/>
      <c r="P10" s="225"/>
      <c r="Q10" s="236">
        <f t="shared" si="6"/>
        <v>3234510.94</v>
      </c>
      <c r="R10" s="236">
        <f t="shared" si="7"/>
        <v>19663.044</v>
      </c>
      <c r="S10" s="237">
        <f t="shared" si="8"/>
        <v>3254173.984</v>
      </c>
      <c r="T10" s="238">
        <v>44336</v>
      </c>
      <c r="U10" s="239">
        <v>44439</v>
      </c>
      <c r="V10" s="194"/>
      <c r="W10" s="194"/>
    </row>
    <row r="11" ht="18" customHeight="1" s="297" customFormat="1">
      <c r="A11" s="202" t="s">
        <v>64</v>
      </c>
      <c r="B11" s="1241" t="s">
        <v>1150</v>
      </c>
      <c r="C11" s="1237" t="s">
        <v>1151</v>
      </c>
      <c r="D11" s="321" t="s">
        <v>84</v>
      </c>
      <c r="E11" s="301" t="s">
        <v>1104</v>
      </c>
      <c r="F11" s="437" t="s">
        <v>421</v>
      </c>
      <c r="G11" s="322">
        <f>2215000/31*24</f>
        <v>1714838.70967742</v>
      </c>
      <c r="H11" s="438">
        <f t="shared" si="1"/>
        <v>108313.5</v>
      </c>
      <c r="I11" s="305">
        <f t="shared" si="2"/>
        <v>88600</v>
      </c>
      <c r="J11" s="305">
        <f t="shared" si="3"/>
        <v>44300</v>
      </c>
      <c r="K11" s="305">
        <v>1667</v>
      </c>
      <c r="L11" s="306">
        <f ref="L11:L12" t="shared" si="9">SUM(G11:K11)</f>
        <v>1957719.20967742</v>
      </c>
      <c r="M11" s="306">
        <f ref="M11:M12" t="shared" si="10">+L11*8%</f>
        <v>156617.536774194</v>
      </c>
      <c r="N11" s="327">
        <f>8*20000</f>
        <v>160000</v>
      </c>
      <c r="O11" s="327"/>
      <c r="P11" s="306"/>
      <c r="Q11" s="313">
        <f>SUM(L11:P11)</f>
        <v>2274336.74645161</v>
      </c>
      <c r="R11" s="313">
        <f ref="R11:R12" t="shared" si="12">M11*0.1</f>
        <v>15661.7536774194</v>
      </c>
      <c r="S11" s="314">
        <f ref="S11:S12" t="shared" si="13">Q11+R11</f>
        <v>2289998.50012903</v>
      </c>
      <c r="T11" s="315">
        <v>44400</v>
      </c>
      <c r="U11" s="316">
        <v>44500</v>
      </c>
      <c r="V11" s="417"/>
      <c r="W11" s="417"/>
    </row>
    <row r="12" ht="18" customHeight="1" s="370" customFormat="1">
      <c r="A12" s="202" t="s">
        <v>64</v>
      </c>
      <c r="B12" s="1238" t="s">
        <v>1152</v>
      </c>
      <c r="C12" s="1239" t="s">
        <v>1153</v>
      </c>
      <c r="D12" s="387" t="s">
        <v>84</v>
      </c>
      <c r="E12" s="439" t="s">
        <v>1104</v>
      </c>
      <c r="F12" s="440" t="s">
        <v>421</v>
      </c>
      <c r="G12" s="388">
        <f>2215000/31*3</f>
        <v>214354.838709677</v>
      </c>
      <c r="H12" s="441"/>
      <c r="I12" s="454"/>
      <c r="J12" s="454"/>
      <c r="K12" s="454"/>
      <c r="L12" s="455">
        <f t="shared" si="9"/>
        <v>214354.838709677</v>
      </c>
      <c r="M12" s="455">
        <f t="shared" si="10"/>
        <v>17148.3870967742</v>
      </c>
      <c r="N12" s="401">
        <f>5*20000</f>
        <v>100000</v>
      </c>
      <c r="O12" s="401"/>
      <c r="P12" s="455"/>
      <c r="Q12" s="465">
        <f>SUM(L12:P12)</f>
        <v>331503.225806451</v>
      </c>
      <c r="R12" s="465">
        <f t="shared" si="12"/>
        <v>1714.83870967742</v>
      </c>
      <c r="S12" s="466">
        <f t="shared" si="13"/>
        <v>333218.064516129</v>
      </c>
      <c r="T12" s="467">
        <v>44335</v>
      </c>
      <c r="U12" s="468">
        <v>44395</v>
      </c>
      <c r="V12" s="422"/>
      <c r="W12" s="422"/>
    </row>
    <row r="13" ht="18" customHeight="1" s="426" customFormat="1">
      <c r="A13" s="442" t="s">
        <v>87</v>
      </c>
      <c r="B13" s="1234"/>
      <c r="C13" s="443" t="s">
        <v>1140</v>
      </c>
      <c r="D13" s="444"/>
      <c r="E13" s="444"/>
      <c r="F13" s="444"/>
      <c r="G13" s="445">
        <f>SUM(G7:G12)</f>
        <v>10789193.5483871</v>
      </c>
      <c r="H13" s="445">
        <f ref="H13:R13" t="shared" si="14">SUM(H7:H12)</f>
        <v>541567.5</v>
      </c>
      <c r="I13" s="445">
        <f t="shared" si="14"/>
        <v>443000</v>
      </c>
      <c r="J13" s="445">
        <f t="shared" si="14"/>
        <v>221500</v>
      </c>
      <c r="K13" s="445">
        <f t="shared" si="14"/>
        <v>8335</v>
      </c>
      <c r="L13" s="445">
        <f t="shared" si="14"/>
        <v>12003596.0483871</v>
      </c>
      <c r="M13" s="445">
        <f t="shared" si="14"/>
        <v>960287.683870968</v>
      </c>
      <c r="N13" s="445">
        <f t="shared" si="14"/>
        <v>2480000</v>
      </c>
      <c r="O13" s="445">
        <f t="shared" si="14"/>
        <v>0</v>
      </c>
      <c r="P13" s="445">
        <f t="shared" si="14"/>
        <v>0</v>
      </c>
      <c r="Q13" s="445">
        <f t="shared" si="14"/>
        <v>15443883.7322581</v>
      </c>
      <c r="R13" s="445">
        <f t="shared" si="14"/>
        <v>96028.7683870968</v>
      </c>
      <c r="S13" s="445">
        <f>SUM(S7:S12)</f>
        <v>15539912.5006452</v>
      </c>
      <c r="T13" s="469"/>
      <c r="U13" s="470"/>
      <c r="V13" s="194"/>
      <c r="W13" s="178"/>
      <c r="X13" s="178"/>
    </row>
    <row r="14" s="180" customFormat="1">
      <c r="A14" s="210" t="s">
        <v>87</v>
      </c>
      <c r="B14" s="1178"/>
      <c r="C14" s="184"/>
      <c r="D14" s="212"/>
      <c r="E14" s="212"/>
      <c r="F14" s="212"/>
      <c r="H14" s="446"/>
      <c r="L14" s="228"/>
      <c r="N14" s="456"/>
      <c r="T14" s="212"/>
      <c r="U14" s="211"/>
    </row>
    <row r="15" ht="13.5" customHeight="1" s="427" customFormat="1">
      <c r="A15" s="447" t="s">
        <v>87</v>
      </c>
      <c r="B15" s="1235"/>
      <c r="C15" s="447"/>
      <c r="D15" s="447"/>
      <c r="E15" s="447"/>
      <c r="F15" s="448"/>
      <c r="G15" s="449"/>
      <c r="H15" s="450"/>
      <c r="I15" s="457"/>
      <c r="J15" s="457"/>
      <c r="K15" s="458"/>
      <c r="L15" s="458"/>
      <c r="M15" s="459"/>
      <c r="N15" s="460"/>
      <c r="O15" s="461"/>
      <c r="P15" s="459"/>
      <c r="Q15" s="471"/>
      <c r="R15" s="472"/>
      <c r="S15" s="472"/>
      <c r="T15" s="472"/>
      <c r="U15" s="472"/>
    </row>
    <row r="16" s="181" customFormat="1">
      <c r="A16" s="181" t="s">
        <v>87</v>
      </c>
      <c r="B16" s="1191"/>
      <c r="C16" s="188"/>
      <c r="D16" s="189"/>
      <c r="E16" s="189"/>
      <c r="F16" s="189"/>
      <c r="G16" s="190"/>
      <c r="L16" s="190"/>
      <c r="N16" s="229"/>
    </row>
    <row r="17" s="178" customFormat="1">
      <c r="A17" s="213" t="s">
        <v>87</v>
      </c>
      <c r="B17" s="1178"/>
      <c r="C17" s="181"/>
      <c r="D17" s="189"/>
      <c r="E17" s="189"/>
      <c r="F17" s="189"/>
      <c r="G17" s="190"/>
      <c r="M17" s="229"/>
      <c r="N17" s="229"/>
      <c r="O17" s="229"/>
      <c r="P17" s="230"/>
    </row>
    <row r="18" s="178" customFormat="1">
      <c r="A18" s="213" t="s">
        <v>87</v>
      </c>
      <c r="B18" s="1178"/>
      <c r="C18" s="181"/>
      <c r="D18" s="189"/>
      <c r="E18" s="189"/>
      <c r="F18" s="189"/>
      <c r="G18" s="190"/>
      <c r="M18" s="229"/>
      <c r="N18" s="229"/>
      <c r="O18" s="229"/>
      <c r="P18" s="230"/>
    </row>
    <row r="19" s="178" customFormat="1">
      <c r="A19" s="178" t="s">
        <v>87</v>
      </c>
      <c r="B19" s="1178"/>
      <c r="C19" s="214" t="str">
        <f>+'BANJARMASIN '!C102</f>
        <v>Karawang,  16 Agustus 2020</v>
      </c>
      <c r="D19" s="189"/>
      <c r="E19" s="189"/>
      <c r="F19" s="189"/>
      <c r="G19" s="190"/>
      <c r="L19" s="231"/>
      <c r="M19" s="231"/>
      <c r="N19" s="231"/>
      <c r="O19" s="231"/>
      <c r="P19" s="230"/>
    </row>
    <row r="20" s="178" customFormat="1">
      <c r="A20" s="213" t="s">
        <v>87</v>
      </c>
      <c r="B20" s="1178"/>
      <c r="C20" s="189"/>
      <c r="D20" s="189"/>
      <c r="E20" s="189"/>
      <c r="F20" s="189"/>
      <c r="G20" s="190"/>
      <c r="M20" s="229"/>
      <c r="N20" s="229"/>
      <c r="O20" s="229"/>
      <c r="P20" s="230"/>
    </row>
    <row r="21" s="178" customFormat="1">
      <c r="A21" s="178" t="s">
        <v>87</v>
      </c>
      <c r="B21" s="1178"/>
      <c r="C21" s="189" t="s">
        <v>232</v>
      </c>
      <c r="D21" s="189"/>
      <c r="F21" s="215"/>
      <c r="G21" s="190"/>
      <c r="K21" s="229"/>
      <c r="L21" s="181" t="s">
        <v>233</v>
      </c>
      <c r="M21" s="231"/>
      <c r="N21" s="181"/>
      <c r="O21" s="181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M23" s="230"/>
    </row>
    <row r="24" s="178" customFormat="1">
      <c r="A24" s="178" t="s">
        <v>87</v>
      </c>
      <c r="B24" s="1178"/>
      <c r="C24" s="189"/>
      <c r="D24" s="189"/>
      <c r="F24" s="215"/>
      <c r="G24" s="190"/>
      <c r="H24" s="190"/>
      <c r="K24" s="229"/>
      <c r="M24" s="231"/>
    </row>
    <row r="25" s="178" customFormat="1">
      <c r="A25" s="178" t="s">
        <v>87</v>
      </c>
      <c r="B25" s="1178"/>
      <c r="C25" s="189"/>
      <c r="D25" s="189"/>
      <c r="F25" s="215"/>
      <c r="G25" s="190"/>
      <c r="H25" s="190"/>
      <c r="K25" s="229"/>
    </row>
    <row r="26" s="178" customFormat="1">
      <c r="A26" s="178" t="s">
        <v>87</v>
      </c>
      <c r="B26" s="1178"/>
      <c r="C26" s="189"/>
      <c r="D26" s="189"/>
      <c r="F26" s="215"/>
      <c r="G26" s="190"/>
      <c r="H26" s="190"/>
      <c r="K26" s="229"/>
      <c r="P26" s="189"/>
    </row>
    <row r="27" s="178" customFormat="1">
      <c r="A27" s="181" t="s">
        <v>87</v>
      </c>
      <c r="B27" s="1178"/>
      <c r="C27" s="189"/>
      <c r="D27" s="189"/>
      <c r="F27" s="189"/>
      <c r="G27" s="190"/>
      <c r="H27" s="190"/>
      <c r="K27" s="229"/>
    </row>
    <row r="28" s="181" customFormat="1">
      <c r="A28" s="181" t="s">
        <v>87</v>
      </c>
      <c r="B28" s="1191"/>
      <c r="C28" s="214" t="s">
        <v>234</v>
      </c>
      <c r="D28" s="189"/>
      <c r="E28" s="189"/>
      <c r="F28" s="214"/>
      <c r="G28" s="190"/>
      <c r="H28" s="190"/>
      <c r="I28" s="232" t="s">
        <v>235</v>
      </c>
      <c r="L28" s="213" t="s">
        <v>236</v>
      </c>
      <c r="N28" s="214" t="s">
        <v>237</v>
      </c>
      <c r="Q28" s="213" t="s">
        <v>238</v>
      </c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L30" s="190"/>
    </row>
    <row r="31" s="181" customFormat="1">
      <c r="A31" s="181" t="s">
        <v>87</v>
      </c>
      <c r="B31" s="1191"/>
      <c r="C31" s="188"/>
      <c r="D31" s="189"/>
      <c r="E31" s="189"/>
      <c r="F31" s="189"/>
      <c r="G31" s="190"/>
      <c r="L31" s="190"/>
    </row>
    <row r="32" s="181" customFormat="1">
      <c r="A32" s="181" t="s">
        <v>87</v>
      </c>
      <c r="B32" s="1191"/>
      <c r="C32" s="188"/>
      <c r="D32" s="189"/>
      <c r="E32" s="189"/>
      <c r="F32" s="189"/>
      <c r="G32" s="190"/>
      <c r="L32" s="190"/>
      <c r="T32" s="189"/>
      <c r="U32" s="189"/>
    </row>
    <row r="33" s="181" customFormat="1">
      <c r="A33" s="181" t="s">
        <v>87</v>
      </c>
      <c r="B33" s="1191"/>
      <c r="F33" s="215"/>
    </row>
    <row r="34">
      <c r="A34" s="182" t="s">
        <v>87</v>
      </c>
      <c r="B34" s="1191"/>
      <c r="C34" s="182"/>
      <c r="D34" s="182"/>
      <c r="E34" s="182"/>
      <c r="F34" s="217"/>
      <c r="G34" s="182"/>
      <c r="L34" s="182"/>
      <c r="T34" s="182"/>
      <c r="U34" s="182"/>
    </row>
    <row r="35">
      <c r="A35" s="182" t="s">
        <v>87</v>
      </c>
      <c r="B35" s="1191"/>
      <c r="C35" s="182"/>
      <c r="D35" s="182"/>
      <c r="E35" s="182"/>
      <c r="F35" s="217"/>
      <c r="G35" s="182"/>
      <c r="L35" s="182"/>
      <c r="T35" s="182"/>
      <c r="U35" s="182"/>
    </row>
    <row r="36">
      <c r="A36" s="182" t="s">
        <v>87</v>
      </c>
      <c r="B36" s="1191"/>
    </row>
    <row r="37">
      <c r="A37" s="182" t="s">
        <v>87</v>
      </c>
      <c r="B37" s="1191"/>
    </row>
    <row r="38">
      <c r="A38" s="182" t="s">
        <v>87</v>
      </c>
      <c r="B38" s="1191"/>
    </row>
    <row r="39">
      <c r="A39" s="182" t="s">
        <v>87</v>
      </c>
      <c r="B39" s="1191"/>
    </row>
    <row r="40">
      <c r="A40" s="182" t="s">
        <v>87</v>
      </c>
      <c r="B40" s="1191"/>
    </row>
    <row r="41">
      <c r="A41" s="182" t="s">
        <v>87</v>
      </c>
      <c r="B41" s="1191"/>
    </row>
    <row r="42">
      <c r="A42" s="182" t="s">
        <v>87</v>
      </c>
      <c r="B42" s="1191"/>
    </row>
    <row r="43">
      <c r="A43" s="182" t="s">
        <v>87</v>
      </c>
      <c r="B43" s="1191"/>
    </row>
    <row r="44">
      <c r="A44" s="182" t="s">
        <v>87</v>
      </c>
      <c r="B44" s="1191"/>
    </row>
    <row r="45">
      <c r="A45" s="182" t="s">
        <v>87</v>
      </c>
      <c r="B45" s="1191"/>
    </row>
    <row r="46">
      <c r="A46" s="182" t="s">
        <v>87</v>
      </c>
      <c r="B46" s="1191"/>
    </row>
    <row r="47">
      <c r="A47" s="182" t="s">
        <v>87</v>
      </c>
      <c r="B47" s="1191"/>
    </row>
    <row r="48" s="183" customFormat="1">
      <c r="A48" s="182"/>
      <c r="C48" s="184"/>
      <c r="D48" s="217"/>
      <c r="G48" s="185"/>
      <c r="H48" s="182"/>
      <c r="I48" s="182"/>
      <c r="J48" s="182"/>
      <c r="K48" s="182"/>
      <c r="L48" s="185"/>
      <c r="M48" s="182"/>
      <c r="N48" s="182"/>
      <c r="O48" s="182"/>
      <c r="P48" s="182"/>
      <c r="Q48" s="182"/>
      <c r="R48" s="182"/>
      <c r="S48" s="182"/>
      <c r="V48" s="182"/>
      <c r="W48" s="182"/>
      <c r="X48" s="182"/>
    </row>
  </sheetData>
  <printOptions horizontalCentered="1"/>
  <pageMargins left="0" right="0" top="0.75" bottom="0.75" header="0.3" footer="0.3"/>
  <pageSetup paperSize="9" scale="70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1">
    <tabColor theme="4" tint="-0.499984740745262"/>
  </sheetPr>
  <dimension ref="A1:Y56"/>
  <sheetViews>
    <sheetView zoomScale="90" zoomScaleNormal="90" workbookViewId="0">
      <pane xSplit="7" ySplit="6" topLeftCell="H22" activePane="bottomRight" state="frozen"/>
      <selection pane="topRight"/>
      <selection pane="bottomLeft"/>
      <selection pane="bottomRight" activeCell="G29" sqref="G29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6.7109375" customWidth="1" style="184"/>
    <col min="4" max="4" width="10.140625" customWidth="1" style="183"/>
    <col min="5" max="5" hidden="1" width="10.28515625" customWidth="1" style="183"/>
    <col min="6" max="6" hidden="1" width="8.28515625" customWidth="1" style="183"/>
    <col min="7" max="7" width="10.5703125" customWidth="1" style="185"/>
    <col min="8" max="8" width="10.5703125" customWidth="1" style="182"/>
    <col min="9" max="9" width="12" customWidth="1" style="182"/>
    <col min="10" max="11" width="10.5703125" customWidth="1" style="182"/>
    <col min="12" max="12" width="10.5703125" customWidth="1" style="185"/>
    <col min="13" max="13" width="10.5703125" customWidth="1" style="182"/>
    <col min="14" max="14" width="13.28515625" customWidth="1" style="182"/>
    <col min="15" max="19" width="10.5703125" customWidth="1" style="182"/>
    <col min="20" max="21" width="9.85546875" customWidth="1" style="183"/>
    <col min="22" max="22" width="5" customWidth="1" style="182"/>
    <col min="23" max="23" width="9.7109375" customWidth="1" style="371"/>
    <col min="24" max="24" width="9.42578125" customWidth="1" style="371"/>
    <col min="2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  <c r="W1" s="345"/>
      <c r="X1" s="345"/>
    </row>
    <row r="2" ht="12.75" s="178" customFormat="1">
      <c r="A2" s="186" t="s">
        <v>1107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N3" s="391"/>
      <c r="T3" s="189"/>
      <c r="U3" s="187"/>
      <c r="W3" s="345"/>
      <c r="X3" s="345"/>
    </row>
    <row r="4" s="178" customFormat="1">
      <c r="A4" s="195"/>
      <c r="B4" s="187"/>
      <c r="C4" s="188"/>
      <c r="D4" s="189"/>
      <c r="E4" s="189"/>
      <c r="F4" s="189"/>
      <c r="G4" s="372">
        <v>2788826</v>
      </c>
      <c r="L4" s="190"/>
      <c r="T4" s="189"/>
      <c r="U4" s="187"/>
      <c r="W4" s="345"/>
      <c r="X4" s="345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  <c r="W5" s="345"/>
      <c r="X5" s="345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392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  <c r="W6" s="402"/>
      <c r="X6" s="402"/>
    </row>
    <row r="7" ht="18" customHeight="1" s="180" customFormat="1">
      <c r="A7" s="373" t="s">
        <v>59</v>
      </c>
      <c r="B7" s="982" t="s">
        <v>1108</v>
      </c>
      <c r="C7" s="374" t="s">
        <v>1109</v>
      </c>
      <c r="D7" s="375" t="s">
        <v>69</v>
      </c>
      <c r="E7" s="376" t="s">
        <v>737</v>
      </c>
      <c r="F7" s="376" t="s">
        <v>63</v>
      </c>
      <c r="G7" s="112">
        <v>2788826</v>
      </c>
      <c r="H7" s="298">
        <f>+$G$4*4.89%</f>
        <v>136373.5914</v>
      </c>
      <c r="I7" s="224">
        <f>+$G$4*4%</f>
        <v>111553.04</v>
      </c>
      <c r="J7" s="224">
        <f>+$G$4*2%</f>
        <v>55776.52</v>
      </c>
      <c r="K7" s="224">
        <v>1667</v>
      </c>
      <c r="L7" s="304">
        <f>SUM(G7:K7)</f>
        <v>3094196.1514</v>
      </c>
      <c r="M7" s="304">
        <f>+L7*8%</f>
        <v>247535.692112</v>
      </c>
      <c r="N7" s="226"/>
      <c r="O7" s="393">
        <f>27*12000</f>
        <v>324000</v>
      </c>
      <c r="P7" s="394">
        <f ref="P7:P8" t="shared" si="0">+$G$4/173*37.5</f>
        <v>604514.306358382</v>
      </c>
      <c r="Q7" s="403">
        <f>SUM(L7:P7)</f>
        <v>4270246.14987038</v>
      </c>
      <c r="R7" s="403">
        <f>M7*0.1</f>
        <v>24753.5692112</v>
      </c>
      <c r="S7" s="404">
        <f>Q7+R7</f>
        <v>4294999.71908158</v>
      </c>
      <c r="T7" s="405">
        <v>44409</v>
      </c>
      <c r="U7" s="406">
        <v>44500</v>
      </c>
      <c r="V7" s="407"/>
      <c r="W7" s="408"/>
      <c r="X7" s="408">
        <f>+VLOOKUP(B7,[1]GORONTALO!$C$7:$AE$21,20,0)</f>
        <v>44409</v>
      </c>
      <c r="Y7" s="408">
        <f>+VLOOKUP(B7,[1]GORONTALO!$C$7:$AE$21,21,0)</f>
        <v>44500</v>
      </c>
    </row>
    <row r="8" ht="18" customHeight="1" s="180" customFormat="1">
      <c r="A8" s="377" t="s">
        <v>59</v>
      </c>
      <c r="B8" s="983" t="s">
        <v>1110</v>
      </c>
      <c r="C8" s="379" t="s">
        <v>1111</v>
      </c>
      <c r="D8" s="205" t="s">
        <v>245</v>
      </c>
      <c r="E8" s="376" t="s">
        <v>737</v>
      </c>
      <c r="F8" s="376" t="s">
        <v>63</v>
      </c>
      <c r="G8" s="112">
        <v>2788826</v>
      </c>
      <c r="H8" s="298">
        <f ref="H8:H25" t="shared" si="1">+$G$4*4.89%</f>
        <v>136373.5914</v>
      </c>
      <c r="I8" s="224">
        <f ref="I8:I25" t="shared" si="2">+$G$4*4%</f>
        <v>111553.04</v>
      </c>
      <c r="J8" s="224">
        <f ref="J8:J25" t="shared" si="3">+$G$4*2%</f>
        <v>55776.52</v>
      </c>
      <c r="K8" s="224">
        <v>1667</v>
      </c>
      <c r="L8" s="304">
        <f>SUM(G8:K8)</f>
        <v>3094196.1514</v>
      </c>
      <c r="M8" s="304">
        <f>+L8*8%</f>
        <v>247535.692112</v>
      </c>
      <c r="N8" s="226"/>
      <c r="O8" s="393">
        <f>25*10000</f>
        <v>250000</v>
      </c>
      <c r="P8" s="394">
        <f t="shared" si="0"/>
        <v>604514.306358382</v>
      </c>
      <c r="Q8" s="403">
        <f>SUM(L8:P8)</f>
        <v>4196246.14987038</v>
      </c>
      <c r="R8" s="403">
        <f>M8*0.1</f>
        <v>24753.5692112</v>
      </c>
      <c r="S8" s="404">
        <f>Q8+R8</f>
        <v>4220999.71908158</v>
      </c>
      <c r="T8" s="405">
        <v>44378</v>
      </c>
      <c r="U8" s="406">
        <v>44469</v>
      </c>
      <c r="V8" s="407"/>
      <c r="W8" s="408"/>
      <c r="X8" s="408">
        <f>+VLOOKUP(B8,[1]GORONTALO!$C$7:$AE$21,20,0)</f>
        <v>44378</v>
      </c>
      <c r="Y8" s="408">
        <f>+VLOOKUP(B8,[1]GORONTALO!$C$7:$AE$21,21,0)</f>
        <v>44469</v>
      </c>
    </row>
    <row r="9" ht="18" customHeight="1" s="178" customFormat="1">
      <c r="A9" s="202" t="s">
        <v>64</v>
      </c>
      <c r="B9" s="1193" t="s">
        <v>1112</v>
      </c>
      <c r="C9" s="1242" t="s">
        <v>1113</v>
      </c>
      <c r="D9" s="205" t="s">
        <v>78</v>
      </c>
      <c r="E9" s="205" t="s">
        <v>737</v>
      </c>
      <c r="F9" s="205" t="s">
        <v>63</v>
      </c>
      <c r="G9" s="112">
        <v>2788826</v>
      </c>
      <c r="H9" s="298">
        <f t="shared" si="1"/>
        <v>136373.5914</v>
      </c>
      <c r="I9" s="224">
        <f t="shared" si="2"/>
        <v>111553.04</v>
      </c>
      <c r="J9" s="224">
        <f t="shared" si="3"/>
        <v>55776.52</v>
      </c>
      <c r="K9" s="224">
        <v>1667</v>
      </c>
      <c r="L9" s="304">
        <f>SUM(G9:K9)</f>
        <v>3094196.1514</v>
      </c>
      <c r="M9" s="304">
        <f>+L9*8%</f>
        <v>247535.692112</v>
      </c>
      <c r="N9" s="226"/>
      <c r="O9" s="393">
        <f>26*10000</f>
        <v>260000</v>
      </c>
      <c r="P9" s="394">
        <f>+$G$4/173*37.5</f>
        <v>604514.306358382</v>
      </c>
      <c r="Q9" s="309">
        <f>SUM(L9:P9)</f>
        <v>4206246.14987038</v>
      </c>
      <c r="R9" s="309">
        <f>M9*0.1</f>
        <v>24753.5692112</v>
      </c>
      <c r="S9" s="310">
        <f>Q9+R9</f>
        <v>4230999.71908158</v>
      </c>
      <c r="T9" s="311">
        <v>44336</v>
      </c>
      <c r="U9" s="312">
        <v>44439</v>
      </c>
      <c r="V9" s="231"/>
      <c r="W9" s="408"/>
      <c r="X9" s="408">
        <f>+VLOOKUP(B9,[1]GORONTALO!$C$7:$AE$21,20,0)</f>
        <v>44336</v>
      </c>
      <c r="Y9" s="408">
        <f>+VLOOKUP(B9,[1]GORONTALO!$C$7:$AE$21,21,0)</f>
        <v>44439</v>
      </c>
    </row>
    <row r="10" ht="18" customHeight="1" s="180" customFormat="1">
      <c r="A10" s="1061" t="s">
        <v>87</v>
      </c>
      <c r="B10" s="1188"/>
      <c r="C10" s="1062"/>
      <c r="D10" s="1062"/>
      <c r="E10" s="1062"/>
      <c r="F10" s="1087"/>
      <c r="G10" s="209">
        <f ref="G10:R10" t="shared" si="5">SUM(G7:G9)</f>
        <v>8366478</v>
      </c>
      <c r="H10" s="209">
        <f t="shared" si="5"/>
        <v>409120.7742</v>
      </c>
      <c r="I10" s="209">
        <f t="shared" si="5"/>
        <v>334659.12</v>
      </c>
      <c r="J10" s="209">
        <f t="shared" si="5"/>
        <v>167329.56</v>
      </c>
      <c r="K10" s="209">
        <f t="shared" si="5"/>
        <v>5001</v>
      </c>
      <c r="L10" s="209">
        <f t="shared" si="5"/>
        <v>9282588.4542</v>
      </c>
      <c r="M10" s="209">
        <f t="shared" si="5"/>
        <v>742607.076336</v>
      </c>
      <c r="N10" s="209">
        <f t="shared" si="5"/>
        <v>0</v>
      </c>
      <c r="O10" s="209">
        <f t="shared" si="5"/>
        <v>834000</v>
      </c>
      <c r="P10" s="209">
        <f t="shared" si="5"/>
        <v>1813542.91907514</v>
      </c>
      <c r="Q10" s="328">
        <f t="shared" si="5"/>
        <v>12672738.4496111</v>
      </c>
      <c r="R10" s="209">
        <f t="shared" si="5"/>
        <v>74260.7076336</v>
      </c>
      <c r="S10" s="328">
        <f>SUM(S7:S9)</f>
        <v>12746999.1572447</v>
      </c>
      <c r="T10" s="240"/>
      <c r="U10" s="241"/>
      <c r="W10" s="408"/>
      <c r="X10" s="408"/>
    </row>
    <row r="11" ht="14.25" customHeight="1" s="180" customFormat="1">
      <c r="A11" s="210" t="s">
        <v>87</v>
      </c>
      <c r="B11" s="1178"/>
      <c r="C11" s="184"/>
      <c r="D11" s="212"/>
      <c r="E11" s="212"/>
      <c r="F11" s="212"/>
      <c r="G11" s="185"/>
      <c r="L11" s="228"/>
      <c r="T11" s="212"/>
      <c r="U11" s="211"/>
      <c r="W11" s="408"/>
      <c r="X11" s="408"/>
    </row>
    <row r="12" ht="27" customHeight="1" s="179" customFormat="1">
      <c r="A12" s="197" t="s">
        <v>64</v>
      </c>
      <c r="B12" s="1243" t="s">
        <v>37</v>
      </c>
      <c r="C12" s="1243" t="s">
        <v>38</v>
      </c>
      <c r="D12" s="198" t="s">
        <v>39</v>
      </c>
      <c r="E12" s="198" t="s">
        <v>40</v>
      </c>
      <c r="F12" s="199" t="s">
        <v>41</v>
      </c>
      <c r="G12" s="200" t="s">
        <v>42</v>
      </c>
      <c r="H12" s="201" t="s">
        <v>44</v>
      </c>
      <c r="I12" s="218" t="s">
        <v>45</v>
      </c>
      <c r="J12" s="219" t="s">
        <v>46</v>
      </c>
      <c r="K12" s="392" t="s">
        <v>47</v>
      </c>
      <c r="L12" s="220" t="s">
        <v>48</v>
      </c>
      <c r="M12" s="221" t="s">
        <v>49</v>
      </c>
      <c r="N12" s="222" t="s">
        <v>50</v>
      </c>
      <c r="O12" s="223" t="s">
        <v>52</v>
      </c>
      <c r="P12" s="221" t="s">
        <v>53</v>
      </c>
      <c r="Q12" s="233" t="s">
        <v>54</v>
      </c>
      <c r="R12" s="234" t="s">
        <v>55</v>
      </c>
      <c r="S12" s="234" t="s">
        <v>56</v>
      </c>
      <c r="T12" s="234" t="s">
        <v>57</v>
      </c>
      <c r="U12" s="235" t="s">
        <v>58</v>
      </c>
      <c r="W12" s="402"/>
      <c r="X12" s="402"/>
    </row>
    <row r="13" ht="18" customHeight="1" s="180" customFormat="1">
      <c r="A13" s="377" t="s">
        <v>59</v>
      </c>
      <c r="B13" s="983" t="s">
        <v>1114</v>
      </c>
      <c r="C13" s="379" t="s">
        <v>1115</v>
      </c>
      <c r="D13" s="375" t="s">
        <v>84</v>
      </c>
      <c r="E13" s="376" t="s">
        <v>737</v>
      </c>
      <c r="F13" s="376" t="s">
        <v>63</v>
      </c>
      <c r="G13" s="112">
        <v>2788826</v>
      </c>
      <c r="H13" s="329">
        <f t="shared" si="1"/>
        <v>136373.5914</v>
      </c>
      <c r="I13" s="332">
        <f t="shared" si="2"/>
        <v>111553.04</v>
      </c>
      <c r="J13" s="332">
        <f t="shared" si="3"/>
        <v>55776.52</v>
      </c>
      <c r="K13" s="332">
        <v>15000</v>
      </c>
      <c r="L13" s="225">
        <f ref="L13:L22" t="shared" si="6">SUM(G13:K13)</f>
        <v>3107529.1514</v>
      </c>
      <c r="M13" s="225">
        <f ref="M13:M23" t="shared" si="7">+L13*8%</f>
        <v>248602.332112</v>
      </c>
      <c r="N13" s="226">
        <v>963000</v>
      </c>
      <c r="O13" s="395"/>
      <c r="P13" s="395"/>
      <c r="Q13" s="409">
        <f ref="Q13:Q21" t="shared" si="8">SUM(L13:P13)</f>
        <v>4319131.483512</v>
      </c>
      <c r="R13" s="409">
        <f ref="R13:R21" t="shared" si="9">M13*0.1</f>
        <v>24860.2332112</v>
      </c>
      <c r="S13" s="410">
        <f ref="S13:S23" t="shared" si="10">Q13+R13</f>
        <v>4343991.7167232</v>
      </c>
      <c r="T13" s="405">
        <v>44378</v>
      </c>
      <c r="U13" s="406">
        <v>44469</v>
      </c>
      <c r="V13" s="411"/>
      <c r="W13" s="408"/>
      <c r="X13" s="408">
        <f>+VLOOKUP(B13,[1]GORONTALO!$C$7:$AE$21,20,0)</f>
        <v>44378</v>
      </c>
      <c r="Y13" s="408">
        <f>+VLOOKUP(B13,[1]GORONTALO!$C$7:$AE$21,21,0)</f>
        <v>44469</v>
      </c>
    </row>
    <row r="14" ht="18" customHeight="1" s="180" customFormat="1">
      <c r="A14" s="377" t="s">
        <v>59</v>
      </c>
      <c r="B14" s="983" t="s">
        <v>1116</v>
      </c>
      <c r="C14" s="379" t="s">
        <v>1117</v>
      </c>
      <c r="D14" s="375" t="s">
        <v>84</v>
      </c>
      <c r="E14" s="376" t="s">
        <v>737</v>
      </c>
      <c r="F14" s="376" t="s">
        <v>63</v>
      </c>
      <c r="G14" s="112">
        <v>2788826</v>
      </c>
      <c r="H14" s="329">
        <f t="shared" si="1"/>
        <v>136373.5914</v>
      </c>
      <c r="I14" s="332">
        <f t="shared" si="2"/>
        <v>111553.04</v>
      </c>
      <c r="J14" s="332">
        <f t="shared" si="3"/>
        <v>55776.52</v>
      </c>
      <c r="K14" s="332">
        <v>15000</v>
      </c>
      <c r="L14" s="225">
        <f t="shared" si="6"/>
        <v>3107529.1514</v>
      </c>
      <c r="M14" s="225">
        <f t="shared" si="7"/>
        <v>248602.332112</v>
      </c>
      <c r="N14" s="226">
        <v>949000</v>
      </c>
      <c r="O14" s="395"/>
      <c r="P14" s="395"/>
      <c r="Q14" s="409">
        <f t="shared" si="8"/>
        <v>4305131.483512</v>
      </c>
      <c r="R14" s="409">
        <f t="shared" si="9"/>
        <v>24860.2332112</v>
      </c>
      <c r="S14" s="410">
        <f t="shared" si="10"/>
        <v>4329991.7167232</v>
      </c>
      <c r="T14" s="405">
        <v>44378</v>
      </c>
      <c r="U14" s="406">
        <v>44469</v>
      </c>
      <c r="V14" s="411"/>
      <c r="W14" s="408"/>
      <c r="X14" s="408">
        <f>+VLOOKUP(B14,[1]GORONTALO!$C$7:$AE$21,20,0)</f>
        <v>44378</v>
      </c>
      <c r="Y14" s="408">
        <f>+VLOOKUP(B14,[1]GORONTALO!$C$7:$AE$21,21,0)</f>
        <v>44469</v>
      </c>
    </row>
    <row r="15" ht="18" customHeight="1" s="180" customFormat="1">
      <c r="A15" s="377" t="s">
        <v>59</v>
      </c>
      <c r="B15" s="983" t="s">
        <v>1118</v>
      </c>
      <c r="C15" s="379" t="s">
        <v>1119</v>
      </c>
      <c r="D15" s="375" t="s">
        <v>84</v>
      </c>
      <c r="E15" s="376" t="s">
        <v>737</v>
      </c>
      <c r="F15" s="376" t="s">
        <v>63</v>
      </c>
      <c r="G15" s="112">
        <v>2788826</v>
      </c>
      <c r="H15" s="329">
        <f t="shared" si="1"/>
        <v>136373.5914</v>
      </c>
      <c r="I15" s="332">
        <f t="shared" si="2"/>
        <v>111553.04</v>
      </c>
      <c r="J15" s="332">
        <f t="shared" si="3"/>
        <v>55776.52</v>
      </c>
      <c r="K15" s="332">
        <v>15000</v>
      </c>
      <c r="L15" s="225">
        <f t="shared" si="6"/>
        <v>3107529.1514</v>
      </c>
      <c r="M15" s="225">
        <f t="shared" si="7"/>
        <v>248602.332112</v>
      </c>
      <c r="N15" s="226">
        <v>832000</v>
      </c>
      <c r="O15" s="395"/>
      <c r="P15" s="395"/>
      <c r="Q15" s="409">
        <f t="shared" si="8"/>
        <v>4188131.483512</v>
      </c>
      <c r="R15" s="409">
        <f t="shared" si="9"/>
        <v>24860.2332112</v>
      </c>
      <c r="S15" s="410">
        <f t="shared" si="10"/>
        <v>4212991.7167232</v>
      </c>
      <c r="T15" s="405">
        <v>44378</v>
      </c>
      <c r="U15" s="406">
        <v>44469</v>
      </c>
      <c r="V15" s="411"/>
      <c r="W15" s="408"/>
      <c r="X15" s="408">
        <f>+VLOOKUP(B15,[1]GORONTALO!$C$7:$AE$21,20,0)</f>
        <v>44378</v>
      </c>
      <c r="Y15" s="408">
        <f>+VLOOKUP(B15,[1]GORONTALO!$C$7:$AE$21,21,0)</f>
        <v>44469</v>
      </c>
    </row>
    <row r="16" ht="18" customHeight="1" s="180" customFormat="1">
      <c r="A16" s="377" t="s">
        <v>59</v>
      </c>
      <c r="B16" s="983" t="s">
        <v>1120</v>
      </c>
      <c r="C16" s="379" t="s">
        <v>1121</v>
      </c>
      <c r="D16" s="375" t="s">
        <v>84</v>
      </c>
      <c r="E16" s="376" t="s">
        <v>737</v>
      </c>
      <c r="F16" s="376" t="s">
        <v>63</v>
      </c>
      <c r="G16" s="112">
        <v>2788826</v>
      </c>
      <c r="H16" s="329">
        <f t="shared" si="1"/>
        <v>136373.5914</v>
      </c>
      <c r="I16" s="332">
        <f t="shared" si="2"/>
        <v>111553.04</v>
      </c>
      <c r="J16" s="332">
        <f t="shared" si="3"/>
        <v>55776.52</v>
      </c>
      <c r="K16" s="332">
        <v>15000</v>
      </c>
      <c r="L16" s="225">
        <f t="shared" si="6"/>
        <v>3107529.1514</v>
      </c>
      <c r="M16" s="225">
        <f t="shared" si="7"/>
        <v>248602.332112</v>
      </c>
      <c r="N16" s="226">
        <v>800000</v>
      </c>
      <c r="O16" s="395"/>
      <c r="P16" s="395"/>
      <c r="Q16" s="409">
        <f t="shared" si="8"/>
        <v>4156131.483512</v>
      </c>
      <c r="R16" s="409">
        <f t="shared" si="9"/>
        <v>24860.2332112</v>
      </c>
      <c r="S16" s="410">
        <f t="shared" si="10"/>
        <v>4180991.7167232</v>
      </c>
      <c r="T16" s="405">
        <v>44378</v>
      </c>
      <c r="U16" s="406">
        <v>44469</v>
      </c>
      <c r="V16" s="411"/>
      <c r="W16" s="408"/>
      <c r="X16" s="408">
        <f>+VLOOKUP(B16,[1]GORONTALO!$C$7:$AE$21,20,0)</f>
        <v>44378</v>
      </c>
      <c r="Y16" s="408">
        <f>+VLOOKUP(B16,[1]GORONTALO!$C$7:$AE$21,21,0)</f>
        <v>44469</v>
      </c>
    </row>
    <row r="17" ht="18" customHeight="1" s="180" customFormat="1">
      <c r="A17" s="377" t="s">
        <v>59</v>
      </c>
      <c r="B17" s="984" t="s">
        <v>1122</v>
      </c>
      <c r="C17" s="381" t="s">
        <v>1123</v>
      </c>
      <c r="D17" s="382" t="s">
        <v>84</v>
      </c>
      <c r="E17" s="383" t="s">
        <v>737</v>
      </c>
      <c r="F17" s="383" t="s">
        <v>63</v>
      </c>
      <c r="G17" s="112">
        <v>2788826</v>
      </c>
      <c r="H17" s="384">
        <f t="shared" si="1"/>
        <v>136373.5914</v>
      </c>
      <c r="I17" s="396">
        <f t="shared" si="2"/>
        <v>111553.04</v>
      </c>
      <c r="J17" s="396">
        <f t="shared" si="3"/>
        <v>55776.52</v>
      </c>
      <c r="K17" s="332">
        <v>15000</v>
      </c>
      <c r="L17" s="397">
        <f t="shared" si="6"/>
        <v>3107529.1514</v>
      </c>
      <c r="M17" s="397">
        <f t="shared" si="7"/>
        <v>248602.332112</v>
      </c>
      <c r="N17" s="398">
        <v>969000</v>
      </c>
      <c r="O17" s="399"/>
      <c r="P17" s="399"/>
      <c r="Q17" s="412">
        <f t="shared" si="8"/>
        <v>4325131.483512</v>
      </c>
      <c r="R17" s="412">
        <f t="shared" si="9"/>
        <v>24860.2332112</v>
      </c>
      <c r="S17" s="413">
        <f t="shared" si="10"/>
        <v>4349991.7167232</v>
      </c>
      <c r="T17" s="414">
        <v>44409</v>
      </c>
      <c r="U17" s="415">
        <v>44439</v>
      </c>
      <c r="V17" s="411"/>
      <c r="W17" s="408"/>
      <c r="X17" s="408">
        <f>+VLOOKUP(B17,[1]GORONTALO!$C$7:$AE$21,20,0)</f>
        <v>44409</v>
      </c>
      <c r="Y17" s="408">
        <f>+VLOOKUP(B17,[1]GORONTALO!$C$7:$AE$21,21,0)</f>
        <v>44439</v>
      </c>
    </row>
    <row r="18" ht="18" customHeight="1" s="178" customFormat="1">
      <c r="A18" s="377" t="s">
        <v>59</v>
      </c>
      <c r="B18" s="965" t="s">
        <v>866</v>
      </c>
      <c r="C18" s="379" t="s">
        <v>736</v>
      </c>
      <c r="D18" s="205" t="s">
        <v>84</v>
      </c>
      <c r="E18" s="205" t="s">
        <v>737</v>
      </c>
      <c r="F18" s="205" t="s">
        <v>63</v>
      </c>
      <c r="G18" s="112">
        <v>2788826</v>
      </c>
      <c r="H18" s="224">
        <f t="shared" si="1"/>
        <v>136373.5914</v>
      </c>
      <c r="I18" s="224">
        <f t="shared" si="2"/>
        <v>111553.04</v>
      </c>
      <c r="J18" s="224">
        <f t="shared" si="3"/>
        <v>55776.52</v>
      </c>
      <c r="K18" s="332">
        <v>15000</v>
      </c>
      <c r="L18" s="304">
        <f t="shared" si="6"/>
        <v>3107529.1514</v>
      </c>
      <c r="M18" s="304">
        <f t="shared" si="7"/>
        <v>248602.332112</v>
      </c>
      <c r="N18" s="226">
        <v>1073000</v>
      </c>
      <c r="O18" s="304"/>
      <c r="P18" s="304"/>
      <c r="Q18" s="309">
        <f t="shared" si="8"/>
        <v>4429131.483512</v>
      </c>
      <c r="R18" s="309">
        <f t="shared" si="9"/>
        <v>24860.2332112</v>
      </c>
      <c r="S18" s="310">
        <f t="shared" si="10"/>
        <v>4453991.7167232</v>
      </c>
      <c r="T18" s="311">
        <v>44378</v>
      </c>
      <c r="U18" s="416">
        <v>44469</v>
      </c>
      <c r="V18" s="194"/>
      <c r="W18" s="408"/>
      <c r="X18" s="408">
        <f>+VLOOKUP(B18,[1]GORONTALO!$C$7:$AE$21,20,0)</f>
        <v>44378</v>
      </c>
      <c r="Y18" s="408">
        <f>+VLOOKUP(B18,[1]GORONTALO!$C$7:$AE$21,21,0)</f>
        <v>44469</v>
      </c>
    </row>
    <row r="19" ht="18" customHeight="1" s="178" customFormat="1">
      <c r="A19" s="377" t="s">
        <v>64</v>
      </c>
      <c r="B19" s="1193" t="s">
        <v>867</v>
      </c>
      <c r="C19" s="1242" t="s">
        <v>738</v>
      </c>
      <c r="D19" s="205" t="s">
        <v>84</v>
      </c>
      <c r="E19" s="205" t="s">
        <v>737</v>
      </c>
      <c r="F19" s="205" t="s">
        <v>63</v>
      </c>
      <c r="G19" s="112">
        <v>2788826</v>
      </c>
      <c r="H19" s="224">
        <f t="shared" si="1"/>
        <v>136373.5914</v>
      </c>
      <c r="I19" s="224">
        <f t="shared" si="2"/>
        <v>111553.04</v>
      </c>
      <c r="J19" s="224">
        <f t="shared" si="3"/>
        <v>55776.52</v>
      </c>
      <c r="K19" s="224">
        <v>15000</v>
      </c>
      <c r="L19" s="304">
        <f t="shared" si="6"/>
        <v>3107529.1514</v>
      </c>
      <c r="M19" s="304">
        <f t="shared" si="7"/>
        <v>248602.332112</v>
      </c>
      <c r="N19" s="226">
        <v>1060000</v>
      </c>
      <c r="O19" s="304"/>
      <c r="P19" s="304"/>
      <c r="Q19" s="309">
        <f t="shared" si="8"/>
        <v>4416131.483512</v>
      </c>
      <c r="R19" s="309">
        <f t="shared" si="9"/>
        <v>24860.2332112</v>
      </c>
      <c r="S19" s="310">
        <f t="shared" si="10"/>
        <v>4440991.7167232</v>
      </c>
      <c r="T19" s="311">
        <v>44378</v>
      </c>
      <c r="U19" s="312">
        <v>44469</v>
      </c>
      <c r="V19" s="194"/>
      <c r="W19" s="408"/>
      <c r="X19" s="408">
        <f>+VLOOKUP(B19,[1]GORONTALO!$C$7:$AE$21,20,0)</f>
        <v>44378</v>
      </c>
      <c r="Y19" s="408">
        <f>+VLOOKUP(B19,[1]GORONTALO!$C$7:$AE$21,21,0)</f>
        <v>44469</v>
      </c>
    </row>
    <row r="20" ht="18" customHeight="1" s="178" customFormat="1">
      <c r="A20" s="377" t="s">
        <v>59</v>
      </c>
      <c r="B20" s="380">
        <v>1807</v>
      </c>
      <c r="C20" s="379" t="s">
        <v>980</v>
      </c>
      <c r="D20" s="205" t="s">
        <v>84</v>
      </c>
      <c r="E20" s="205" t="s">
        <v>737</v>
      </c>
      <c r="F20" s="205" t="s">
        <v>63</v>
      </c>
      <c r="G20" s="112">
        <v>2788826</v>
      </c>
      <c r="H20" s="224">
        <f t="shared" si="1"/>
        <v>136373.5914</v>
      </c>
      <c r="I20" s="224">
        <f t="shared" si="2"/>
        <v>111553.04</v>
      </c>
      <c r="J20" s="224">
        <f t="shared" si="3"/>
        <v>55776.52</v>
      </c>
      <c r="K20" s="224">
        <v>15000</v>
      </c>
      <c r="L20" s="304">
        <f t="shared" si="6"/>
        <v>3107529.1514</v>
      </c>
      <c r="M20" s="304">
        <f t="shared" si="7"/>
        <v>248602.332112</v>
      </c>
      <c r="N20" s="226">
        <v>1029000</v>
      </c>
      <c r="O20" s="304"/>
      <c r="P20" s="304"/>
      <c r="Q20" s="309">
        <f t="shared" si="8"/>
        <v>4385131.483512</v>
      </c>
      <c r="R20" s="309">
        <f t="shared" si="9"/>
        <v>24860.2332112</v>
      </c>
      <c r="S20" s="310">
        <f t="shared" si="10"/>
        <v>4409991.7167232</v>
      </c>
      <c r="T20" s="311">
        <v>44409</v>
      </c>
      <c r="U20" s="312">
        <v>44439</v>
      </c>
      <c r="V20" s="194"/>
      <c r="W20" s="408"/>
      <c r="X20" s="408">
        <f>+VLOOKUP(B20,[1]GORONTALO!$C$7:$AE$21,20,0)</f>
        <v>44409</v>
      </c>
      <c r="Y20" s="408">
        <f>+VLOOKUP(B20,[1]GORONTALO!$C$7:$AE$21,21,0)</f>
        <v>44439</v>
      </c>
    </row>
    <row r="21" ht="18" customHeight="1" s="178" customFormat="1">
      <c r="A21" s="377" t="s">
        <v>64</v>
      </c>
      <c r="B21" s="1180" t="s">
        <v>1124</v>
      </c>
      <c r="C21" s="1242" t="s">
        <v>1125</v>
      </c>
      <c r="D21" s="205" t="s">
        <v>84</v>
      </c>
      <c r="E21" s="205" t="s">
        <v>737</v>
      </c>
      <c r="F21" s="205" t="s">
        <v>63</v>
      </c>
      <c r="G21" s="112">
        <v>2788826</v>
      </c>
      <c r="H21" s="224">
        <f t="shared" si="1"/>
        <v>136373.5914</v>
      </c>
      <c r="I21" s="224">
        <f t="shared" si="2"/>
        <v>111553.04</v>
      </c>
      <c r="J21" s="224">
        <f t="shared" si="3"/>
        <v>55776.52</v>
      </c>
      <c r="K21" s="224">
        <v>15000</v>
      </c>
      <c r="L21" s="304">
        <f t="shared" si="6"/>
        <v>3107529.1514</v>
      </c>
      <c r="M21" s="304">
        <f t="shared" si="7"/>
        <v>248602.332112</v>
      </c>
      <c r="N21" s="226">
        <v>897000</v>
      </c>
      <c r="O21" s="304"/>
      <c r="P21" s="304"/>
      <c r="Q21" s="309">
        <f t="shared" si="8"/>
        <v>4253131.483512</v>
      </c>
      <c r="R21" s="309">
        <f t="shared" si="9"/>
        <v>24860.2332112</v>
      </c>
      <c r="S21" s="310">
        <f t="shared" si="10"/>
        <v>4277991.7167232</v>
      </c>
      <c r="T21" s="311">
        <v>44409</v>
      </c>
      <c r="U21" s="312">
        <v>44500</v>
      </c>
      <c r="V21" s="194"/>
      <c r="W21" s="408"/>
      <c r="X21" s="408">
        <f>+VLOOKUP(B21,[1]GORONTALO!$C$7:$AE$21,20,0)</f>
        <v>44409</v>
      </c>
      <c r="Y21" s="408">
        <f>+VLOOKUP(B21,[1]GORONTALO!$C$7:$AE$21,21,0)</f>
        <v>44500</v>
      </c>
    </row>
    <row r="22" ht="18" customHeight="1" s="178" customFormat="1">
      <c r="A22" s="377" t="s">
        <v>64</v>
      </c>
      <c r="B22" s="1180" t="s">
        <v>1126</v>
      </c>
      <c r="C22" s="1242" t="s">
        <v>1127</v>
      </c>
      <c r="D22" s="205" t="s">
        <v>84</v>
      </c>
      <c r="E22" s="205" t="s">
        <v>737</v>
      </c>
      <c r="F22" s="205" t="s">
        <v>63</v>
      </c>
      <c r="G22" s="112">
        <v>2788826</v>
      </c>
      <c r="H22" s="224">
        <f t="shared" si="1"/>
        <v>136373.5914</v>
      </c>
      <c r="I22" s="224">
        <f t="shared" si="2"/>
        <v>111553.04</v>
      </c>
      <c r="J22" s="224">
        <f t="shared" si="3"/>
        <v>55776.52</v>
      </c>
      <c r="K22" s="224">
        <v>15000</v>
      </c>
      <c r="L22" s="304">
        <f t="shared" si="6"/>
        <v>3107529.1514</v>
      </c>
      <c r="M22" s="304">
        <f t="shared" si="7"/>
        <v>248602.332112</v>
      </c>
      <c r="N22" s="226">
        <v>917000</v>
      </c>
      <c r="O22" s="304"/>
      <c r="P22" s="304"/>
      <c r="Q22" s="309">
        <f>SUM(L22:P22)</f>
        <v>4273131.483512</v>
      </c>
      <c r="R22" s="309">
        <f ref="R22:R23" t="shared" si="13">M22*0.1</f>
        <v>24860.2332112</v>
      </c>
      <c r="S22" s="310">
        <f t="shared" si="10"/>
        <v>4297991.7167232</v>
      </c>
      <c r="T22" s="311">
        <v>44350</v>
      </c>
      <c r="U22" s="312">
        <v>44439</v>
      </c>
      <c r="V22" s="194"/>
      <c r="W22" s="408"/>
      <c r="X22" s="408">
        <f>+VLOOKUP(B22,[1]GORONTALO!$C$7:$AE$21,20,0)</f>
        <v>44350</v>
      </c>
      <c r="Y22" s="408">
        <f>+VLOOKUP(B22,[1]GORONTALO!$C$7:$AE$21,21,0)</f>
        <v>44439</v>
      </c>
    </row>
    <row r="23" ht="18" customHeight="1" s="178" customFormat="1">
      <c r="A23" s="377" t="s">
        <v>59</v>
      </c>
      <c r="B23" s="380" t="s">
        <v>1128</v>
      </c>
      <c r="C23" s="379" t="s">
        <v>1129</v>
      </c>
      <c r="D23" s="205" t="s">
        <v>84</v>
      </c>
      <c r="E23" s="205" t="s">
        <v>737</v>
      </c>
      <c r="F23" s="205" t="s">
        <v>63</v>
      </c>
      <c r="G23" s="112">
        <v>2788826</v>
      </c>
      <c r="H23" s="224">
        <f t="shared" si="1"/>
        <v>136373.5914</v>
      </c>
      <c r="I23" s="224">
        <f t="shared" si="2"/>
        <v>111553.04</v>
      </c>
      <c r="J23" s="224">
        <f t="shared" si="3"/>
        <v>55776.52</v>
      </c>
      <c r="K23" s="224">
        <v>15000</v>
      </c>
      <c r="L23" s="304">
        <f>SUM(G23:K23)</f>
        <v>3107529.1514</v>
      </c>
      <c r="M23" s="304">
        <f t="shared" si="7"/>
        <v>248602.332112</v>
      </c>
      <c r="N23" s="226">
        <v>780000</v>
      </c>
      <c r="O23" s="304"/>
      <c r="P23" s="304"/>
      <c r="Q23" s="309">
        <f>SUM(L23:P23)</f>
        <v>4136131.483512</v>
      </c>
      <c r="R23" s="309">
        <f t="shared" si="13"/>
        <v>24860.2332112</v>
      </c>
      <c r="S23" s="310">
        <f t="shared" si="10"/>
        <v>4160991.7167232</v>
      </c>
      <c r="T23" s="311">
        <v>44382</v>
      </c>
      <c r="U23" s="312">
        <v>44469</v>
      </c>
      <c r="V23" s="194"/>
      <c r="W23" s="345"/>
      <c r="X23" s="408">
        <f>+VLOOKUP(B23,[1]GORONTALO!$C$7:$AE$21,20,0)</f>
        <v>44382</v>
      </c>
      <c r="Y23" s="408">
        <f>+VLOOKUP(B23,[1]GORONTALO!$C$7:$AE$21,21,0)</f>
        <v>44469</v>
      </c>
    </row>
    <row r="24" ht="18" customHeight="1" s="297" customFormat="1">
      <c r="A24" s="377" t="s">
        <v>64</v>
      </c>
      <c r="B24" s="1182" t="s">
        <v>1130</v>
      </c>
      <c r="C24" s="1244" t="s">
        <v>1131</v>
      </c>
      <c r="D24" s="321" t="s">
        <v>84</v>
      </c>
      <c r="E24" s="321" t="s">
        <v>737</v>
      </c>
      <c r="F24" s="321" t="s">
        <v>63</v>
      </c>
      <c r="G24" s="322">
        <f>2788826/31*12</f>
        <v>1079545.5483871</v>
      </c>
      <c r="H24" s="323">
        <f t="shared" si="1"/>
        <v>136373.5914</v>
      </c>
      <c r="I24" s="323">
        <f t="shared" si="2"/>
        <v>111553.04</v>
      </c>
      <c r="J24" s="323">
        <f t="shared" si="3"/>
        <v>55776.52</v>
      </c>
      <c r="K24" s="323">
        <v>15000</v>
      </c>
      <c r="L24" s="339">
        <f ref="L24:L25" t="shared" si="16">SUM(G24:K24)</f>
        <v>1398248.6997871</v>
      </c>
      <c r="M24" s="339">
        <f ref="M24:M25" t="shared" si="17">+L24*8%</f>
        <v>111859.895982968</v>
      </c>
      <c r="N24" s="327"/>
      <c r="O24" s="339"/>
      <c r="P24" s="339"/>
      <c r="Q24" s="340">
        <f ref="Q24:Q25" t="shared" si="18">SUM(L24:P24)</f>
        <v>1510108.59577006</v>
      </c>
      <c r="R24" s="340">
        <f ref="R24:R25" t="shared" si="19">M24*0.1</f>
        <v>11185.9895982968</v>
      </c>
      <c r="S24" s="341">
        <f ref="S24:S25" t="shared" si="20">Q24+R24</f>
        <v>1521294.58536836</v>
      </c>
      <c r="T24" s="342">
        <v>44412</v>
      </c>
      <c r="U24" s="343">
        <v>44500</v>
      </c>
      <c r="V24" s="417"/>
      <c r="W24" s="346"/>
      <c r="X24" s="346"/>
    </row>
    <row r="25" ht="18" customHeight="1" s="370" customFormat="1">
      <c r="A25" s="377" t="s">
        <v>64</v>
      </c>
      <c r="B25" s="1176" t="s">
        <v>1005</v>
      </c>
      <c r="C25" s="1245" t="s">
        <v>1006</v>
      </c>
      <c r="D25" s="387" t="s">
        <v>84</v>
      </c>
      <c r="E25" s="387" t="s">
        <v>737</v>
      </c>
      <c r="F25" s="387" t="s">
        <v>63</v>
      </c>
      <c r="G25" s="388">
        <f>2788826/31*18</f>
        <v>1619318.32258065</v>
      </c>
      <c r="H25" s="389">
        <f t="shared" si="1"/>
        <v>136373.5914</v>
      </c>
      <c r="I25" s="389">
        <f t="shared" si="2"/>
        <v>111553.04</v>
      </c>
      <c r="J25" s="389">
        <f t="shared" si="3"/>
        <v>55776.52</v>
      </c>
      <c r="K25" s="389">
        <v>15000</v>
      </c>
      <c r="L25" s="400">
        <f t="shared" si="16"/>
        <v>1938021.47398065</v>
      </c>
      <c r="M25" s="400">
        <f t="shared" si="17"/>
        <v>155041.717918452</v>
      </c>
      <c r="N25" s="401">
        <v>884000</v>
      </c>
      <c r="O25" s="400"/>
      <c r="P25" s="400"/>
      <c r="Q25" s="418">
        <f t="shared" si="18"/>
        <v>2977063.1918991</v>
      </c>
      <c r="R25" s="418">
        <f t="shared" si="19"/>
        <v>15504.1717918452</v>
      </c>
      <c r="S25" s="419">
        <f t="shared" si="20"/>
        <v>2992567.36369094</v>
      </c>
      <c r="T25" s="420">
        <v>44348</v>
      </c>
      <c r="U25" s="421">
        <v>44412</v>
      </c>
      <c r="V25" s="422"/>
      <c r="W25" s="423"/>
      <c r="X25" s="423" t="e">
        <f>+VLOOKUP(B25,[1]GORONTALO!$C$7:$AE$21,20,0)</f>
        <v>#N/A</v>
      </c>
      <c r="Y25" s="423" t="e">
        <f>+VLOOKUP(B25,[1]GORONTALO!$C$7:$AE$21,21,0)</f>
        <v>#N/A</v>
      </c>
    </row>
    <row r="26" ht="18" customHeight="1" s="180" customFormat="1">
      <c r="A26" s="1061" t="s">
        <v>87</v>
      </c>
      <c r="B26" s="1188"/>
      <c r="C26" s="1062"/>
      <c r="D26" s="1062"/>
      <c r="E26" s="1062"/>
      <c r="F26" s="1087"/>
      <c r="G26" s="209">
        <f>SUM(G13:G25)</f>
        <v>33375949.8709677</v>
      </c>
      <c r="H26" s="209">
        <f ref="H26:R26" t="shared" si="21">SUM(H13:H25)</f>
        <v>1772856.6882</v>
      </c>
      <c r="I26" s="209">
        <f t="shared" si="21"/>
        <v>1450189.52</v>
      </c>
      <c r="J26" s="209">
        <f t="shared" si="21"/>
        <v>725094.76</v>
      </c>
      <c r="K26" s="209">
        <f t="shared" si="21"/>
        <v>195000</v>
      </c>
      <c r="L26" s="209">
        <f t="shared" si="21"/>
        <v>37519090.8391677</v>
      </c>
      <c r="M26" s="209">
        <f t="shared" si="21"/>
        <v>3001527.26713342</v>
      </c>
      <c r="N26" s="209">
        <f t="shared" si="21"/>
        <v>11153000</v>
      </c>
      <c r="O26" s="209">
        <f t="shared" si="21"/>
        <v>0</v>
      </c>
      <c r="P26" s="209">
        <f t="shared" si="21"/>
        <v>0</v>
      </c>
      <c r="Q26" s="209">
        <f t="shared" si="21"/>
        <v>51673618.1063012</v>
      </c>
      <c r="R26" s="209">
        <f t="shared" si="21"/>
        <v>300152.726713342</v>
      </c>
      <c r="S26" s="209">
        <f>SUM(S13:S25)</f>
        <v>51973770.8330145</v>
      </c>
      <c r="T26" s="240"/>
      <c r="U26" s="241"/>
      <c r="W26" s="408"/>
      <c r="X26" s="408"/>
    </row>
    <row r="27" ht="18" customHeight="1" s="180" customFormat="1">
      <c r="A27" s="180" t="s">
        <v>87</v>
      </c>
      <c r="B27" s="1178"/>
      <c r="C27" s="184"/>
      <c r="D27" s="212"/>
      <c r="E27" s="212"/>
      <c r="F27" s="212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12"/>
      <c r="U27" s="211"/>
      <c r="W27" s="408"/>
      <c r="X27" s="408"/>
    </row>
    <row r="28" ht="18" customHeight="1" s="180" customFormat="1">
      <c r="A28" s="1106" t="s">
        <v>87</v>
      </c>
      <c r="B28" s="1188"/>
      <c r="C28" s="1062"/>
      <c r="D28" s="1062"/>
      <c r="E28" s="1062"/>
      <c r="F28" s="1087"/>
      <c r="G28" s="390">
        <f ref="G28:S28" t="shared" si="22">+G26+G10</f>
        <v>41742427.8709677</v>
      </c>
      <c r="H28" s="390">
        <f t="shared" si="22"/>
        <v>2181977.4624</v>
      </c>
      <c r="I28" s="390">
        <f t="shared" si="22"/>
        <v>1784848.64</v>
      </c>
      <c r="J28" s="390">
        <f t="shared" si="22"/>
        <v>892424.32</v>
      </c>
      <c r="K28" s="390">
        <f t="shared" si="22"/>
        <v>200001</v>
      </c>
      <c r="L28" s="390">
        <f t="shared" si="22"/>
        <v>46801679.2933677</v>
      </c>
      <c r="M28" s="390">
        <f t="shared" si="22"/>
        <v>3744134.34346942</v>
      </c>
      <c r="N28" s="390">
        <f t="shared" si="22"/>
        <v>11153000</v>
      </c>
      <c r="O28" s="390">
        <f t="shared" si="22"/>
        <v>834000</v>
      </c>
      <c r="P28" s="390">
        <f t="shared" si="22"/>
        <v>1813542.91907514</v>
      </c>
      <c r="Q28" s="390">
        <f t="shared" si="22"/>
        <v>64346356.5559123</v>
      </c>
      <c r="R28" s="390">
        <f t="shared" si="22"/>
        <v>374413.434346942</v>
      </c>
      <c r="S28" s="390">
        <f t="shared" si="22"/>
        <v>64720769.9902592</v>
      </c>
      <c r="T28" s="390"/>
      <c r="U28" s="424"/>
      <c r="W28" s="408"/>
      <c r="X28" s="408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Q29" s="189"/>
      <c r="W29" s="425"/>
      <c r="X29" s="425"/>
    </row>
    <row r="30" s="178" customFormat="1">
      <c r="A30" s="213" t="s">
        <v>87</v>
      </c>
      <c r="B30" s="1178"/>
      <c r="C30" s="181"/>
      <c r="D30" s="189"/>
      <c r="E30" s="189"/>
      <c r="F30" s="189"/>
      <c r="G30" s="190"/>
      <c r="M30" s="229"/>
      <c r="N30" s="229"/>
      <c r="O30" s="229"/>
      <c r="P30" s="230"/>
      <c r="Q30" s="187"/>
      <c r="W30" s="345"/>
      <c r="X30" s="345"/>
    </row>
    <row r="31" s="178" customFormat="1">
      <c r="A31" s="213" t="s">
        <v>87</v>
      </c>
      <c r="B31" s="1178"/>
      <c r="C31" s="181"/>
      <c r="D31" s="189"/>
      <c r="E31" s="189"/>
      <c r="F31" s="189"/>
      <c r="G31" s="190"/>
      <c r="M31" s="229"/>
      <c r="N31" s="229"/>
      <c r="O31" s="229"/>
      <c r="P31" s="230"/>
      <c r="Q31" s="187"/>
      <c r="W31" s="345"/>
      <c r="X31" s="345"/>
    </row>
    <row r="32" s="178" customFormat="1">
      <c r="A32" s="178" t="s">
        <v>87</v>
      </c>
      <c r="B32" s="1178"/>
      <c r="C32" s="214" t="str">
        <f>+'BANJARMASIN '!C102</f>
        <v>Karawang,  16 Agustus 2020</v>
      </c>
      <c r="D32" s="189"/>
      <c r="E32" s="189"/>
      <c r="F32" s="189"/>
      <c r="G32" s="190"/>
      <c r="L32" s="231"/>
      <c r="M32" s="231"/>
      <c r="N32" s="231"/>
      <c r="O32" s="231"/>
      <c r="P32" s="230"/>
      <c r="Q32" s="242"/>
      <c r="W32" s="345"/>
      <c r="X32" s="345"/>
    </row>
    <row r="33" s="178" customFormat="1">
      <c r="A33" s="213" t="s">
        <v>87</v>
      </c>
      <c r="B33" s="1178"/>
      <c r="C33" s="189"/>
      <c r="D33" s="189"/>
      <c r="E33" s="189"/>
      <c r="F33" s="189"/>
      <c r="G33" s="190"/>
      <c r="M33" s="229"/>
      <c r="N33" s="229"/>
      <c r="O33" s="229"/>
      <c r="P33" s="230"/>
      <c r="Q33" s="242"/>
      <c r="W33" s="345"/>
      <c r="X33" s="345"/>
    </row>
    <row r="34" s="178" customFormat="1">
      <c r="A34" s="178" t="s">
        <v>87</v>
      </c>
      <c r="B34" s="1178"/>
      <c r="C34" s="189" t="s">
        <v>232</v>
      </c>
      <c r="D34" s="189"/>
      <c r="F34" s="215"/>
      <c r="G34" s="190"/>
      <c r="K34" s="229"/>
      <c r="L34" s="181" t="s">
        <v>233</v>
      </c>
      <c r="M34" s="231"/>
      <c r="N34" s="181"/>
      <c r="O34" s="181"/>
      <c r="Q34" s="242"/>
      <c r="W34" s="345"/>
      <c r="X34" s="345"/>
    </row>
    <row r="35" s="178" customFormat="1">
      <c r="A35" s="178" t="s">
        <v>87</v>
      </c>
      <c r="B35" s="1178"/>
      <c r="C35" s="189"/>
      <c r="D35" s="189"/>
      <c r="F35" s="215"/>
      <c r="G35" s="190"/>
      <c r="H35" s="190"/>
      <c r="K35" s="229"/>
      <c r="Q35" s="242"/>
      <c r="W35" s="345"/>
      <c r="X35" s="345"/>
    </row>
    <row r="36" s="178" customFormat="1">
      <c r="A36" s="178" t="s">
        <v>87</v>
      </c>
      <c r="B36" s="1178"/>
      <c r="C36" s="189"/>
      <c r="D36" s="189"/>
      <c r="F36" s="215"/>
      <c r="G36" s="190"/>
      <c r="H36" s="190"/>
      <c r="K36" s="229"/>
      <c r="M36" s="230"/>
      <c r="Q36" s="242"/>
      <c r="W36" s="345"/>
      <c r="X36" s="345"/>
    </row>
    <row r="37" s="178" customFormat="1">
      <c r="A37" s="178" t="s">
        <v>87</v>
      </c>
      <c r="B37" s="1178"/>
      <c r="C37" s="189"/>
      <c r="D37" s="189"/>
      <c r="F37" s="215"/>
      <c r="G37" s="190"/>
      <c r="H37" s="190"/>
      <c r="K37" s="229"/>
      <c r="M37" s="231"/>
      <c r="Q37" s="242"/>
      <c r="W37" s="345"/>
      <c r="X37" s="345"/>
    </row>
    <row r="38" s="178" customFormat="1">
      <c r="A38" s="178" t="s">
        <v>87</v>
      </c>
      <c r="B38" s="1178"/>
      <c r="C38" s="189"/>
      <c r="D38" s="189"/>
      <c r="F38" s="215"/>
      <c r="G38" s="190"/>
      <c r="H38" s="190"/>
      <c r="K38" s="229"/>
      <c r="Q38" s="242"/>
      <c r="W38" s="345"/>
      <c r="X38" s="345"/>
    </row>
    <row r="39" s="178" customFormat="1">
      <c r="A39" s="178" t="s">
        <v>87</v>
      </c>
      <c r="B39" s="1178"/>
      <c r="C39" s="189"/>
      <c r="D39" s="189"/>
      <c r="F39" s="215"/>
      <c r="G39" s="190"/>
      <c r="H39" s="190"/>
      <c r="K39" s="229"/>
      <c r="P39" s="189"/>
      <c r="Q39" s="243"/>
      <c r="W39" s="345"/>
      <c r="X39" s="345"/>
    </row>
    <row r="40" s="178" customFormat="1">
      <c r="A40" s="181" t="s">
        <v>87</v>
      </c>
      <c r="B40" s="1178"/>
      <c r="C40" s="189"/>
      <c r="D40" s="189"/>
      <c r="F40" s="189"/>
      <c r="G40" s="190"/>
      <c r="H40" s="190"/>
      <c r="K40" s="229"/>
      <c r="Q40" s="243"/>
      <c r="W40" s="345"/>
      <c r="X40" s="345"/>
    </row>
    <row r="41" s="181" customFormat="1">
      <c r="A41" s="181" t="s">
        <v>87</v>
      </c>
      <c r="B41" s="1190"/>
      <c r="C41" s="214" t="s">
        <v>234</v>
      </c>
      <c r="D41" s="189"/>
      <c r="E41" s="189"/>
      <c r="F41" s="214"/>
      <c r="G41" s="190"/>
      <c r="H41" s="190"/>
      <c r="I41" s="232" t="s">
        <v>235</v>
      </c>
      <c r="L41" s="213" t="s">
        <v>236</v>
      </c>
      <c r="N41" s="214" t="s">
        <v>237</v>
      </c>
      <c r="P41" s="213" t="s">
        <v>238</v>
      </c>
      <c r="Q41" s="243"/>
      <c r="W41" s="425"/>
      <c r="X41" s="425"/>
    </row>
    <row r="42" s="181" customFormat="1">
      <c r="A42" s="181" t="s">
        <v>87</v>
      </c>
      <c r="B42" s="1191"/>
      <c r="C42" s="188"/>
      <c r="D42" s="189"/>
      <c r="E42" s="189"/>
      <c r="F42" s="189"/>
      <c r="G42" s="190"/>
      <c r="L42" s="190"/>
      <c r="Q42" s="189"/>
      <c r="W42" s="425"/>
      <c r="X42" s="425"/>
    </row>
    <row r="43" s="181" customFormat="1">
      <c r="A43" s="181" t="s">
        <v>87</v>
      </c>
      <c r="B43" s="1191"/>
      <c r="C43" s="188"/>
      <c r="D43" s="189"/>
      <c r="E43" s="189"/>
      <c r="F43" s="189"/>
      <c r="G43" s="190"/>
      <c r="L43" s="190"/>
      <c r="Q43" s="189"/>
      <c r="W43" s="425"/>
      <c r="X43" s="425"/>
    </row>
    <row r="44" s="181" customFormat="1">
      <c r="A44" s="181" t="s">
        <v>87</v>
      </c>
      <c r="B44" s="1191"/>
      <c r="C44" s="188"/>
      <c r="D44" s="189"/>
      <c r="E44" s="189"/>
      <c r="F44" s="189"/>
      <c r="G44" s="190"/>
      <c r="L44" s="190"/>
      <c r="Q44" s="189"/>
      <c r="W44" s="425"/>
      <c r="X44" s="425"/>
    </row>
    <row r="45" s="181" customFormat="1">
      <c r="A45" s="181" t="s">
        <v>87</v>
      </c>
      <c r="B45" s="1191"/>
      <c r="C45" s="188"/>
      <c r="D45" s="189"/>
      <c r="E45" s="189"/>
      <c r="F45" s="189"/>
      <c r="G45" s="190"/>
      <c r="L45" s="190"/>
      <c r="T45" s="189"/>
      <c r="U45" s="189"/>
      <c r="W45" s="425"/>
      <c r="X45" s="425"/>
    </row>
    <row r="46" s="181" customFormat="1">
      <c r="A46" s="181" t="s">
        <v>87</v>
      </c>
      <c r="B46" s="1191"/>
      <c r="C46" s="188"/>
      <c r="D46" s="189"/>
      <c r="E46" s="189"/>
      <c r="F46" s="189"/>
      <c r="G46" s="190"/>
      <c r="L46" s="190"/>
      <c r="T46" s="189"/>
      <c r="U46" s="189"/>
      <c r="W46" s="425"/>
      <c r="X46" s="425"/>
    </row>
    <row r="47" s="181" customFormat="1">
      <c r="A47" s="181" t="s">
        <v>87</v>
      </c>
      <c r="B47" s="1191"/>
      <c r="F47" s="215"/>
      <c r="W47" s="425"/>
      <c r="X47" s="425"/>
    </row>
    <row r="48" s="181" customFormat="1">
      <c r="A48" s="181" t="s">
        <v>87</v>
      </c>
      <c r="B48" s="1191"/>
      <c r="F48" s="215"/>
      <c r="W48" s="425"/>
      <c r="X48" s="425"/>
    </row>
    <row r="49" s="181" customFormat="1">
      <c r="A49" s="181" t="s">
        <v>87</v>
      </c>
      <c r="B49" s="1191"/>
      <c r="F49" s="215"/>
      <c r="W49" s="425"/>
      <c r="X49" s="425"/>
    </row>
    <row r="50" s="181" customFormat="1">
      <c r="A50" s="181" t="s">
        <v>87</v>
      </c>
      <c r="B50" s="1191"/>
      <c r="F50" s="215"/>
      <c r="W50" s="425"/>
      <c r="X50" s="425"/>
    </row>
    <row r="51" s="181" customFormat="1">
      <c r="A51" s="181" t="s">
        <v>87</v>
      </c>
      <c r="B51" s="1191"/>
      <c r="F51" s="215"/>
      <c r="W51" s="425"/>
      <c r="X51" s="425"/>
    </row>
    <row r="52" s="181" customFormat="1">
      <c r="A52" s="181" t="s">
        <v>87</v>
      </c>
      <c r="B52" s="1191"/>
      <c r="F52" s="215"/>
      <c r="W52" s="425"/>
      <c r="X52" s="425"/>
    </row>
    <row r="53" s="181" customFormat="1">
      <c r="A53" s="181" t="s">
        <v>87</v>
      </c>
      <c r="B53" s="1191"/>
      <c r="F53" s="215"/>
      <c r="W53" s="425"/>
      <c r="X53" s="425"/>
    </row>
    <row r="54" s="181" customFormat="1">
      <c r="A54" s="181" t="s">
        <v>87</v>
      </c>
      <c r="B54" s="1191"/>
      <c r="F54" s="215"/>
      <c r="W54" s="425"/>
      <c r="X54" s="425"/>
    </row>
    <row r="55">
      <c r="A55" s="182" t="s">
        <v>87</v>
      </c>
      <c r="B55" s="1191"/>
      <c r="C55" s="182"/>
      <c r="D55" s="182"/>
      <c r="E55" s="182"/>
      <c r="F55" s="217"/>
      <c r="G55" s="182"/>
      <c r="L55" s="182"/>
      <c r="T55" s="182"/>
      <c r="U55" s="182"/>
    </row>
    <row r="56">
      <c r="C56" s="182"/>
      <c r="D56" s="182"/>
      <c r="E56" s="182"/>
      <c r="F56" s="217"/>
      <c r="G56" s="182"/>
      <c r="L56" s="182"/>
      <c r="T56" s="182"/>
      <c r="U56" s="182"/>
    </row>
  </sheetData>
  <mergeCells>
    <mergeCell ref="A10:F10"/>
    <mergeCell ref="A26:F26"/>
    <mergeCell ref="A28:F28"/>
  </mergeCells>
  <printOptions horizontalCentered="1"/>
  <pageMargins left="0" right="0" top="0.75" bottom="0.75" header="0.3" footer="0.3"/>
  <pageSetup paperSize="9" scale="65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2">
    <tabColor theme="4" tint="-0.499984740745262"/>
  </sheetPr>
  <dimension ref="A1:V55"/>
  <sheetViews>
    <sheetView zoomScale="70" zoomScaleNormal="70" workbookViewId="0">
      <pane xSplit="7" ySplit="10" topLeftCell="J27" activePane="bottomRight" state="frozen"/>
      <selection pane="topRight"/>
      <selection pane="bottomLeft"/>
      <selection pane="bottomRight" activeCell="O35" sqref="O35"/>
    </sheetView>
  </sheetViews>
  <sheetFormatPr defaultColWidth="9.140625" defaultRowHeight="12"/>
  <cols>
    <col min="1" max="1" width="4.7109375" customWidth="1" style="182"/>
    <col min="2" max="2" width="7" customWidth="1" style="183"/>
    <col min="3" max="3" width="24.28515625" customWidth="1" style="184"/>
    <col min="4" max="4" width="11.7109375" customWidth="1" style="183"/>
    <col min="5" max="5" hidden="1" width="11.7109375" customWidth="1" style="183"/>
    <col min="6" max="6" hidden="1" width="10.28515625" customWidth="1" style="183"/>
    <col min="7" max="7" width="13.7109375" customWidth="1" style="185"/>
    <col min="8" max="10" width="12" customWidth="1" style="182"/>
    <col min="11" max="11" width="11" customWidth="1" style="182"/>
    <col min="12" max="12" width="13.85546875" customWidth="1" style="185"/>
    <col min="13" max="14" width="12" customWidth="1" style="182"/>
    <col min="15" max="15" width="11" customWidth="1" style="182"/>
    <col min="16" max="16" width="12.42578125" customWidth="1" style="182"/>
    <col min="17" max="17" width="13.7109375" customWidth="1" style="182"/>
    <col min="18" max="19" width="12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492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3270093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36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358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24" customHeight="1" s="178" customFormat="1">
      <c r="A7" s="347" t="s">
        <v>59</v>
      </c>
      <c r="B7" s="348" t="s">
        <v>493</v>
      </c>
      <c r="C7" s="349" t="s">
        <v>494</v>
      </c>
      <c r="D7" s="350" t="s">
        <v>69</v>
      </c>
      <c r="E7" s="350" t="s">
        <v>495</v>
      </c>
      <c r="F7" s="350" t="s">
        <v>421</v>
      </c>
      <c r="G7" s="351">
        <v>3270093</v>
      </c>
      <c r="H7" s="352">
        <f ref="H7:H32" t="shared" si="0">+$G$4*4.89%</f>
        <v>159907.5477</v>
      </c>
      <c r="I7" s="352">
        <f ref="I7:I32" t="shared" si="1">+$G$4*4%</f>
        <v>130803.72</v>
      </c>
      <c r="J7" s="352">
        <f ref="J7:J32" t="shared" si="2">+$G$4*2%</f>
        <v>65401.86</v>
      </c>
      <c r="K7" s="352">
        <v>15000</v>
      </c>
      <c r="L7" s="359">
        <f>SUM(G7:K7)</f>
        <v>3641206.1277</v>
      </c>
      <c r="M7" s="359">
        <f>+L7*8%</f>
        <v>291296.490216</v>
      </c>
      <c r="N7" s="360">
        <v>1000000</v>
      </c>
      <c r="O7" s="226">
        <f>27*12000</f>
        <v>324000</v>
      </c>
      <c r="P7" s="359"/>
      <c r="Q7" s="361">
        <f>SUM(L7:P7)</f>
        <v>5256502.617916</v>
      </c>
      <c r="R7" s="361">
        <f>M7*0.1</f>
        <v>29129.6490216</v>
      </c>
      <c r="S7" s="362">
        <f>Q7+R7</f>
        <v>5285632.2669376</v>
      </c>
      <c r="T7" s="363">
        <v>44335</v>
      </c>
      <c r="U7" s="364">
        <v>44439</v>
      </c>
      <c r="V7" s="231"/>
    </row>
    <row r="8" ht="18" customHeight="1" s="180" customFormat="1">
      <c r="A8" s="1061" t="s">
        <v>87</v>
      </c>
      <c r="B8" s="1188"/>
      <c r="C8" s="1062"/>
      <c r="D8" s="1062"/>
      <c r="E8" s="1062"/>
      <c r="F8" s="1087"/>
      <c r="G8" s="209">
        <f>SUM(G7)</f>
        <v>3270093</v>
      </c>
      <c r="H8" s="209">
        <f ref="H8:S8" t="shared" si="3">SUM(H7)</f>
        <v>159907.5477</v>
      </c>
      <c r="I8" s="209">
        <f t="shared" si="3"/>
        <v>130803.72</v>
      </c>
      <c r="J8" s="209">
        <f t="shared" si="3"/>
        <v>65401.86</v>
      </c>
      <c r="K8" s="209">
        <f t="shared" si="3"/>
        <v>15000</v>
      </c>
      <c r="L8" s="209">
        <f t="shared" si="3"/>
        <v>3641206.1277</v>
      </c>
      <c r="M8" s="209">
        <f t="shared" si="3"/>
        <v>291296.490216</v>
      </c>
      <c r="N8" s="209">
        <f t="shared" si="3"/>
        <v>1000000</v>
      </c>
      <c r="O8" s="209">
        <f t="shared" si="3"/>
        <v>324000</v>
      </c>
      <c r="P8" s="209">
        <f t="shared" si="3"/>
        <v>0</v>
      </c>
      <c r="Q8" s="209">
        <f t="shared" si="3"/>
        <v>5256502.617916</v>
      </c>
      <c r="R8" s="209">
        <f t="shared" si="3"/>
        <v>29129.6490216</v>
      </c>
      <c r="S8" s="209">
        <f t="shared" si="3"/>
        <v>5285632.2669376</v>
      </c>
      <c r="T8" s="240"/>
      <c r="U8" s="241"/>
    </row>
    <row r="9" ht="18" customHeight="1" s="180" customFormat="1">
      <c r="A9" s="353" t="s">
        <v>87</v>
      </c>
      <c r="B9" s="1246"/>
      <c r="C9" s="354"/>
      <c r="D9" s="354"/>
      <c r="E9" s="354"/>
      <c r="F9" s="354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65"/>
      <c r="R9" s="355"/>
      <c r="S9" s="365"/>
      <c r="T9" s="366"/>
      <c r="U9" s="367"/>
    </row>
    <row r="10" ht="38.25" customHeight="1" s="179" customFormat="1">
      <c r="A10" s="197" t="s">
        <v>64</v>
      </c>
      <c r="B10" s="1243" t="s">
        <v>37</v>
      </c>
      <c r="C10" s="1243" t="s">
        <v>38</v>
      </c>
      <c r="D10" s="198" t="s">
        <v>39</v>
      </c>
      <c r="E10" s="198" t="s">
        <v>40</v>
      </c>
      <c r="F10" s="199" t="s">
        <v>41</v>
      </c>
      <c r="G10" s="200" t="s">
        <v>42</v>
      </c>
      <c r="H10" s="201" t="s">
        <v>44</v>
      </c>
      <c r="I10" s="218" t="s">
        <v>45</v>
      </c>
      <c r="J10" s="219" t="s">
        <v>46</v>
      </c>
      <c r="K10" s="358" t="s">
        <v>47</v>
      </c>
      <c r="L10" s="220" t="s">
        <v>48</v>
      </c>
      <c r="M10" s="221" t="s">
        <v>49</v>
      </c>
      <c r="N10" s="222" t="s">
        <v>50</v>
      </c>
      <c r="O10" s="223" t="s">
        <v>52</v>
      </c>
      <c r="P10" s="221" t="s">
        <v>53</v>
      </c>
      <c r="Q10" s="233" t="s">
        <v>54</v>
      </c>
      <c r="R10" s="234" t="s">
        <v>55</v>
      </c>
      <c r="S10" s="234" t="s">
        <v>56</v>
      </c>
      <c r="T10" s="234" t="s">
        <v>57</v>
      </c>
      <c r="U10" s="235" t="s">
        <v>58</v>
      </c>
    </row>
    <row r="11" ht="18" customHeight="1" s="178" customFormat="1">
      <c r="A11" s="202" t="s">
        <v>59</v>
      </c>
      <c r="B11" s="331" t="s">
        <v>496</v>
      </c>
      <c r="C11" s="204" t="s">
        <v>497</v>
      </c>
      <c r="D11" s="205" t="s">
        <v>84</v>
      </c>
      <c r="E11" s="205" t="s">
        <v>495</v>
      </c>
      <c r="F11" s="205" t="s">
        <v>421</v>
      </c>
      <c r="G11" s="112">
        <v>3270093</v>
      </c>
      <c r="H11" s="224">
        <f t="shared" si="0"/>
        <v>159907.5477</v>
      </c>
      <c r="I11" s="224">
        <f t="shared" si="1"/>
        <v>130803.72</v>
      </c>
      <c r="J11" s="224">
        <f t="shared" si="2"/>
        <v>65401.86</v>
      </c>
      <c r="K11" s="224">
        <v>15000</v>
      </c>
      <c r="L11" s="304">
        <f ref="L11:L30" t="shared" si="4">SUM(G11:K11)</f>
        <v>3641206.1277</v>
      </c>
      <c r="M11" s="304">
        <f ref="M11:M30" t="shared" si="5">+L11*8%</f>
        <v>291296.490216</v>
      </c>
      <c r="N11" s="226">
        <f>21*20000</f>
        <v>420000</v>
      </c>
      <c r="O11" s="227"/>
      <c r="P11" s="304"/>
      <c r="Q11" s="309">
        <f ref="Q11:Q30" t="shared" si="6">SUM(L11:P11)</f>
        <v>4352502.617916</v>
      </c>
      <c r="R11" s="309">
        <f ref="R11:R30" t="shared" si="7">M11*0.1</f>
        <v>29129.6490216</v>
      </c>
      <c r="S11" s="310">
        <f ref="S11:S30" t="shared" si="8">Q11+R11</f>
        <v>4381632.2669376</v>
      </c>
      <c r="T11" s="311">
        <v>44378</v>
      </c>
      <c r="U11" s="312">
        <v>44469</v>
      </c>
      <c r="V11" s="231"/>
    </row>
    <row r="12" ht="18" customHeight="1" s="178" customFormat="1">
      <c r="A12" s="202" t="s">
        <v>59</v>
      </c>
      <c r="B12" s="331" t="s">
        <v>498</v>
      </c>
      <c r="C12" s="204" t="s">
        <v>499</v>
      </c>
      <c r="D12" s="205" t="s">
        <v>84</v>
      </c>
      <c r="E12" s="205" t="s">
        <v>495</v>
      </c>
      <c r="F12" s="205" t="s">
        <v>421</v>
      </c>
      <c r="G12" s="112">
        <v>3270093</v>
      </c>
      <c r="H12" s="224">
        <f t="shared" si="0"/>
        <v>159907.5477</v>
      </c>
      <c r="I12" s="224">
        <f t="shared" si="1"/>
        <v>130803.72</v>
      </c>
      <c r="J12" s="224">
        <f t="shared" si="2"/>
        <v>65401.86</v>
      </c>
      <c r="K12" s="224">
        <v>15000</v>
      </c>
      <c r="L12" s="304">
        <f t="shared" si="4"/>
        <v>3641206.1277</v>
      </c>
      <c r="M12" s="304">
        <f t="shared" si="5"/>
        <v>291296.490216</v>
      </c>
      <c r="N12" s="226">
        <f>20*20000</f>
        <v>400000</v>
      </c>
      <c r="O12" s="227"/>
      <c r="P12" s="304"/>
      <c r="Q12" s="309">
        <f t="shared" si="6"/>
        <v>4332502.617916</v>
      </c>
      <c r="R12" s="309">
        <f t="shared" si="7"/>
        <v>29129.6490216</v>
      </c>
      <c r="S12" s="310">
        <f t="shared" si="8"/>
        <v>4361632.2669376</v>
      </c>
      <c r="T12" s="311">
        <v>44378</v>
      </c>
      <c r="U12" s="312">
        <v>44469</v>
      </c>
      <c r="V12" s="231"/>
    </row>
    <row r="13" ht="18" customHeight="1" s="178" customFormat="1">
      <c r="A13" s="202" t="s">
        <v>59</v>
      </c>
      <c r="B13" s="331" t="s">
        <v>500</v>
      </c>
      <c r="C13" s="204" t="s">
        <v>501</v>
      </c>
      <c r="D13" s="205" t="s">
        <v>84</v>
      </c>
      <c r="E13" s="205" t="s">
        <v>495</v>
      </c>
      <c r="F13" s="205" t="s">
        <v>421</v>
      </c>
      <c r="G13" s="112">
        <v>3270093</v>
      </c>
      <c r="H13" s="224">
        <f t="shared" si="0"/>
        <v>159907.5477</v>
      </c>
      <c r="I13" s="224">
        <f t="shared" si="1"/>
        <v>130803.72</v>
      </c>
      <c r="J13" s="224">
        <f t="shared" si="2"/>
        <v>65401.86</v>
      </c>
      <c r="K13" s="224">
        <v>15000</v>
      </c>
      <c r="L13" s="304">
        <f t="shared" si="4"/>
        <v>3641206.1277</v>
      </c>
      <c r="M13" s="304">
        <f t="shared" si="5"/>
        <v>291296.490216</v>
      </c>
      <c r="N13" s="226">
        <f>20*20000</f>
        <v>400000</v>
      </c>
      <c r="O13" s="227"/>
      <c r="P13" s="304"/>
      <c r="Q13" s="309">
        <f t="shared" si="6"/>
        <v>4332502.617916</v>
      </c>
      <c r="R13" s="309">
        <f t="shared" si="7"/>
        <v>29129.6490216</v>
      </c>
      <c r="S13" s="310">
        <f t="shared" si="8"/>
        <v>4361632.2669376</v>
      </c>
      <c r="T13" s="311">
        <v>44378</v>
      </c>
      <c r="U13" s="312">
        <v>44469</v>
      </c>
      <c r="V13" s="231"/>
    </row>
    <row r="14" ht="18" customHeight="1" s="178" customFormat="1">
      <c r="A14" s="202" t="s">
        <v>59</v>
      </c>
      <c r="B14" s="331" t="s">
        <v>502</v>
      </c>
      <c r="C14" s="204" t="s">
        <v>503</v>
      </c>
      <c r="D14" s="205" t="s">
        <v>84</v>
      </c>
      <c r="E14" s="205" t="s">
        <v>495</v>
      </c>
      <c r="F14" s="205" t="s">
        <v>421</v>
      </c>
      <c r="G14" s="112">
        <v>3270093</v>
      </c>
      <c r="H14" s="224">
        <f t="shared" si="0"/>
        <v>159907.5477</v>
      </c>
      <c r="I14" s="224">
        <f t="shared" si="1"/>
        <v>130803.72</v>
      </c>
      <c r="J14" s="224">
        <f t="shared" si="2"/>
        <v>65401.86</v>
      </c>
      <c r="K14" s="224">
        <v>15000</v>
      </c>
      <c r="L14" s="304">
        <f t="shared" si="4"/>
        <v>3641206.1277</v>
      </c>
      <c r="M14" s="304">
        <f t="shared" si="5"/>
        <v>291296.490216</v>
      </c>
      <c r="N14" s="226"/>
      <c r="O14" s="227"/>
      <c r="P14" s="304"/>
      <c r="Q14" s="309">
        <f t="shared" si="6"/>
        <v>3932502.617916</v>
      </c>
      <c r="R14" s="309">
        <f t="shared" si="7"/>
        <v>29129.6490216</v>
      </c>
      <c r="S14" s="310">
        <f t="shared" si="8"/>
        <v>3961632.2669376</v>
      </c>
      <c r="T14" s="311">
        <v>44348</v>
      </c>
      <c r="U14" s="312">
        <v>44439</v>
      </c>
      <c r="V14" s="231"/>
    </row>
    <row r="15" ht="18" customHeight="1" s="178" customFormat="1">
      <c r="A15" s="202" t="s">
        <v>59</v>
      </c>
      <c r="B15" s="331" t="s">
        <v>504</v>
      </c>
      <c r="C15" s="204" t="s">
        <v>505</v>
      </c>
      <c r="D15" s="205" t="s">
        <v>84</v>
      </c>
      <c r="E15" s="205" t="s">
        <v>495</v>
      </c>
      <c r="F15" s="205" t="s">
        <v>421</v>
      </c>
      <c r="G15" s="112">
        <v>3270093</v>
      </c>
      <c r="H15" s="224">
        <f t="shared" si="0"/>
        <v>159907.5477</v>
      </c>
      <c r="I15" s="224">
        <f t="shared" si="1"/>
        <v>130803.72</v>
      </c>
      <c r="J15" s="224">
        <f t="shared" si="2"/>
        <v>65401.86</v>
      </c>
      <c r="K15" s="224">
        <v>15000</v>
      </c>
      <c r="L15" s="304">
        <f t="shared" si="4"/>
        <v>3641206.1277</v>
      </c>
      <c r="M15" s="304">
        <f t="shared" si="5"/>
        <v>291296.490216</v>
      </c>
      <c r="N15" s="226">
        <f>20*20000</f>
        <v>400000</v>
      </c>
      <c r="O15" s="227"/>
      <c r="P15" s="304"/>
      <c r="Q15" s="309">
        <f t="shared" si="6"/>
        <v>4332502.617916</v>
      </c>
      <c r="R15" s="309">
        <f t="shared" si="7"/>
        <v>29129.6490216</v>
      </c>
      <c r="S15" s="310">
        <f t="shared" si="8"/>
        <v>4361632.2669376</v>
      </c>
      <c r="T15" s="311">
        <v>44378</v>
      </c>
      <c r="U15" s="312">
        <v>44469</v>
      </c>
      <c r="V15" s="231"/>
    </row>
    <row r="16" ht="18" customHeight="1" s="178" customFormat="1">
      <c r="A16" s="202" t="s">
        <v>59</v>
      </c>
      <c r="B16" s="331" t="s">
        <v>506</v>
      </c>
      <c r="C16" s="204" t="s">
        <v>507</v>
      </c>
      <c r="D16" s="205" t="s">
        <v>84</v>
      </c>
      <c r="E16" s="205" t="s">
        <v>495</v>
      </c>
      <c r="F16" s="205" t="s">
        <v>421</v>
      </c>
      <c r="G16" s="112">
        <v>3270093</v>
      </c>
      <c r="H16" s="224">
        <f t="shared" si="0"/>
        <v>159907.5477</v>
      </c>
      <c r="I16" s="224">
        <f t="shared" si="1"/>
        <v>130803.72</v>
      </c>
      <c r="J16" s="224">
        <f t="shared" si="2"/>
        <v>65401.86</v>
      </c>
      <c r="K16" s="224">
        <v>15000</v>
      </c>
      <c r="L16" s="304">
        <f t="shared" si="4"/>
        <v>3641206.1277</v>
      </c>
      <c r="M16" s="304">
        <f t="shared" si="5"/>
        <v>291296.490216</v>
      </c>
      <c r="N16" s="226">
        <f>21*20000</f>
        <v>420000</v>
      </c>
      <c r="O16" s="227"/>
      <c r="P16" s="304"/>
      <c r="Q16" s="309">
        <f t="shared" si="6"/>
        <v>4352502.617916</v>
      </c>
      <c r="R16" s="309">
        <f t="shared" si="7"/>
        <v>29129.6490216</v>
      </c>
      <c r="S16" s="310">
        <f t="shared" si="8"/>
        <v>4381632.2669376</v>
      </c>
      <c r="T16" s="311">
        <v>44378</v>
      </c>
      <c r="U16" s="312">
        <v>44469</v>
      </c>
      <c r="V16" s="231"/>
    </row>
    <row r="17" ht="18" customHeight="1" s="178" customFormat="1">
      <c r="A17" s="202" t="s">
        <v>59</v>
      </c>
      <c r="B17" s="331" t="s">
        <v>508</v>
      </c>
      <c r="C17" s="204" t="s">
        <v>509</v>
      </c>
      <c r="D17" s="205" t="s">
        <v>84</v>
      </c>
      <c r="E17" s="205" t="s">
        <v>495</v>
      </c>
      <c r="F17" s="205" t="s">
        <v>421</v>
      </c>
      <c r="G17" s="112">
        <v>3270093</v>
      </c>
      <c r="H17" s="224">
        <f t="shared" si="0"/>
        <v>159907.5477</v>
      </c>
      <c r="I17" s="224">
        <f t="shared" si="1"/>
        <v>130803.72</v>
      </c>
      <c r="J17" s="224">
        <f t="shared" si="2"/>
        <v>65401.86</v>
      </c>
      <c r="K17" s="224">
        <v>15000</v>
      </c>
      <c r="L17" s="304">
        <f t="shared" si="4"/>
        <v>3641206.1277</v>
      </c>
      <c r="M17" s="304">
        <f t="shared" si="5"/>
        <v>291296.490216</v>
      </c>
      <c r="N17" s="226">
        <f>23*20000</f>
        <v>460000</v>
      </c>
      <c r="O17" s="227"/>
      <c r="P17" s="304"/>
      <c r="Q17" s="309">
        <f t="shared" si="6"/>
        <v>4392502.617916</v>
      </c>
      <c r="R17" s="309">
        <f t="shared" si="7"/>
        <v>29129.6490216</v>
      </c>
      <c r="S17" s="310">
        <f t="shared" si="8"/>
        <v>4421632.2669376</v>
      </c>
      <c r="T17" s="311">
        <v>44378</v>
      </c>
      <c r="U17" s="312">
        <v>44469</v>
      </c>
      <c r="V17" s="231"/>
    </row>
    <row r="18" ht="18" customHeight="1" s="178" customFormat="1">
      <c r="A18" s="202" t="s">
        <v>59</v>
      </c>
      <c r="B18" s="331" t="s">
        <v>510</v>
      </c>
      <c r="C18" s="204" t="s">
        <v>511</v>
      </c>
      <c r="D18" s="205" t="s">
        <v>84</v>
      </c>
      <c r="E18" s="205" t="s">
        <v>495</v>
      </c>
      <c r="F18" s="205" t="s">
        <v>421</v>
      </c>
      <c r="G18" s="112">
        <v>3270093</v>
      </c>
      <c r="H18" s="224">
        <f t="shared" si="0"/>
        <v>159907.5477</v>
      </c>
      <c r="I18" s="224">
        <f t="shared" si="1"/>
        <v>130803.72</v>
      </c>
      <c r="J18" s="224">
        <f t="shared" si="2"/>
        <v>65401.86</v>
      </c>
      <c r="K18" s="224">
        <v>15000</v>
      </c>
      <c r="L18" s="304">
        <f t="shared" si="4"/>
        <v>3641206.1277</v>
      </c>
      <c r="M18" s="304">
        <f t="shared" si="5"/>
        <v>291296.490216</v>
      </c>
      <c r="N18" s="226">
        <f>27*20000</f>
        <v>540000</v>
      </c>
      <c r="O18" s="227"/>
      <c r="P18" s="304"/>
      <c r="Q18" s="309">
        <f t="shared" si="6"/>
        <v>4472502.617916</v>
      </c>
      <c r="R18" s="309">
        <f t="shared" si="7"/>
        <v>29129.6490216</v>
      </c>
      <c r="S18" s="310">
        <f t="shared" si="8"/>
        <v>4501632.2669376</v>
      </c>
      <c r="T18" s="311">
        <v>44378</v>
      </c>
      <c r="U18" s="312">
        <v>44469</v>
      </c>
      <c r="V18" s="231"/>
    </row>
    <row r="19" ht="18" customHeight="1" s="178" customFormat="1">
      <c r="A19" s="202" t="s">
        <v>59</v>
      </c>
      <c r="B19" s="331" t="s">
        <v>512</v>
      </c>
      <c r="C19" s="204" t="s">
        <v>513</v>
      </c>
      <c r="D19" s="205" t="s">
        <v>84</v>
      </c>
      <c r="E19" s="205" t="s">
        <v>495</v>
      </c>
      <c r="F19" s="205" t="s">
        <v>421</v>
      </c>
      <c r="G19" s="112">
        <v>3270093</v>
      </c>
      <c r="H19" s="224">
        <f t="shared" si="0"/>
        <v>159907.5477</v>
      </c>
      <c r="I19" s="224">
        <f t="shared" si="1"/>
        <v>130803.72</v>
      </c>
      <c r="J19" s="224">
        <f t="shared" si="2"/>
        <v>65401.86</v>
      </c>
      <c r="K19" s="224">
        <v>15000</v>
      </c>
      <c r="L19" s="304">
        <f t="shared" si="4"/>
        <v>3641206.1277</v>
      </c>
      <c r="M19" s="304">
        <f t="shared" si="5"/>
        <v>291296.490216</v>
      </c>
      <c r="N19" s="226">
        <f>20*20000</f>
        <v>400000</v>
      </c>
      <c r="O19" s="227"/>
      <c r="P19" s="304"/>
      <c r="Q19" s="309">
        <f t="shared" si="6"/>
        <v>4332502.617916</v>
      </c>
      <c r="R19" s="309">
        <f t="shared" si="7"/>
        <v>29129.6490216</v>
      </c>
      <c r="S19" s="310">
        <f t="shared" si="8"/>
        <v>4361632.2669376</v>
      </c>
      <c r="T19" s="311">
        <v>44378</v>
      </c>
      <c r="U19" s="312">
        <v>44469</v>
      </c>
      <c r="V19" s="231"/>
    </row>
    <row r="20" ht="18" customHeight="1" s="178" customFormat="1">
      <c r="A20" s="202" t="s">
        <v>59</v>
      </c>
      <c r="B20" s="331" t="s">
        <v>514</v>
      </c>
      <c r="C20" s="204" t="s">
        <v>515</v>
      </c>
      <c r="D20" s="205" t="s">
        <v>84</v>
      </c>
      <c r="E20" s="205" t="s">
        <v>495</v>
      </c>
      <c r="F20" s="205" t="s">
        <v>421</v>
      </c>
      <c r="G20" s="112">
        <v>3270093</v>
      </c>
      <c r="H20" s="224">
        <f t="shared" si="0"/>
        <v>159907.5477</v>
      </c>
      <c r="I20" s="224">
        <f t="shared" si="1"/>
        <v>130803.72</v>
      </c>
      <c r="J20" s="224">
        <f t="shared" si="2"/>
        <v>65401.86</v>
      </c>
      <c r="K20" s="224">
        <v>15000</v>
      </c>
      <c r="L20" s="304">
        <f t="shared" si="4"/>
        <v>3641206.1277</v>
      </c>
      <c r="M20" s="304">
        <f t="shared" si="5"/>
        <v>291296.490216</v>
      </c>
      <c r="N20" s="226">
        <f>23*20000</f>
        <v>460000</v>
      </c>
      <c r="O20" s="227"/>
      <c r="P20" s="304"/>
      <c r="Q20" s="309">
        <f t="shared" si="6"/>
        <v>4392502.617916</v>
      </c>
      <c r="R20" s="309">
        <f t="shared" si="7"/>
        <v>29129.6490216</v>
      </c>
      <c r="S20" s="310">
        <f t="shared" si="8"/>
        <v>4421632.2669376</v>
      </c>
      <c r="T20" s="311">
        <v>44378</v>
      </c>
      <c r="U20" s="312">
        <v>44469</v>
      </c>
      <c r="V20" s="231"/>
    </row>
    <row r="21" ht="18" customHeight="1" s="178" customFormat="1">
      <c r="A21" s="202" t="s">
        <v>64</v>
      </c>
      <c r="B21" s="1225" t="s">
        <v>516</v>
      </c>
      <c r="C21" s="1247" t="s">
        <v>517</v>
      </c>
      <c r="D21" s="205" t="s">
        <v>84</v>
      </c>
      <c r="E21" s="205" t="s">
        <v>495</v>
      </c>
      <c r="F21" s="205" t="s">
        <v>421</v>
      </c>
      <c r="G21" s="112">
        <v>3270093</v>
      </c>
      <c r="H21" s="224">
        <f t="shared" si="0"/>
        <v>159907.5477</v>
      </c>
      <c r="I21" s="224">
        <f t="shared" si="1"/>
        <v>130803.72</v>
      </c>
      <c r="J21" s="224">
        <f t="shared" si="2"/>
        <v>65401.86</v>
      </c>
      <c r="K21" s="224">
        <v>15000</v>
      </c>
      <c r="L21" s="304">
        <f t="shared" si="4"/>
        <v>3641206.1277</v>
      </c>
      <c r="M21" s="304">
        <f t="shared" si="5"/>
        <v>291296.490216</v>
      </c>
      <c r="N21" s="226">
        <f>27*20000</f>
        <v>540000</v>
      </c>
      <c r="O21" s="227"/>
      <c r="P21" s="304"/>
      <c r="Q21" s="309">
        <f t="shared" si="6"/>
        <v>4472502.617916</v>
      </c>
      <c r="R21" s="309">
        <f t="shared" si="7"/>
        <v>29129.6490216</v>
      </c>
      <c r="S21" s="310">
        <f t="shared" si="8"/>
        <v>4501632.2669376</v>
      </c>
      <c r="T21" s="311">
        <v>44348</v>
      </c>
      <c r="U21" s="312">
        <v>44439</v>
      </c>
      <c r="V21" s="231"/>
    </row>
    <row r="22" ht="18" customHeight="1" s="178" customFormat="1">
      <c r="A22" s="202" t="s">
        <v>59</v>
      </c>
      <c r="B22" s="331" t="s">
        <v>518</v>
      </c>
      <c r="C22" s="204" t="s">
        <v>519</v>
      </c>
      <c r="D22" s="205" t="s">
        <v>84</v>
      </c>
      <c r="E22" s="205" t="s">
        <v>495</v>
      </c>
      <c r="F22" s="205" t="s">
        <v>421</v>
      </c>
      <c r="G22" s="112">
        <v>3270093</v>
      </c>
      <c r="H22" s="224">
        <f t="shared" si="0"/>
        <v>159907.5477</v>
      </c>
      <c r="I22" s="224">
        <f t="shared" si="1"/>
        <v>130803.72</v>
      </c>
      <c r="J22" s="224">
        <f t="shared" si="2"/>
        <v>65401.86</v>
      </c>
      <c r="K22" s="224">
        <v>15000</v>
      </c>
      <c r="L22" s="304">
        <f t="shared" si="4"/>
        <v>3641206.1277</v>
      </c>
      <c r="M22" s="304">
        <f t="shared" si="5"/>
        <v>291296.490216</v>
      </c>
      <c r="N22" s="226">
        <f>23*20000</f>
        <v>460000</v>
      </c>
      <c r="O22" s="227"/>
      <c r="P22" s="304"/>
      <c r="Q22" s="309">
        <f t="shared" si="6"/>
        <v>4392502.617916</v>
      </c>
      <c r="R22" s="309">
        <f t="shared" si="7"/>
        <v>29129.6490216</v>
      </c>
      <c r="S22" s="310">
        <f t="shared" si="8"/>
        <v>4421632.2669376</v>
      </c>
      <c r="T22" s="311">
        <v>44348</v>
      </c>
      <c r="U22" s="312">
        <v>44439</v>
      </c>
      <c r="V22" s="231"/>
    </row>
    <row r="23" ht="18" customHeight="1" s="178" customFormat="1">
      <c r="A23" s="202" t="s">
        <v>59</v>
      </c>
      <c r="B23" s="331">
        <v>2169</v>
      </c>
      <c r="C23" s="204" t="s">
        <v>520</v>
      </c>
      <c r="D23" s="205" t="s">
        <v>84</v>
      </c>
      <c r="E23" s="205" t="s">
        <v>495</v>
      </c>
      <c r="F23" s="205" t="s">
        <v>421</v>
      </c>
      <c r="G23" s="112">
        <v>3270093</v>
      </c>
      <c r="H23" s="224">
        <f t="shared" si="0"/>
        <v>159907.5477</v>
      </c>
      <c r="I23" s="224">
        <f t="shared" si="1"/>
        <v>130803.72</v>
      </c>
      <c r="J23" s="224">
        <f t="shared" si="2"/>
        <v>65401.86</v>
      </c>
      <c r="K23" s="224">
        <v>15000</v>
      </c>
      <c r="L23" s="304">
        <f t="shared" si="4"/>
        <v>3641206.1277</v>
      </c>
      <c r="M23" s="304">
        <f t="shared" si="5"/>
        <v>291296.490216</v>
      </c>
      <c r="N23" s="226">
        <f>22*20000</f>
        <v>440000</v>
      </c>
      <c r="O23" s="227"/>
      <c r="P23" s="304"/>
      <c r="Q23" s="309">
        <f t="shared" si="6"/>
        <v>4372502.617916</v>
      </c>
      <c r="R23" s="309">
        <f t="shared" si="7"/>
        <v>29129.6490216</v>
      </c>
      <c r="S23" s="310">
        <f t="shared" si="8"/>
        <v>4401632.2669376</v>
      </c>
      <c r="T23" s="311">
        <v>44409</v>
      </c>
      <c r="U23" s="312">
        <v>44500</v>
      </c>
      <c r="V23" s="231"/>
    </row>
    <row r="24" ht="18" customHeight="1" s="178" customFormat="1">
      <c r="A24" s="202" t="s">
        <v>59</v>
      </c>
      <c r="B24" s="331">
        <v>2170</v>
      </c>
      <c r="C24" s="204" t="s">
        <v>521</v>
      </c>
      <c r="D24" s="205" t="s">
        <v>84</v>
      </c>
      <c r="E24" s="205" t="s">
        <v>495</v>
      </c>
      <c r="F24" s="205" t="s">
        <v>421</v>
      </c>
      <c r="G24" s="112">
        <v>3270093</v>
      </c>
      <c r="H24" s="224">
        <f t="shared" si="0"/>
        <v>159907.5477</v>
      </c>
      <c r="I24" s="224">
        <f t="shared" si="1"/>
        <v>130803.72</v>
      </c>
      <c r="J24" s="224">
        <f t="shared" si="2"/>
        <v>65401.86</v>
      </c>
      <c r="K24" s="224">
        <v>15000</v>
      </c>
      <c r="L24" s="304">
        <f t="shared" si="4"/>
        <v>3641206.1277</v>
      </c>
      <c r="M24" s="304">
        <f t="shared" si="5"/>
        <v>291296.490216</v>
      </c>
      <c r="N24" s="226">
        <f>25*20000</f>
        <v>500000</v>
      </c>
      <c r="O24" s="227"/>
      <c r="P24" s="304"/>
      <c r="Q24" s="309">
        <f t="shared" si="6"/>
        <v>4432502.617916</v>
      </c>
      <c r="R24" s="309">
        <f t="shared" si="7"/>
        <v>29129.6490216</v>
      </c>
      <c r="S24" s="310">
        <f t="shared" si="8"/>
        <v>4461632.2669376</v>
      </c>
      <c r="T24" s="311">
        <v>44409</v>
      </c>
      <c r="U24" s="312">
        <v>44500</v>
      </c>
      <c r="V24" s="231"/>
    </row>
    <row r="25" ht="18" customHeight="1" s="178" customFormat="1">
      <c r="A25" s="202" t="s">
        <v>64</v>
      </c>
      <c r="B25" s="1225">
        <v>2171</v>
      </c>
      <c r="C25" s="1247" t="s">
        <v>522</v>
      </c>
      <c r="D25" s="205" t="s">
        <v>84</v>
      </c>
      <c r="E25" s="205" t="s">
        <v>495</v>
      </c>
      <c r="F25" s="205" t="s">
        <v>421</v>
      </c>
      <c r="G25" s="112">
        <v>3270093</v>
      </c>
      <c r="H25" s="224">
        <f t="shared" si="0"/>
        <v>159907.5477</v>
      </c>
      <c r="I25" s="224">
        <f t="shared" si="1"/>
        <v>130803.72</v>
      </c>
      <c r="J25" s="224">
        <f t="shared" si="2"/>
        <v>65401.86</v>
      </c>
      <c r="K25" s="224">
        <v>15000</v>
      </c>
      <c r="L25" s="304">
        <f ref="L25:L29" t="shared" si="10">SUM(G25:K25)</f>
        <v>3641206.1277</v>
      </c>
      <c r="M25" s="304">
        <f ref="M25:M29" t="shared" si="11">+L25*8%</f>
        <v>291296.490216</v>
      </c>
      <c r="N25" s="226">
        <f>24*20000</f>
        <v>480000</v>
      </c>
      <c r="O25" s="227"/>
      <c r="P25" s="304"/>
      <c r="Q25" s="309">
        <f ref="Q25:Q29" t="shared" si="12">SUM(L25:P25)</f>
        <v>4412502.617916</v>
      </c>
      <c r="R25" s="309">
        <f ref="R25:R29" t="shared" si="13">M25*0.1</f>
        <v>29129.6490216</v>
      </c>
      <c r="S25" s="310">
        <f ref="S25:S29" t="shared" si="14">Q25+R25</f>
        <v>4441632.2669376</v>
      </c>
      <c r="T25" s="311">
        <v>44409</v>
      </c>
      <c r="U25" s="312">
        <v>44500</v>
      </c>
      <c r="V25" s="231"/>
    </row>
    <row r="26" ht="18" customHeight="1" s="178" customFormat="1">
      <c r="A26" s="202" t="s">
        <v>64</v>
      </c>
      <c r="B26" s="1225" t="s">
        <v>523</v>
      </c>
      <c r="C26" s="1247" t="s">
        <v>524</v>
      </c>
      <c r="D26" s="205" t="s">
        <v>84</v>
      </c>
      <c r="E26" s="205" t="s">
        <v>495</v>
      </c>
      <c r="F26" s="205" t="s">
        <v>421</v>
      </c>
      <c r="G26" s="112">
        <v>3270093</v>
      </c>
      <c r="H26" s="224">
        <f t="shared" si="0"/>
        <v>159907.5477</v>
      </c>
      <c r="I26" s="224">
        <f t="shared" si="1"/>
        <v>130803.72</v>
      </c>
      <c r="J26" s="224">
        <f t="shared" si="2"/>
        <v>65401.86</v>
      </c>
      <c r="K26" s="224">
        <v>15000</v>
      </c>
      <c r="L26" s="304">
        <f t="shared" si="10"/>
        <v>3641206.1277</v>
      </c>
      <c r="M26" s="304">
        <f t="shared" si="11"/>
        <v>291296.490216</v>
      </c>
      <c r="N26" s="226">
        <f>26*20000</f>
        <v>520000</v>
      </c>
      <c r="O26" s="227"/>
      <c r="P26" s="304"/>
      <c r="Q26" s="309">
        <f t="shared" si="12"/>
        <v>4452502.617916</v>
      </c>
      <c r="R26" s="309">
        <f t="shared" si="13"/>
        <v>29129.6490216</v>
      </c>
      <c r="S26" s="310">
        <f t="shared" si="14"/>
        <v>4481632.2669376</v>
      </c>
      <c r="T26" s="311">
        <v>44336</v>
      </c>
      <c r="U26" s="312">
        <v>44439</v>
      </c>
      <c r="V26" s="231"/>
    </row>
    <row r="27" ht="18" customHeight="1" s="178" customFormat="1">
      <c r="A27" s="202" t="s">
        <v>64</v>
      </c>
      <c r="B27" s="1225" t="s">
        <v>525</v>
      </c>
      <c r="C27" s="1247" t="s">
        <v>526</v>
      </c>
      <c r="D27" s="205" t="s">
        <v>84</v>
      </c>
      <c r="E27" s="205" t="s">
        <v>495</v>
      </c>
      <c r="F27" s="205" t="s">
        <v>421</v>
      </c>
      <c r="G27" s="112">
        <v>3270093</v>
      </c>
      <c r="H27" s="224">
        <f t="shared" si="0"/>
        <v>159907.5477</v>
      </c>
      <c r="I27" s="224">
        <f t="shared" si="1"/>
        <v>130803.72</v>
      </c>
      <c r="J27" s="224">
        <f t="shared" si="2"/>
        <v>65401.86</v>
      </c>
      <c r="K27" s="224">
        <v>15000</v>
      </c>
      <c r="L27" s="304">
        <f t="shared" si="10"/>
        <v>3641206.1277</v>
      </c>
      <c r="M27" s="304">
        <f t="shared" si="11"/>
        <v>291296.490216</v>
      </c>
      <c r="N27" s="226">
        <f>21*20000</f>
        <v>420000</v>
      </c>
      <c r="O27" s="227"/>
      <c r="P27" s="304"/>
      <c r="Q27" s="309">
        <f t="shared" si="12"/>
        <v>4352502.617916</v>
      </c>
      <c r="R27" s="309">
        <f t="shared" si="13"/>
        <v>29129.6490216</v>
      </c>
      <c r="S27" s="310">
        <f t="shared" si="14"/>
        <v>4381632.2669376</v>
      </c>
      <c r="T27" s="311">
        <v>44337</v>
      </c>
      <c r="U27" s="312">
        <v>44439</v>
      </c>
      <c r="V27" s="231"/>
    </row>
    <row r="28" ht="18" customHeight="1" s="178" customFormat="1">
      <c r="A28" s="202" t="s">
        <v>59</v>
      </c>
      <c r="B28" s="331" t="s">
        <v>527</v>
      </c>
      <c r="C28" s="204" t="s">
        <v>528</v>
      </c>
      <c r="D28" s="205" t="s">
        <v>84</v>
      </c>
      <c r="E28" s="205" t="s">
        <v>495</v>
      </c>
      <c r="F28" s="205" t="s">
        <v>421</v>
      </c>
      <c r="G28" s="112">
        <v>3270093</v>
      </c>
      <c r="H28" s="224">
        <f t="shared" si="0"/>
        <v>159907.5477</v>
      </c>
      <c r="I28" s="224">
        <f t="shared" si="1"/>
        <v>130803.72</v>
      </c>
      <c r="J28" s="224">
        <f t="shared" si="2"/>
        <v>65401.86</v>
      </c>
      <c r="K28" s="224">
        <v>15000</v>
      </c>
      <c r="L28" s="304">
        <f t="shared" si="10"/>
        <v>3641206.1277</v>
      </c>
      <c r="M28" s="304">
        <f t="shared" si="11"/>
        <v>291296.490216</v>
      </c>
      <c r="N28" s="226">
        <f>22*20000</f>
        <v>440000</v>
      </c>
      <c r="O28" s="227"/>
      <c r="P28" s="304"/>
      <c r="Q28" s="309">
        <f t="shared" si="12"/>
        <v>4372502.617916</v>
      </c>
      <c r="R28" s="309">
        <f t="shared" si="13"/>
        <v>29129.6490216</v>
      </c>
      <c r="S28" s="310">
        <f t="shared" si="14"/>
        <v>4401632.2669376</v>
      </c>
      <c r="T28" s="311">
        <v>44340</v>
      </c>
      <c r="U28" s="312">
        <v>44439</v>
      </c>
      <c r="V28" s="231"/>
    </row>
    <row r="29" ht="18" customHeight="1" s="178" customFormat="1">
      <c r="A29" s="202" t="s">
        <v>64</v>
      </c>
      <c r="B29" s="1225" t="s">
        <v>529</v>
      </c>
      <c r="C29" s="1247" t="s">
        <v>530</v>
      </c>
      <c r="D29" s="205" t="s">
        <v>84</v>
      </c>
      <c r="E29" s="205" t="s">
        <v>495</v>
      </c>
      <c r="F29" s="205" t="s">
        <v>421</v>
      </c>
      <c r="G29" s="112">
        <v>3270093</v>
      </c>
      <c r="H29" s="224">
        <f t="shared" si="0"/>
        <v>159907.5477</v>
      </c>
      <c r="I29" s="224">
        <f t="shared" si="1"/>
        <v>130803.72</v>
      </c>
      <c r="J29" s="224">
        <f t="shared" si="2"/>
        <v>65401.86</v>
      </c>
      <c r="K29" s="224">
        <v>15000</v>
      </c>
      <c r="L29" s="304">
        <f t="shared" si="10"/>
        <v>3641206.1277</v>
      </c>
      <c r="M29" s="304">
        <f t="shared" si="11"/>
        <v>291296.490216</v>
      </c>
      <c r="N29" s="226">
        <f>24*20000</f>
        <v>480000</v>
      </c>
      <c r="O29" s="227"/>
      <c r="P29" s="304"/>
      <c r="Q29" s="309">
        <f t="shared" si="12"/>
        <v>4412502.617916</v>
      </c>
      <c r="R29" s="309">
        <f t="shared" si="13"/>
        <v>29129.6490216</v>
      </c>
      <c r="S29" s="310">
        <f t="shared" si="14"/>
        <v>4441632.2669376</v>
      </c>
      <c r="T29" s="311">
        <v>44343</v>
      </c>
      <c r="U29" s="312">
        <v>44439</v>
      </c>
      <c r="V29" s="231"/>
    </row>
    <row r="30" ht="18" customHeight="1" s="178" customFormat="1">
      <c r="A30" s="202" t="s">
        <v>64</v>
      </c>
      <c r="B30" s="1225" t="s">
        <v>531</v>
      </c>
      <c r="C30" s="1247" t="s">
        <v>532</v>
      </c>
      <c r="D30" s="205" t="s">
        <v>84</v>
      </c>
      <c r="E30" s="205" t="s">
        <v>495</v>
      </c>
      <c r="F30" s="205" t="s">
        <v>421</v>
      </c>
      <c r="G30" s="112">
        <v>3270093</v>
      </c>
      <c r="H30" s="224">
        <f t="shared" si="0"/>
        <v>159907.5477</v>
      </c>
      <c r="I30" s="224">
        <f t="shared" si="1"/>
        <v>130803.72</v>
      </c>
      <c r="J30" s="224">
        <f t="shared" si="2"/>
        <v>65401.86</v>
      </c>
      <c r="K30" s="224">
        <v>15000</v>
      </c>
      <c r="L30" s="304">
        <f t="shared" si="4"/>
        <v>3641206.1277</v>
      </c>
      <c r="M30" s="304">
        <f t="shared" si="5"/>
        <v>291296.490216</v>
      </c>
      <c r="N30" s="226">
        <f>24*20000</f>
        <v>480000</v>
      </c>
      <c r="O30" s="227"/>
      <c r="P30" s="304"/>
      <c r="Q30" s="309">
        <f t="shared" si="6"/>
        <v>4412502.617916</v>
      </c>
      <c r="R30" s="309">
        <f t="shared" si="7"/>
        <v>29129.6490216</v>
      </c>
      <c r="S30" s="310">
        <f t="shared" si="8"/>
        <v>4441632.2669376</v>
      </c>
      <c r="T30" s="311">
        <v>44346</v>
      </c>
      <c r="U30" s="312">
        <v>44439</v>
      </c>
      <c r="V30" s="231"/>
    </row>
    <row r="31" ht="18" customHeight="1" s="178" customFormat="1">
      <c r="A31" s="202" t="s">
        <v>64</v>
      </c>
      <c r="B31" s="1225" t="s">
        <v>533</v>
      </c>
      <c r="C31" s="1247" t="s">
        <v>534</v>
      </c>
      <c r="D31" s="205" t="s">
        <v>84</v>
      </c>
      <c r="E31" s="205" t="s">
        <v>495</v>
      </c>
      <c r="F31" s="205" t="s">
        <v>421</v>
      </c>
      <c r="G31" s="112">
        <v>3270093</v>
      </c>
      <c r="H31" s="224">
        <f t="shared" si="0"/>
        <v>159907.5477</v>
      </c>
      <c r="I31" s="224">
        <f t="shared" si="1"/>
        <v>130803.72</v>
      </c>
      <c r="J31" s="224">
        <f t="shared" si="2"/>
        <v>65401.86</v>
      </c>
      <c r="K31" s="224">
        <v>15000</v>
      </c>
      <c r="L31" s="304">
        <f>SUM(G31:K31)</f>
        <v>3641206.1277</v>
      </c>
      <c r="M31" s="304">
        <f>+L31*8%</f>
        <v>291296.490216</v>
      </c>
      <c r="N31" s="226">
        <f>26*20000</f>
        <v>520000</v>
      </c>
      <c r="O31" s="227"/>
      <c r="P31" s="304"/>
      <c r="Q31" s="309">
        <f>SUM(L31:P31)</f>
        <v>4452502.617916</v>
      </c>
      <c r="R31" s="309">
        <f>M31*0.1</f>
        <v>29129.6490216</v>
      </c>
      <c r="S31" s="310">
        <f>Q31+R31</f>
        <v>4481632.2669376</v>
      </c>
      <c r="T31" s="311">
        <v>44361</v>
      </c>
      <c r="U31" s="312">
        <v>44439</v>
      </c>
      <c r="V31" s="231"/>
    </row>
    <row r="32" ht="18" customHeight="1" s="178" customFormat="1">
      <c r="A32" s="202" t="s">
        <v>59</v>
      </c>
      <c r="B32" s="331" t="s">
        <v>535</v>
      </c>
      <c r="C32" s="204" t="s">
        <v>536</v>
      </c>
      <c r="D32" s="205" t="s">
        <v>84</v>
      </c>
      <c r="E32" s="205" t="s">
        <v>495</v>
      </c>
      <c r="F32" s="205" t="s">
        <v>421</v>
      </c>
      <c r="G32" s="112">
        <v>3270093</v>
      </c>
      <c r="H32" s="224">
        <f t="shared" si="0"/>
        <v>159907.5477</v>
      </c>
      <c r="I32" s="224">
        <f t="shared" si="1"/>
        <v>130803.72</v>
      </c>
      <c r="J32" s="224">
        <f t="shared" si="2"/>
        <v>65401.86</v>
      </c>
      <c r="K32" s="224">
        <v>15000</v>
      </c>
      <c r="L32" s="304">
        <f>SUM(G32:K32)</f>
        <v>3641206.1277</v>
      </c>
      <c r="M32" s="304">
        <f>+L32*8%</f>
        <v>291296.490216</v>
      </c>
      <c r="N32" s="226">
        <f>25*20000</f>
        <v>500000</v>
      </c>
      <c r="O32" s="227"/>
      <c r="P32" s="304"/>
      <c r="Q32" s="309">
        <f>SUM(L32:P32)</f>
        <v>4432502.617916</v>
      </c>
      <c r="R32" s="309">
        <f>M32*0.1</f>
        <v>29129.6490216</v>
      </c>
      <c r="S32" s="310">
        <f>Q32+R32</f>
        <v>4461632.2669376</v>
      </c>
      <c r="T32" s="311">
        <v>44409</v>
      </c>
      <c r="U32" s="312">
        <v>44500</v>
      </c>
      <c r="V32" s="231"/>
    </row>
    <row r="33" ht="22.5" customHeight="1" s="180" customFormat="1">
      <c r="A33" s="1097" t="s">
        <v>87</v>
      </c>
      <c r="B33" s="1222"/>
      <c r="C33" s="1098"/>
      <c r="D33" s="1098"/>
      <c r="E33" s="1098"/>
      <c r="F33" s="1098"/>
      <c r="G33" s="356">
        <f>SUM(G11:G32)</f>
        <v>71942046</v>
      </c>
      <c r="H33" s="356">
        <f ref="H33:S33" t="shared" si="25">SUM(H11:H32)</f>
        <v>3517966.0494</v>
      </c>
      <c r="I33" s="356">
        <f t="shared" si="25"/>
        <v>2877681.84</v>
      </c>
      <c r="J33" s="356">
        <f t="shared" si="25"/>
        <v>1438840.92</v>
      </c>
      <c r="K33" s="356">
        <f t="shared" si="25"/>
        <v>330000</v>
      </c>
      <c r="L33" s="356">
        <f t="shared" si="25"/>
        <v>80106534.8094</v>
      </c>
      <c r="M33" s="356">
        <f t="shared" si="25"/>
        <v>6408522.784752</v>
      </c>
      <c r="N33" s="356">
        <f t="shared" si="25"/>
        <v>9680000</v>
      </c>
      <c r="O33" s="356">
        <f t="shared" si="25"/>
        <v>0</v>
      </c>
      <c r="P33" s="356">
        <f t="shared" si="25"/>
        <v>0</v>
      </c>
      <c r="Q33" s="356">
        <f>SUM(Q11:Q32)</f>
        <v>96195057.594152</v>
      </c>
      <c r="R33" s="356">
        <f t="shared" si="25"/>
        <v>640852.2784752</v>
      </c>
      <c r="S33" s="356">
        <f t="shared" si="25"/>
        <v>96835909.8726272</v>
      </c>
      <c r="T33" s="368"/>
      <c r="U33" s="369"/>
    </row>
    <row r="34" ht="14.25" customHeight="1" s="180" customFormat="1">
      <c r="A34" s="190" t="s">
        <v>87</v>
      </c>
      <c r="B34" s="1248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T34" s="212"/>
      <c r="U34" s="211"/>
    </row>
    <row r="35" ht="22.5" customHeight="1" s="180" customFormat="1">
      <c r="A35" s="1097" t="s">
        <v>87</v>
      </c>
      <c r="B35" s="1222"/>
      <c r="C35" s="1098"/>
      <c r="D35" s="1098"/>
      <c r="E35" s="1098"/>
      <c r="F35" s="1098"/>
      <c r="G35" s="356">
        <f>+G8+G33</f>
        <v>75212139</v>
      </c>
      <c r="H35" s="356">
        <f ref="H35:S35" t="shared" si="26">+H8+H33</f>
        <v>3677873.5971</v>
      </c>
      <c r="I35" s="356">
        <f t="shared" si="26"/>
        <v>3008485.56</v>
      </c>
      <c r="J35" s="356">
        <f t="shared" si="26"/>
        <v>1504242.78</v>
      </c>
      <c r="K35" s="356">
        <f t="shared" si="26"/>
        <v>345000</v>
      </c>
      <c r="L35" s="356">
        <f t="shared" si="26"/>
        <v>83747740.9371</v>
      </c>
      <c r="M35" s="356">
        <f t="shared" si="26"/>
        <v>6699819.274968</v>
      </c>
      <c r="N35" s="356">
        <f t="shared" si="26"/>
        <v>10680000</v>
      </c>
      <c r="O35" s="356">
        <f t="shared" si="26"/>
        <v>324000</v>
      </c>
      <c r="P35" s="356">
        <f t="shared" si="26"/>
        <v>0</v>
      </c>
      <c r="Q35" s="356">
        <f t="shared" si="26"/>
        <v>101451560.212068</v>
      </c>
      <c r="R35" s="356">
        <f t="shared" si="26"/>
        <v>669981.9274968</v>
      </c>
      <c r="S35" s="356">
        <f t="shared" si="26"/>
        <v>102121542.139565</v>
      </c>
      <c r="T35" s="368"/>
      <c r="U35" s="369"/>
    </row>
    <row r="36" s="178" customFormat="1">
      <c r="A36" s="190" t="s">
        <v>87</v>
      </c>
      <c r="B36" s="1248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229"/>
      <c r="P36" s="230"/>
      <c r="Q36" s="187"/>
    </row>
    <row r="37" s="178" customFormat="1">
      <c r="A37" s="178" t="s">
        <v>87</v>
      </c>
      <c r="B37" s="1178"/>
      <c r="C37" s="214" t="str">
        <f>+'BANJARMASIN '!C102</f>
        <v>Karawang,  16 Agustus 2020</v>
      </c>
      <c r="D37" s="189"/>
      <c r="E37" s="189"/>
      <c r="F37" s="189"/>
      <c r="G37" s="190"/>
      <c r="L37" s="231"/>
      <c r="M37" s="231"/>
      <c r="N37" s="231"/>
      <c r="O37" s="231"/>
      <c r="P37" s="230"/>
      <c r="Q37" s="242"/>
    </row>
    <row r="38" s="178" customFormat="1">
      <c r="A38" s="213" t="s">
        <v>87</v>
      </c>
      <c r="B38" s="1178"/>
      <c r="C38" s="189"/>
      <c r="D38" s="189"/>
      <c r="E38" s="189"/>
      <c r="F38" s="189"/>
      <c r="G38" s="190"/>
      <c r="M38" s="229"/>
      <c r="N38" s="229"/>
      <c r="O38" s="229"/>
      <c r="P38" s="230"/>
      <c r="Q38" s="242"/>
    </row>
    <row r="39" s="178" customFormat="1">
      <c r="A39" s="178" t="s">
        <v>87</v>
      </c>
      <c r="B39" s="1178"/>
      <c r="C39" s="189" t="s">
        <v>232</v>
      </c>
      <c r="D39" s="189"/>
      <c r="F39" s="215"/>
      <c r="G39" s="190"/>
      <c r="K39" s="229"/>
      <c r="L39" s="181" t="s">
        <v>233</v>
      </c>
      <c r="M39" s="231"/>
      <c r="N39" s="181"/>
      <c r="O39" s="190"/>
      <c r="Q39" s="242"/>
    </row>
    <row r="40" s="178" customFormat="1">
      <c r="A40" s="178" t="s">
        <v>87</v>
      </c>
      <c r="B40" s="1178"/>
      <c r="C40" s="189"/>
      <c r="D40" s="189"/>
      <c r="F40" s="215"/>
      <c r="G40" s="190"/>
      <c r="H40" s="190"/>
      <c r="K40" s="229"/>
      <c r="Q40" s="242"/>
    </row>
    <row r="41" s="178" customFormat="1">
      <c r="A41" s="178" t="s">
        <v>87</v>
      </c>
      <c r="B41" s="1178"/>
      <c r="C41" s="189"/>
      <c r="D41" s="189"/>
      <c r="F41" s="215"/>
      <c r="G41" s="190"/>
      <c r="H41" s="190"/>
      <c r="K41" s="229"/>
      <c r="M41" s="230"/>
      <c r="Q41" s="242"/>
    </row>
    <row r="42" s="178" customFormat="1">
      <c r="A42" s="178" t="s">
        <v>87</v>
      </c>
      <c r="B42" s="1178"/>
      <c r="C42" s="189"/>
      <c r="D42" s="189"/>
      <c r="F42" s="215"/>
      <c r="G42" s="190"/>
      <c r="H42" s="190"/>
      <c r="K42" s="229"/>
      <c r="M42" s="231"/>
      <c r="Q42" s="242"/>
    </row>
    <row r="43" s="178" customFormat="1">
      <c r="A43" s="178" t="s">
        <v>87</v>
      </c>
      <c r="B43" s="1178"/>
      <c r="C43" s="189"/>
      <c r="D43" s="189"/>
      <c r="F43" s="215"/>
      <c r="G43" s="190"/>
      <c r="H43" s="190"/>
      <c r="K43" s="229"/>
      <c r="Q43" s="242"/>
    </row>
    <row r="44" s="178" customFormat="1">
      <c r="A44" s="178" t="s">
        <v>87</v>
      </c>
      <c r="B44" s="1178"/>
      <c r="C44" s="189"/>
      <c r="D44" s="189"/>
      <c r="F44" s="215"/>
      <c r="G44" s="190"/>
      <c r="H44" s="190"/>
      <c r="K44" s="229"/>
      <c r="P44" s="189"/>
      <c r="Q44" s="243"/>
    </row>
    <row r="45" s="178" customFormat="1">
      <c r="A45" s="181" t="s">
        <v>87</v>
      </c>
      <c r="B45" s="1178"/>
      <c r="C45" s="189"/>
      <c r="D45" s="189"/>
      <c r="F45" s="189"/>
      <c r="G45" s="190"/>
      <c r="H45" s="190"/>
      <c r="K45" s="229"/>
      <c r="Q45" s="243"/>
    </row>
    <row r="46" s="181" customFormat="1">
      <c r="A46" s="181" t="s">
        <v>87</v>
      </c>
      <c r="B46" s="1190"/>
      <c r="C46" s="214" t="s">
        <v>234</v>
      </c>
      <c r="D46" s="189"/>
      <c r="E46" s="189"/>
      <c r="F46" s="214"/>
      <c r="G46" s="190"/>
      <c r="H46" s="190"/>
      <c r="I46" s="232" t="s">
        <v>235</v>
      </c>
      <c r="L46" s="213" t="s">
        <v>236</v>
      </c>
      <c r="N46" s="214" t="s">
        <v>237</v>
      </c>
      <c r="P46" s="213" t="s">
        <v>238</v>
      </c>
      <c r="Q46" s="243"/>
      <c r="R46" s="213" t="s">
        <v>238</v>
      </c>
    </row>
    <row r="47" s="181" customFormat="1">
      <c r="A47" s="181" t="s">
        <v>87</v>
      </c>
      <c r="B47" s="1191"/>
      <c r="C47" s="188"/>
      <c r="D47" s="189"/>
      <c r="E47" s="189"/>
      <c r="F47" s="189"/>
      <c r="G47" s="190"/>
      <c r="L47" s="190"/>
      <c r="Q47" s="189"/>
    </row>
    <row r="48" s="181" customFormat="1">
      <c r="A48" s="181" t="s">
        <v>87</v>
      </c>
      <c r="B48" s="1191"/>
      <c r="C48" s="188"/>
      <c r="D48" s="189"/>
      <c r="E48" s="189"/>
      <c r="F48" s="189"/>
      <c r="G48" s="190"/>
      <c r="L48" s="190"/>
      <c r="Q48" s="189"/>
    </row>
    <row r="49" s="181" customFormat="1">
      <c r="A49" s="181" t="s">
        <v>87</v>
      </c>
      <c r="B49" s="1191"/>
      <c r="C49" s="188"/>
      <c r="D49" s="189"/>
      <c r="E49" s="189"/>
      <c r="F49" s="189"/>
      <c r="G49" s="190"/>
      <c r="L49" s="190"/>
      <c r="Q49" s="189"/>
    </row>
    <row r="50" s="181" customFormat="1">
      <c r="A50" s="181" t="s">
        <v>87</v>
      </c>
      <c r="B50" s="1191"/>
      <c r="C50" s="188"/>
      <c r="D50" s="189"/>
      <c r="E50" s="189"/>
      <c r="F50" s="189"/>
      <c r="G50" s="190"/>
      <c r="L50" s="190"/>
      <c r="T50" s="189"/>
      <c r="U50" s="189"/>
    </row>
    <row r="51" s="181" customFormat="1">
      <c r="A51" s="181" t="s">
        <v>87</v>
      </c>
      <c r="B51" s="1191"/>
      <c r="C51" s="188"/>
      <c r="D51" s="189"/>
      <c r="E51" s="189"/>
      <c r="F51" s="189"/>
      <c r="G51" s="190"/>
      <c r="L51" s="190"/>
      <c r="T51" s="189"/>
      <c r="U51" s="189"/>
    </row>
    <row r="52" s="181" customFormat="1">
      <c r="A52" s="181" t="s">
        <v>87</v>
      </c>
      <c r="B52" s="1191"/>
      <c r="C52" s="188"/>
      <c r="F52" s="215"/>
    </row>
    <row r="53" s="181" customFormat="1">
      <c r="A53" s="181" t="s">
        <v>87</v>
      </c>
      <c r="B53" s="1191"/>
      <c r="C53" s="188"/>
      <c r="F53" s="215"/>
    </row>
    <row r="54">
      <c r="A54" s="182" t="s">
        <v>87</v>
      </c>
      <c r="B54" s="1191"/>
    </row>
    <row r="55">
      <c r="H55" s="357"/>
    </row>
  </sheetData>
  <mergeCells>
    <mergeCell ref="A8:F8"/>
    <mergeCell ref="A33:F33"/>
    <mergeCell ref="A35:F35"/>
  </mergeCells>
  <printOptions horizontalCentered="1"/>
  <pageMargins left="0" right="0" top="0.75" bottom="0.75" header="0.3" footer="0.3"/>
  <pageSetup paperSize="9" scale="63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3">
    <tabColor theme="4" tint="-0.499984740745262"/>
  </sheetPr>
  <dimension ref="A1:X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F1" sqref="E1:F104857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6.7109375" customWidth="1" style="183"/>
    <col min="5" max="5" hidden="1" width="8.5703125" customWidth="1" style="183"/>
    <col min="6" max="6" hidden="1" width="8.42578125" customWidth="1" style="183"/>
    <col min="7" max="7" width="10.5703125" customWidth="1" style="185"/>
    <col min="8" max="11" width="12" customWidth="1" style="182"/>
    <col min="12" max="12" width="12" customWidth="1" style="185"/>
    <col min="13" max="13" width="12" customWidth="1" style="182"/>
    <col min="14" max="16" width="9.5703125" customWidth="1" style="182"/>
    <col min="17" max="17" width="10.5703125" customWidth="1" style="182"/>
    <col min="18" max="18" width="9.5703125" customWidth="1" style="182"/>
    <col min="19" max="19" width="13.28515625" customWidth="1" style="182"/>
    <col min="20" max="20" width="10" customWidth="1" style="183"/>
    <col min="21" max="21" width="9.570312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477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2788826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478</v>
      </c>
      <c r="C7" s="204" t="s">
        <v>479</v>
      </c>
      <c r="D7" s="205" t="s">
        <v>84</v>
      </c>
      <c r="E7" s="205" t="s">
        <v>480</v>
      </c>
      <c r="F7" s="205" t="s">
        <v>421</v>
      </c>
      <c r="G7" s="112">
        <v>2788826</v>
      </c>
      <c r="H7" s="329">
        <f>+$G$4*4.89%</f>
        <v>136373.5914</v>
      </c>
      <c r="I7" s="332">
        <f>+$G$4*4%</f>
        <v>111553.04</v>
      </c>
      <c r="J7" s="332">
        <f>+$G$4*2%</f>
        <v>55776.52</v>
      </c>
      <c r="K7" s="332">
        <v>15000</v>
      </c>
      <c r="L7" s="225">
        <f>SUM(G7:K7)</f>
        <v>3107529.1514</v>
      </c>
      <c r="M7" s="225">
        <f>+L7*8%</f>
        <v>248602.332112</v>
      </c>
      <c r="N7" s="226">
        <f>22*20000</f>
        <v>440000</v>
      </c>
      <c r="O7" s="227"/>
      <c r="P7" s="225"/>
      <c r="Q7" s="236">
        <f>SUM(L7:P7)</f>
        <v>3796131.483512</v>
      </c>
      <c r="R7" s="236">
        <f>M7*0.1</f>
        <v>24860.2332112</v>
      </c>
      <c r="S7" s="237">
        <f>Q7+R7</f>
        <v>3820991.7167232</v>
      </c>
      <c r="T7" s="238">
        <v>44378</v>
      </c>
      <c r="U7" s="239">
        <v>44469</v>
      </c>
      <c r="V7" s="231"/>
      <c r="W7" s="345"/>
      <c r="X7" s="345"/>
    </row>
    <row r="8" ht="18" customHeight="1" s="178" customFormat="1">
      <c r="A8" s="330" t="s">
        <v>59</v>
      </c>
      <c r="B8" s="331" t="s">
        <v>481</v>
      </c>
      <c r="C8" s="204" t="s">
        <v>482</v>
      </c>
      <c r="D8" s="205" t="s">
        <v>84</v>
      </c>
      <c r="E8" s="205" t="s">
        <v>480</v>
      </c>
      <c r="F8" s="205" t="s">
        <v>421</v>
      </c>
      <c r="G8" s="112">
        <v>2788826</v>
      </c>
      <c r="H8" s="298">
        <f>+$G$4*4.89%</f>
        <v>136373.5914</v>
      </c>
      <c r="I8" s="224">
        <f>+$G$4*4%</f>
        <v>111553.04</v>
      </c>
      <c r="J8" s="224">
        <f>+$G$4*2%</f>
        <v>55776.52</v>
      </c>
      <c r="K8" s="332">
        <v>15000</v>
      </c>
      <c r="L8" s="304">
        <f>SUM(G8:K8)</f>
        <v>3107529.1514</v>
      </c>
      <c r="M8" s="304">
        <f>+L8*8%</f>
        <v>248602.332112</v>
      </c>
      <c r="N8" s="226">
        <f>25*20000</f>
        <v>500000</v>
      </c>
      <c r="O8" s="227"/>
      <c r="P8" s="304"/>
      <c r="Q8" s="309">
        <f>SUM(L8:P8)</f>
        <v>3856131.483512</v>
      </c>
      <c r="R8" s="309">
        <f>M8*0.1</f>
        <v>24860.2332112</v>
      </c>
      <c r="S8" s="310">
        <f>Q8+R8</f>
        <v>3880991.7167232</v>
      </c>
      <c r="T8" s="238">
        <v>44378</v>
      </c>
      <c r="U8" s="239">
        <v>44469</v>
      </c>
      <c r="V8" s="231"/>
      <c r="W8" s="345"/>
      <c r="X8" s="345"/>
    </row>
    <row r="9" ht="18" customHeight="1" s="178" customFormat="1">
      <c r="A9" s="330" t="s">
        <v>59</v>
      </c>
      <c r="B9" s="331" t="s">
        <v>483</v>
      </c>
      <c r="C9" s="204" t="s">
        <v>484</v>
      </c>
      <c r="D9" s="205" t="s">
        <v>84</v>
      </c>
      <c r="E9" s="205" t="s">
        <v>480</v>
      </c>
      <c r="F9" s="205" t="s">
        <v>421</v>
      </c>
      <c r="G9" s="112">
        <v>2788826</v>
      </c>
      <c r="H9" s="298">
        <f>+$G$4*4.89%</f>
        <v>136373.5914</v>
      </c>
      <c r="I9" s="224">
        <f>+$G$4*4%</f>
        <v>111553.04</v>
      </c>
      <c r="J9" s="224">
        <f>+$G$4*2%</f>
        <v>55776.52</v>
      </c>
      <c r="K9" s="332">
        <v>15000</v>
      </c>
      <c r="L9" s="304">
        <f>SUM(G9:K9)</f>
        <v>3107529.1514</v>
      </c>
      <c r="M9" s="304">
        <f>+L9*8%</f>
        <v>248602.332112</v>
      </c>
      <c r="N9" s="226">
        <f>25*20000</f>
        <v>500000</v>
      </c>
      <c r="O9" s="227"/>
      <c r="P9" s="304"/>
      <c r="Q9" s="309">
        <f>SUM(L9:P9)</f>
        <v>3856131.483512</v>
      </c>
      <c r="R9" s="309">
        <f>M9*0.1</f>
        <v>24860.2332112</v>
      </c>
      <c r="S9" s="310">
        <f>Q9+R9</f>
        <v>3880991.7167232</v>
      </c>
      <c r="T9" s="311">
        <v>44378</v>
      </c>
      <c r="U9" s="312">
        <v>44469</v>
      </c>
      <c r="V9" s="231"/>
      <c r="W9" s="345"/>
      <c r="X9" s="345"/>
    </row>
    <row r="10" ht="18" customHeight="1" s="178" customFormat="1">
      <c r="A10" s="330" t="s">
        <v>64</v>
      </c>
      <c r="B10" s="1225" t="s">
        <v>485</v>
      </c>
      <c r="C10" s="1247" t="s">
        <v>486</v>
      </c>
      <c r="D10" s="205" t="s">
        <v>84</v>
      </c>
      <c r="E10" s="205" t="s">
        <v>480</v>
      </c>
      <c r="F10" s="205" t="s">
        <v>421</v>
      </c>
      <c r="G10" s="112">
        <v>2788826</v>
      </c>
      <c r="H10" s="298">
        <f ref="H10:H13" t="shared" si="1">+$G$4*4.89%</f>
        <v>136373.5914</v>
      </c>
      <c r="I10" s="224">
        <f ref="I10:I13" t="shared" si="2">+$G$4*4%</f>
        <v>111553.04</v>
      </c>
      <c r="J10" s="224">
        <f ref="J10:J13" t="shared" si="3">+$G$4*2%</f>
        <v>55776.52</v>
      </c>
      <c r="K10" s="332">
        <v>15000</v>
      </c>
      <c r="L10" s="304">
        <f ref="L10:L13" t="shared" si="4">SUM(G10:K10)</f>
        <v>3107529.1514</v>
      </c>
      <c r="M10" s="304">
        <f ref="M10:M13" t="shared" si="5">+L10*8%</f>
        <v>248602.332112</v>
      </c>
      <c r="N10" s="226">
        <f>26*20000</f>
        <v>520000</v>
      </c>
      <c r="O10" s="227"/>
      <c r="P10" s="304"/>
      <c r="Q10" s="309">
        <f ref="Q10:Q13" t="shared" si="6">SUM(L10:P10)</f>
        <v>3876131.483512</v>
      </c>
      <c r="R10" s="309">
        <f ref="R10:R13" t="shared" si="7">M10*0.1</f>
        <v>24860.2332112</v>
      </c>
      <c r="S10" s="310">
        <f ref="S10:S13" t="shared" si="8">Q10+R10</f>
        <v>3900991.7167232</v>
      </c>
      <c r="T10" s="311">
        <v>44348</v>
      </c>
      <c r="U10" s="312">
        <v>44439</v>
      </c>
      <c r="V10" s="231"/>
      <c r="W10" s="345"/>
      <c r="X10" s="345"/>
    </row>
    <row r="11" ht="18" customHeight="1" s="178" customFormat="1">
      <c r="A11" s="330" t="s">
        <v>64</v>
      </c>
      <c r="B11" s="1225" t="s">
        <v>487</v>
      </c>
      <c r="C11" s="1247" t="s">
        <v>488</v>
      </c>
      <c r="D11" s="205" t="s">
        <v>84</v>
      </c>
      <c r="E11" s="205" t="s">
        <v>480</v>
      </c>
      <c r="F11" s="205" t="s">
        <v>421</v>
      </c>
      <c r="G11" s="112">
        <v>2788826</v>
      </c>
      <c r="H11" s="298">
        <f t="shared" si="1"/>
        <v>136373.5914</v>
      </c>
      <c r="I11" s="224">
        <f t="shared" si="2"/>
        <v>111553.04</v>
      </c>
      <c r="J11" s="224">
        <f t="shared" si="3"/>
        <v>55776.52</v>
      </c>
      <c r="K11" s="332">
        <v>15000</v>
      </c>
      <c r="L11" s="304">
        <f t="shared" si="4"/>
        <v>3107529.1514</v>
      </c>
      <c r="M11" s="304">
        <f t="shared" si="5"/>
        <v>248602.332112</v>
      </c>
      <c r="N11" s="226">
        <f>26*20000</f>
        <v>520000</v>
      </c>
      <c r="O11" s="227"/>
      <c r="P11" s="304"/>
      <c r="Q11" s="309">
        <f t="shared" si="6"/>
        <v>3876131.483512</v>
      </c>
      <c r="R11" s="309">
        <f t="shared" si="7"/>
        <v>24860.2332112</v>
      </c>
      <c r="S11" s="310">
        <f t="shared" si="8"/>
        <v>3900991.7167232</v>
      </c>
      <c r="T11" s="311">
        <v>44336</v>
      </c>
      <c r="U11" s="312">
        <v>44439</v>
      </c>
      <c r="V11" s="231"/>
      <c r="W11" s="345"/>
      <c r="X11" s="345"/>
    </row>
    <row r="12" ht="18" customHeight="1" s="178" customFormat="1">
      <c r="A12" s="330" t="s">
        <v>64</v>
      </c>
      <c r="B12" s="1225" t="s">
        <v>489</v>
      </c>
      <c r="C12" s="1247" t="s">
        <v>490</v>
      </c>
      <c r="D12" s="205" t="s">
        <v>84</v>
      </c>
      <c r="E12" s="205" t="s">
        <v>480</v>
      </c>
      <c r="F12" s="205" t="s">
        <v>421</v>
      </c>
      <c r="G12" s="112">
        <v>2788826</v>
      </c>
      <c r="H12" s="298">
        <f t="shared" si="1"/>
        <v>136373.5914</v>
      </c>
      <c r="I12" s="224">
        <f t="shared" si="2"/>
        <v>111553.04</v>
      </c>
      <c r="J12" s="224">
        <f t="shared" si="3"/>
        <v>55776.52</v>
      </c>
      <c r="K12" s="332">
        <v>15000</v>
      </c>
      <c r="L12" s="304">
        <f>SUM(G12:K12)</f>
        <v>3107529.1514</v>
      </c>
      <c r="M12" s="304">
        <f>+L12*8%</f>
        <v>248602.332112</v>
      </c>
      <c r="N12" s="226">
        <f>26*20000</f>
        <v>520000</v>
      </c>
      <c r="O12" s="227"/>
      <c r="P12" s="304"/>
      <c r="Q12" s="309">
        <f>SUM(L12:P12)</f>
        <v>3876131.483512</v>
      </c>
      <c r="R12" s="309">
        <f>M12*0.1</f>
        <v>24860.2332112</v>
      </c>
      <c r="S12" s="310">
        <f>Q12+R12</f>
        <v>3900991.7167232</v>
      </c>
      <c r="T12" s="311">
        <v>44336</v>
      </c>
      <c r="U12" s="312">
        <v>44439</v>
      </c>
      <c r="V12" s="231"/>
      <c r="W12" s="345"/>
      <c r="X12" s="345"/>
    </row>
    <row r="13" ht="18" customHeight="1" s="297" customFormat="1">
      <c r="A13" s="330" t="s">
        <v>64</v>
      </c>
      <c r="B13" s="1236">
        <v>2357</v>
      </c>
      <c r="C13" s="1249" t="s">
        <v>491</v>
      </c>
      <c r="D13" s="321" t="s">
        <v>84</v>
      </c>
      <c r="E13" s="321" t="s">
        <v>480</v>
      </c>
      <c r="F13" s="321" t="s">
        <v>421</v>
      </c>
      <c r="G13" s="322">
        <f>2788826/31*11</f>
        <v>989583.419354839</v>
      </c>
      <c r="H13" s="336">
        <f t="shared" si="1"/>
        <v>136373.5914</v>
      </c>
      <c r="I13" s="323">
        <f t="shared" si="2"/>
        <v>111553.04</v>
      </c>
      <c r="J13" s="323">
        <f t="shared" si="3"/>
        <v>55776.52</v>
      </c>
      <c r="K13" s="305">
        <v>15000</v>
      </c>
      <c r="L13" s="339">
        <f t="shared" si="4"/>
        <v>1308286.57075484</v>
      </c>
      <c r="M13" s="339">
        <f t="shared" si="5"/>
        <v>104662.925660387</v>
      </c>
      <c r="N13" s="327"/>
      <c r="O13" s="324"/>
      <c r="P13" s="339"/>
      <c r="Q13" s="340">
        <f t="shared" si="6"/>
        <v>1412949.49641523</v>
      </c>
      <c r="R13" s="340">
        <f t="shared" si="7"/>
        <v>10466.2925660387</v>
      </c>
      <c r="S13" s="341">
        <f t="shared" si="8"/>
        <v>1423415.78898126</v>
      </c>
      <c r="T13" s="342">
        <v>44413</v>
      </c>
      <c r="U13" s="343">
        <v>44500</v>
      </c>
      <c r="V13" s="317"/>
      <c r="W13" s="346"/>
      <c r="X13" s="346"/>
    </row>
    <row r="14" ht="18" customHeight="1" s="180" customFormat="1">
      <c r="A14" s="1061" t="s">
        <v>87</v>
      </c>
      <c r="B14" s="1188"/>
      <c r="C14" s="1062"/>
      <c r="D14" s="1062"/>
      <c r="E14" s="1062"/>
      <c r="F14" s="1087"/>
      <c r="G14" s="209">
        <f ref="G14:R14" t="shared" si="14">SUM(G7:G13)</f>
        <v>17722539.4193548</v>
      </c>
      <c r="H14" s="209">
        <f t="shared" si="14"/>
        <v>954615.1398</v>
      </c>
      <c r="I14" s="209">
        <f t="shared" si="14"/>
        <v>780871.28</v>
      </c>
      <c r="J14" s="209">
        <f t="shared" si="14"/>
        <v>390435.64</v>
      </c>
      <c r="K14" s="209">
        <f t="shared" si="14"/>
        <v>105000</v>
      </c>
      <c r="L14" s="209">
        <f t="shared" si="14"/>
        <v>19953461.4791548</v>
      </c>
      <c r="M14" s="209">
        <f t="shared" si="14"/>
        <v>1596276.91833239</v>
      </c>
      <c r="N14" s="209">
        <f t="shared" si="14"/>
        <v>3000000</v>
      </c>
      <c r="O14" s="209">
        <f t="shared" si="14"/>
        <v>0</v>
      </c>
      <c r="P14" s="209">
        <f t="shared" si="14"/>
        <v>0</v>
      </c>
      <c r="Q14" s="328">
        <f t="shared" si="14"/>
        <v>24549738.3974872</v>
      </c>
      <c r="R14" s="209">
        <f t="shared" si="14"/>
        <v>159627.691833239</v>
      </c>
      <c r="S14" s="328">
        <f>SUM(S7:S13)</f>
        <v>24709366.0893205</v>
      </c>
      <c r="T14" s="240"/>
      <c r="U14" s="241"/>
    </row>
    <row r="15" ht="14.25" customHeight="1" s="180" customFormat="1">
      <c r="A15" s="231" t="s">
        <v>87</v>
      </c>
      <c r="B15" s="1250"/>
      <c r="C15" s="231"/>
      <c r="D15" s="231"/>
      <c r="E15" s="231"/>
      <c r="F15" s="231"/>
      <c r="G15" s="185"/>
      <c r="L15" s="228"/>
      <c r="T15" s="212"/>
      <c r="U15" s="211"/>
    </row>
    <row r="16" s="178" customFormat="1">
      <c r="A16" s="231" t="s">
        <v>87</v>
      </c>
      <c r="B16" s="1250"/>
      <c r="C16" s="231"/>
      <c r="D16" s="231"/>
      <c r="E16" s="231"/>
      <c r="F16" s="231"/>
      <c r="G16" s="190"/>
      <c r="M16" s="229"/>
      <c r="N16" s="229"/>
      <c r="O16" s="229"/>
      <c r="P16" s="230"/>
      <c r="Q16" s="187"/>
    </row>
    <row r="17" s="178" customFormat="1">
      <c r="A17" s="178" t="s">
        <v>87</v>
      </c>
      <c r="B17" s="1178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0"/>
      <c r="Q17" s="242"/>
    </row>
    <row r="18" s="178" customFormat="1">
      <c r="A18" s="213" t="s">
        <v>87</v>
      </c>
      <c r="B18" s="1178"/>
      <c r="C18" s="189"/>
      <c r="D18" s="189"/>
      <c r="E18" s="189"/>
      <c r="F18" s="189"/>
      <c r="G18" s="190"/>
      <c r="M18" s="229"/>
      <c r="N18" s="229"/>
      <c r="O18" s="229"/>
      <c r="P18" s="230"/>
      <c r="Q18" s="242"/>
    </row>
    <row r="19" s="178" customFormat="1">
      <c r="A19" s="178" t="s">
        <v>87</v>
      </c>
      <c r="B19" s="1178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90"/>
      <c r="Q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Q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0"/>
      <c r="Q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M22" s="231"/>
      <c r="Q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242"/>
    </row>
    <row r="24" s="178" customFormat="1">
      <c r="A24" s="178" t="s">
        <v>87</v>
      </c>
      <c r="B24" s="1178"/>
      <c r="C24" s="189"/>
      <c r="D24" s="189"/>
      <c r="F24" s="215"/>
      <c r="G24" s="190"/>
      <c r="H24" s="190"/>
      <c r="K24" s="229"/>
      <c r="P24" s="189"/>
      <c r="Q24" s="243"/>
    </row>
    <row r="25" s="178" customFormat="1">
      <c r="A25" s="181" t="s">
        <v>87</v>
      </c>
      <c r="B25" s="1178"/>
      <c r="C25" s="189"/>
      <c r="D25" s="189"/>
      <c r="F25" s="189"/>
      <c r="G25" s="190"/>
      <c r="H25" s="190"/>
      <c r="K25" s="229"/>
      <c r="Q25" s="243"/>
    </row>
    <row r="26" s="181" customFormat="1">
      <c r="A26" s="181" t="s">
        <v>87</v>
      </c>
      <c r="B26" s="1190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Q26" s="213" t="s">
        <v>238</v>
      </c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Q28" s="189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Q29" s="189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1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 s="181" customFormat="1">
      <c r="A36" s="181" t="s">
        <v>87</v>
      </c>
      <c r="B36" s="1191"/>
      <c r="F36" s="215"/>
    </row>
    <row r="37" s="181" customFormat="1">
      <c r="A37" s="181" t="s">
        <v>87</v>
      </c>
      <c r="B37" s="1191"/>
      <c r="F37" s="215"/>
    </row>
    <row r="38" s="181" customFormat="1">
      <c r="A38" s="181" t="s">
        <v>87</v>
      </c>
      <c r="B38" s="1191"/>
      <c r="F38" s="215"/>
    </row>
    <row r="39" s="181" customFormat="1">
      <c r="A39" s="181" t="s">
        <v>87</v>
      </c>
      <c r="B39" s="1191"/>
      <c r="F39" s="215"/>
    </row>
    <row r="40">
      <c r="A40" s="182" t="s">
        <v>87</v>
      </c>
      <c r="B40" s="1191"/>
      <c r="C40" s="182"/>
      <c r="D40" s="182"/>
      <c r="E40" s="182"/>
      <c r="F40" s="217"/>
      <c r="G40" s="182"/>
      <c r="L40" s="182"/>
      <c r="T40" s="182"/>
      <c r="U40" s="182"/>
    </row>
    <row r="41">
      <c r="C41" s="182"/>
      <c r="D41" s="182"/>
      <c r="E41" s="182"/>
      <c r="F41" s="217"/>
      <c r="G41" s="182"/>
      <c r="L41" s="182"/>
      <c r="T41" s="182"/>
      <c r="U41" s="182"/>
    </row>
  </sheetData>
  <mergeCells>
    <mergeCell ref="A14:F14"/>
  </mergeCells>
  <printOptions horizontalCentered="1"/>
  <pageMargins left="0.16" right="0.17" top="0.75" bottom="0.75" header="0.3" footer="0.3"/>
  <pageSetup paperSize="9" scale="65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4">
    <tabColor theme="4" tint="-0.499984740745262"/>
  </sheetPr>
  <dimension ref="A1:V41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I18" sqref="I18"/>
    </sheetView>
  </sheetViews>
  <sheetFormatPr defaultColWidth="9.140625" defaultRowHeight="12"/>
  <cols>
    <col min="1" max="1" width="4.7109375" customWidth="1" style="182"/>
    <col min="2" max="2" width="5" customWidth="1" style="183"/>
    <col min="3" max="3" width="21" customWidth="1" style="184"/>
    <col min="4" max="4" width="7.85546875" customWidth="1" style="183"/>
    <col min="5" max="5" hidden="1" width="7.5703125" customWidth="1" style="183"/>
    <col min="6" max="6" hidden="1" width="10.28515625" customWidth="1" style="183"/>
    <col min="7" max="7" width="13.28515625" customWidth="1" style="185"/>
    <col min="8" max="10" width="12" customWidth="1" style="182"/>
    <col min="11" max="11" width="11.7109375" customWidth="1" style="182"/>
    <col min="12" max="12" width="12" customWidth="1" style="185"/>
    <col min="13" max="13" width="12" customWidth="1" style="182"/>
    <col min="14" max="14" width="9.28515625" customWidth="1" style="182"/>
    <col min="15" max="16" hidden="1" width="9.28515625" customWidth="1" style="182"/>
    <col min="17" max="19" width="11" customWidth="1" style="182"/>
    <col min="20" max="21" width="9.71093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465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2900000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466</v>
      </c>
      <c r="C7" s="204" t="s">
        <v>467</v>
      </c>
      <c r="D7" s="205" t="s">
        <v>84</v>
      </c>
      <c r="E7" s="205" t="s">
        <v>468</v>
      </c>
      <c r="F7" s="205" t="s">
        <v>421</v>
      </c>
      <c r="G7" s="112">
        <v>2900000</v>
      </c>
      <c r="H7" s="298">
        <f ref="H7:H13" t="shared" si="0">+$G$4*4.89%</f>
        <v>141810</v>
      </c>
      <c r="I7" s="224">
        <f ref="I7:I13" t="shared" si="1">+$G$4*4%</f>
        <v>116000</v>
      </c>
      <c r="J7" s="224">
        <f ref="J7:J13" t="shared" si="2">+$G$4*2%</f>
        <v>58000</v>
      </c>
      <c r="K7" s="224">
        <v>15000</v>
      </c>
      <c r="L7" s="304">
        <f ref="L7:L13" t="shared" si="3">SUM(G7:K7)</f>
        <v>3230810</v>
      </c>
      <c r="M7" s="304">
        <f ref="M7:M13" t="shared" si="4">+L7*8%</f>
        <v>258464.8</v>
      </c>
      <c r="N7" s="226">
        <f>24*20000</f>
        <v>480000</v>
      </c>
      <c r="O7" s="227"/>
      <c r="P7" s="304"/>
      <c r="Q7" s="309">
        <f ref="Q7:Q13" t="shared" si="5">SUM(L7:P7)</f>
        <v>3969274.8</v>
      </c>
      <c r="R7" s="309">
        <f ref="R7:R13" t="shared" si="6">M7*0.1</f>
        <v>25846.48</v>
      </c>
      <c r="S7" s="310">
        <f ref="S7:S13" t="shared" si="7">Q7+R7</f>
        <v>3995121.28</v>
      </c>
      <c r="T7" s="311">
        <v>44378</v>
      </c>
      <c r="U7" s="312">
        <v>44469</v>
      </c>
      <c r="V7" s="231"/>
    </row>
    <row r="8" ht="18" customHeight="1" s="178" customFormat="1">
      <c r="A8" s="202" t="s">
        <v>59</v>
      </c>
      <c r="B8" s="203" t="s">
        <v>469</v>
      </c>
      <c r="C8" s="204" t="s">
        <v>470</v>
      </c>
      <c r="D8" s="205" t="s">
        <v>84</v>
      </c>
      <c r="E8" s="205" t="s">
        <v>468</v>
      </c>
      <c r="F8" s="205" t="s">
        <v>421</v>
      </c>
      <c r="G8" s="112">
        <v>2900000</v>
      </c>
      <c r="H8" s="298">
        <f t="shared" si="0"/>
        <v>141810</v>
      </c>
      <c r="I8" s="224">
        <f t="shared" si="1"/>
        <v>116000</v>
      </c>
      <c r="J8" s="224">
        <f t="shared" si="2"/>
        <v>58000</v>
      </c>
      <c r="K8" s="224">
        <v>15000</v>
      </c>
      <c r="L8" s="304">
        <f t="shared" si="3"/>
        <v>3230810</v>
      </c>
      <c r="M8" s="304">
        <f t="shared" si="4"/>
        <v>258464.8</v>
      </c>
      <c r="N8" s="226">
        <f>24*20000</f>
        <v>480000</v>
      </c>
      <c r="O8" s="227"/>
      <c r="P8" s="304"/>
      <c r="Q8" s="309">
        <f t="shared" si="5"/>
        <v>3969274.8</v>
      </c>
      <c r="R8" s="309">
        <f t="shared" si="6"/>
        <v>25846.48</v>
      </c>
      <c r="S8" s="310">
        <f t="shared" si="7"/>
        <v>3995121.28</v>
      </c>
      <c r="T8" s="311">
        <v>44348</v>
      </c>
      <c r="U8" s="312">
        <v>44438</v>
      </c>
      <c r="V8" s="231"/>
    </row>
    <row r="9" ht="18" customHeight="1" s="178" customFormat="1">
      <c r="A9" s="202" t="s">
        <v>59</v>
      </c>
      <c r="B9" s="333" t="s">
        <v>471</v>
      </c>
      <c r="C9" s="334" t="s">
        <v>472</v>
      </c>
      <c r="D9" s="335" t="s">
        <v>84</v>
      </c>
      <c r="E9" s="335" t="s">
        <v>468</v>
      </c>
      <c r="F9" s="335" t="s">
        <v>421</v>
      </c>
      <c r="G9" s="112">
        <v>2900000</v>
      </c>
      <c r="H9" s="329">
        <f t="shared" si="0"/>
        <v>141810</v>
      </c>
      <c r="I9" s="332">
        <f t="shared" si="1"/>
        <v>116000</v>
      </c>
      <c r="J9" s="332">
        <f t="shared" si="2"/>
        <v>58000</v>
      </c>
      <c r="K9" s="332">
        <v>15000</v>
      </c>
      <c r="L9" s="225">
        <f t="shared" si="3"/>
        <v>3230810</v>
      </c>
      <c r="M9" s="225">
        <f t="shared" si="4"/>
        <v>258464.8</v>
      </c>
      <c r="N9" s="337">
        <f>25*20000</f>
        <v>500000</v>
      </c>
      <c r="O9" s="338"/>
      <c r="P9" s="225"/>
      <c r="Q9" s="236">
        <f t="shared" si="5"/>
        <v>3989274.8</v>
      </c>
      <c r="R9" s="236">
        <f t="shared" si="6"/>
        <v>25846.48</v>
      </c>
      <c r="S9" s="237">
        <f t="shared" si="7"/>
        <v>4015121.28</v>
      </c>
      <c r="T9" s="238">
        <v>44378</v>
      </c>
      <c r="U9" s="239">
        <v>44469</v>
      </c>
      <c r="V9" s="231"/>
    </row>
    <row r="10" ht="18" customHeight="1" s="178" customFormat="1">
      <c r="A10" s="202" t="s">
        <v>59</v>
      </c>
      <c r="B10" s="203">
        <v>2100</v>
      </c>
      <c r="C10" s="204" t="s">
        <v>473</v>
      </c>
      <c r="D10" s="205" t="s">
        <v>84</v>
      </c>
      <c r="E10" s="205" t="s">
        <v>468</v>
      </c>
      <c r="F10" s="205" t="s">
        <v>421</v>
      </c>
      <c r="G10" s="112">
        <v>2900000</v>
      </c>
      <c r="H10" s="298">
        <f t="shared" si="0"/>
        <v>141810</v>
      </c>
      <c r="I10" s="224">
        <f t="shared" si="1"/>
        <v>116000</v>
      </c>
      <c r="J10" s="224">
        <f t="shared" si="2"/>
        <v>58000</v>
      </c>
      <c r="K10" s="224">
        <v>15000</v>
      </c>
      <c r="L10" s="304">
        <f t="shared" si="3"/>
        <v>3230810</v>
      </c>
      <c r="M10" s="304">
        <f t="shared" si="4"/>
        <v>258464.8</v>
      </c>
      <c r="N10" s="226">
        <f>22*20000</f>
        <v>440000</v>
      </c>
      <c r="O10" s="227"/>
      <c r="P10" s="304"/>
      <c r="Q10" s="309">
        <f t="shared" si="5"/>
        <v>3929274.8</v>
      </c>
      <c r="R10" s="309">
        <f t="shared" si="6"/>
        <v>25846.48</v>
      </c>
      <c r="S10" s="310">
        <f t="shared" si="7"/>
        <v>3955121.28</v>
      </c>
      <c r="T10" s="311">
        <v>44378</v>
      </c>
      <c r="U10" s="312">
        <v>44469</v>
      </c>
      <c r="V10" s="231"/>
    </row>
    <row r="11" ht="18" customHeight="1" s="178" customFormat="1">
      <c r="A11" s="202" t="s">
        <v>59</v>
      </c>
      <c r="B11" s="203">
        <v>2101</v>
      </c>
      <c r="C11" s="204" t="s">
        <v>474</v>
      </c>
      <c r="D11" s="205" t="s">
        <v>84</v>
      </c>
      <c r="E11" s="205" t="s">
        <v>468</v>
      </c>
      <c r="F11" s="205" t="s">
        <v>421</v>
      </c>
      <c r="G11" s="112">
        <v>2900000</v>
      </c>
      <c r="H11" s="298">
        <f t="shared" si="0"/>
        <v>141810</v>
      </c>
      <c r="I11" s="224">
        <f t="shared" si="1"/>
        <v>116000</v>
      </c>
      <c r="J11" s="224">
        <f t="shared" si="2"/>
        <v>58000</v>
      </c>
      <c r="K11" s="224">
        <v>15000</v>
      </c>
      <c r="L11" s="304">
        <f t="shared" si="3"/>
        <v>3230810</v>
      </c>
      <c r="M11" s="304">
        <f t="shared" si="4"/>
        <v>258464.8</v>
      </c>
      <c r="N11" s="226">
        <f>24*20000</f>
        <v>480000</v>
      </c>
      <c r="O11" s="227"/>
      <c r="P11" s="304"/>
      <c r="Q11" s="309">
        <f t="shared" si="5"/>
        <v>3969274.8</v>
      </c>
      <c r="R11" s="309">
        <f t="shared" si="6"/>
        <v>25846.48</v>
      </c>
      <c r="S11" s="310">
        <f t="shared" si="7"/>
        <v>3995121.28</v>
      </c>
      <c r="T11" s="311">
        <v>44378</v>
      </c>
      <c r="U11" s="312">
        <v>44469</v>
      </c>
      <c r="V11" s="231"/>
    </row>
    <row r="12" ht="18" customHeight="1" s="178" customFormat="1">
      <c r="A12" s="202" t="s">
        <v>59</v>
      </c>
      <c r="B12" s="203">
        <v>2138</v>
      </c>
      <c r="C12" s="204" t="s">
        <v>475</v>
      </c>
      <c r="D12" s="205" t="s">
        <v>84</v>
      </c>
      <c r="E12" s="205" t="s">
        <v>468</v>
      </c>
      <c r="F12" s="205" t="s">
        <v>421</v>
      </c>
      <c r="G12" s="112">
        <v>2900000</v>
      </c>
      <c r="H12" s="298">
        <f t="shared" si="0"/>
        <v>141810</v>
      </c>
      <c r="I12" s="224">
        <f t="shared" si="1"/>
        <v>116000</v>
      </c>
      <c r="J12" s="224">
        <f t="shared" si="2"/>
        <v>58000</v>
      </c>
      <c r="K12" s="224">
        <v>15000</v>
      </c>
      <c r="L12" s="304">
        <f>SUM(G12:K12)</f>
        <v>3230810</v>
      </c>
      <c r="M12" s="304">
        <f>+L12*8%</f>
        <v>258464.8</v>
      </c>
      <c r="N12" s="226">
        <f>23*20000</f>
        <v>460000</v>
      </c>
      <c r="O12" s="227"/>
      <c r="P12" s="304"/>
      <c r="Q12" s="309">
        <f>SUM(L12:P12)</f>
        <v>3949274.8</v>
      </c>
      <c r="R12" s="309">
        <f>M12*0.1</f>
        <v>25846.48</v>
      </c>
      <c r="S12" s="310">
        <f>Q12+R12</f>
        <v>3975121.28</v>
      </c>
      <c r="T12" s="311">
        <v>44409</v>
      </c>
      <c r="U12" s="312">
        <v>44500</v>
      </c>
      <c r="V12" s="231"/>
    </row>
    <row r="13" ht="18" customHeight="1" s="297" customFormat="1">
      <c r="A13" s="202" t="s">
        <v>64</v>
      </c>
      <c r="B13" s="1251">
        <v>2794</v>
      </c>
      <c r="C13" s="1249" t="s">
        <v>476</v>
      </c>
      <c r="D13" s="321" t="s">
        <v>84</v>
      </c>
      <c r="E13" s="321" t="s">
        <v>468</v>
      </c>
      <c r="F13" s="321" t="s">
        <v>421</v>
      </c>
      <c r="G13" s="322">
        <f>2900000/31*12</f>
        <v>1122580.64516129</v>
      </c>
      <c r="H13" s="336">
        <f t="shared" si="0"/>
        <v>141810</v>
      </c>
      <c r="I13" s="323">
        <f t="shared" si="1"/>
        <v>116000</v>
      </c>
      <c r="J13" s="323">
        <f t="shared" si="2"/>
        <v>58000</v>
      </c>
      <c r="K13" s="323">
        <v>15000</v>
      </c>
      <c r="L13" s="339">
        <f t="shared" si="3"/>
        <v>1453390.64516129</v>
      </c>
      <c r="M13" s="339">
        <f t="shared" si="4"/>
        <v>116271.251612903</v>
      </c>
      <c r="N13" s="327"/>
      <c r="O13" s="324"/>
      <c r="P13" s="339"/>
      <c r="Q13" s="340">
        <f t="shared" si="5"/>
        <v>1569661.89677419</v>
      </c>
      <c r="R13" s="340">
        <f t="shared" si="6"/>
        <v>11627.1251612903</v>
      </c>
      <c r="S13" s="341">
        <f t="shared" si="7"/>
        <v>1581289.02193548</v>
      </c>
      <c r="T13" s="342">
        <v>44412</v>
      </c>
      <c r="U13" s="343">
        <v>44500</v>
      </c>
      <c r="V13" s="317"/>
    </row>
    <row r="14" ht="18" customHeight="1" s="180" customFormat="1">
      <c r="A14" s="1061" t="s">
        <v>87</v>
      </c>
      <c r="B14" s="1188"/>
      <c r="C14" s="1062"/>
      <c r="D14" s="1062"/>
      <c r="E14" s="1062"/>
      <c r="F14" s="1087"/>
      <c r="G14" s="209">
        <f ref="G14:R14" t="shared" si="14">SUM(G7:G13)</f>
        <v>18522580.6451613</v>
      </c>
      <c r="H14" s="209">
        <f t="shared" si="14"/>
        <v>992670</v>
      </c>
      <c r="I14" s="209">
        <f t="shared" si="14"/>
        <v>812000</v>
      </c>
      <c r="J14" s="209">
        <f t="shared" si="14"/>
        <v>406000</v>
      </c>
      <c r="K14" s="209">
        <f t="shared" si="14"/>
        <v>105000</v>
      </c>
      <c r="L14" s="209">
        <f t="shared" si="14"/>
        <v>20838250.6451613</v>
      </c>
      <c r="M14" s="209">
        <f t="shared" si="14"/>
        <v>1667060.0516129</v>
      </c>
      <c r="N14" s="209">
        <f t="shared" si="14"/>
        <v>2840000</v>
      </c>
      <c r="O14" s="209">
        <f t="shared" si="14"/>
        <v>0</v>
      </c>
      <c r="P14" s="209">
        <f t="shared" si="14"/>
        <v>0</v>
      </c>
      <c r="Q14" s="328">
        <f t="shared" si="14"/>
        <v>25345310.6967742</v>
      </c>
      <c r="R14" s="209">
        <f t="shared" si="14"/>
        <v>166706.00516129</v>
      </c>
      <c r="S14" s="209">
        <f>SUM(S7:S13)</f>
        <v>25512016.7019355</v>
      </c>
      <c r="T14" s="240"/>
      <c r="U14" s="241"/>
    </row>
    <row r="15" ht="14.25" customHeight="1" s="180" customFormat="1">
      <c r="A15" s="231" t="s">
        <v>87</v>
      </c>
      <c r="B15" s="1250"/>
      <c r="C15" s="231"/>
      <c r="D15" s="231"/>
      <c r="E15" s="231"/>
      <c r="F15" s="231"/>
      <c r="G15" s="185"/>
      <c r="L15" s="228"/>
      <c r="T15" s="212"/>
      <c r="U15" s="211"/>
    </row>
    <row r="16" s="178" customFormat="1">
      <c r="A16" s="231" t="s">
        <v>87</v>
      </c>
      <c r="B16" s="1250"/>
      <c r="C16" s="231"/>
      <c r="D16" s="231"/>
      <c r="E16" s="231"/>
      <c r="F16" s="231"/>
      <c r="G16" s="190"/>
      <c r="M16" s="229"/>
      <c r="N16" s="229"/>
      <c r="O16" s="229"/>
      <c r="P16" s="230"/>
      <c r="Q16" s="187"/>
    </row>
    <row r="17" s="178" customFormat="1">
      <c r="A17" s="178" t="s">
        <v>87</v>
      </c>
      <c r="B17" s="1178"/>
      <c r="C17" s="214" t="str">
        <f>+'BANJARMASIN '!C102</f>
        <v>Karawang,  16 Agustus 2020</v>
      </c>
      <c r="D17" s="189"/>
      <c r="E17" s="189"/>
      <c r="F17" s="189"/>
      <c r="G17" s="190"/>
      <c r="L17" s="231"/>
      <c r="M17" s="231"/>
      <c r="N17" s="231"/>
      <c r="O17" s="231"/>
      <c r="P17" s="230"/>
      <c r="Q17" s="242"/>
    </row>
    <row r="18" s="178" customFormat="1">
      <c r="A18" s="213" t="s">
        <v>87</v>
      </c>
      <c r="B18" s="1178"/>
      <c r="C18" s="189"/>
      <c r="D18" s="189"/>
      <c r="E18" s="189"/>
      <c r="F18" s="189"/>
      <c r="G18" s="190"/>
      <c r="M18" s="229"/>
      <c r="N18" s="229"/>
      <c r="O18" s="229"/>
      <c r="P18" s="230"/>
      <c r="Q18" s="242"/>
    </row>
    <row r="19" s="178" customFormat="1">
      <c r="A19" s="178" t="s">
        <v>87</v>
      </c>
      <c r="B19" s="1178"/>
      <c r="C19" s="189" t="s">
        <v>232</v>
      </c>
      <c r="D19" s="189"/>
      <c r="F19" s="215"/>
      <c r="G19" s="190"/>
      <c r="K19" s="229"/>
      <c r="L19" s="181" t="s">
        <v>233</v>
      </c>
      <c r="M19" s="231"/>
      <c r="N19" s="181"/>
      <c r="O19" s="190"/>
      <c r="Q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Q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M21" s="230"/>
      <c r="Q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M22" s="231"/>
      <c r="Q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K23" s="229"/>
      <c r="Q23" s="242"/>
    </row>
    <row r="24" s="178" customFormat="1">
      <c r="A24" s="178" t="s">
        <v>87</v>
      </c>
      <c r="B24" s="1178"/>
      <c r="C24" s="189"/>
      <c r="D24" s="189"/>
      <c r="F24" s="215"/>
      <c r="G24" s="190"/>
      <c r="H24" s="190"/>
      <c r="K24" s="229"/>
      <c r="P24" s="189"/>
      <c r="Q24" s="243"/>
    </row>
    <row r="25" s="178" customFormat="1">
      <c r="A25" s="181" t="s">
        <v>87</v>
      </c>
      <c r="B25" s="1178"/>
      <c r="C25" s="189"/>
      <c r="D25" s="189"/>
      <c r="F25" s="189"/>
      <c r="G25" s="190"/>
      <c r="H25" s="190"/>
      <c r="K25" s="229"/>
      <c r="Q25" s="243"/>
    </row>
    <row r="26" s="181" customFormat="1">
      <c r="A26" s="181" t="s">
        <v>87</v>
      </c>
      <c r="B26" s="1190"/>
      <c r="C26" s="214" t="s">
        <v>234</v>
      </c>
      <c r="D26" s="189"/>
      <c r="E26" s="189"/>
      <c r="F26" s="214"/>
      <c r="G26" s="190"/>
      <c r="H26" s="190"/>
      <c r="I26" s="232" t="s">
        <v>235</v>
      </c>
      <c r="L26" s="213" t="s">
        <v>236</v>
      </c>
      <c r="N26" s="214" t="s">
        <v>237</v>
      </c>
      <c r="Q26" s="243"/>
      <c r="R26" s="213" t="s">
        <v>238</v>
      </c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Q28" s="189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L29" s="190"/>
      <c r="Q29" s="189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L30" s="190"/>
      <c r="T30" s="189"/>
      <c r="U30" s="189"/>
    </row>
    <row r="31" s="181" customFormat="1">
      <c r="A31" s="181" t="s">
        <v>87</v>
      </c>
      <c r="B31" s="1191"/>
      <c r="C31" s="188"/>
      <c r="D31" s="189"/>
      <c r="E31" s="189"/>
      <c r="F31" s="189"/>
      <c r="G31" s="190"/>
      <c r="L31" s="190"/>
      <c r="T31" s="189"/>
      <c r="U31" s="189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 s="181" customFormat="1">
      <c r="A36" s="181" t="s">
        <v>87</v>
      </c>
      <c r="B36" s="1191"/>
      <c r="F36" s="215"/>
    </row>
    <row r="37" s="181" customFormat="1">
      <c r="A37" s="181" t="s">
        <v>87</v>
      </c>
      <c r="B37" s="1191"/>
      <c r="F37" s="215"/>
    </row>
    <row r="38" s="181" customFormat="1">
      <c r="A38" s="181" t="s">
        <v>87</v>
      </c>
      <c r="B38" s="1191"/>
      <c r="F38" s="215"/>
    </row>
    <row r="39" s="181" customFormat="1">
      <c r="A39" s="181" t="s">
        <v>87</v>
      </c>
      <c r="B39" s="1191"/>
      <c r="F39" s="215"/>
    </row>
    <row r="40">
      <c r="A40" s="182" t="s">
        <v>87</v>
      </c>
      <c r="B40" s="1191"/>
      <c r="C40" s="182"/>
      <c r="D40" s="182"/>
      <c r="E40" s="182"/>
      <c r="F40" s="217"/>
      <c r="G40" s="182"/>
      <c r="L40" s="182"/>
      <c r="T40" s="182"/>
      <c r="U40" s="182"/>
    </row>
    <row r="41">
      <c r="C41" s="182"/>
      <c r="D41" s="182"/>
      <c r="E41" s="182"/>
      <c r="F41" s="217"/>
      <c r="G41" s="182"/>
      <c r="L41" s="182"/>
      <c r="T41" s="182"/>
      <c r="U41" s="182"/>
    </row>
  </sheetData>
  <mergeCells>
    <mergeCell ref="A14:F14"/>
  </mergeCells>
  <printOptions horizontalCentered="1"/>
  <pageMargins left="0" right="0" top="0.25" bottom="0" header="0.3" footer="0.3"/>
  <pageSetup paperSize="9" scale="70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5">
    <tabColor theme="4" tint="-0.499984740745262"/>
  </sheetPr>
  <dimension ref="A1:W40"/>
  <sheetViews>
    <sheetView workbookViewId="0">
      <pane xSplit="7" ySplit="6" topLeftCell="H7" activePane="bottomRight" state="frozen"/>
      <selection pane="topRight"/>
      <selection pane="bottomLeft"/>
      <selection pane="bottomRight" activeCell="A13" sqref="A13:F13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6.5703125" customWidth="1" style="183"/>
    <col min="5" max="5" hidden="1" width="11.7109375" customWidth="1" style="183"/>
    <col min="6" max="6" hidden="1" width="10.7109375" customWidth="1" style="183"/>
    <col min="7" max="8" width="9.5703125" customWidth="1" style="185"/>
    <col min="9" max="12" width="12" customWidth="1" style="182"/>
    <col min="13" max="13" width="12" customWidth="1" style="185"/>
    <col min="14" max="14" width="12" customWidth="1" style="182"/>
    <col min="15" max="15" width="9.140625" customWidth="1" style="182"/>
    <col min="16" max="17" hidden="1" width="9.140625" customWidth="1" style="182"/>
    <col min="18" max="20" width="10.28515625" customWidth="1" style="182"/>
    <col min="21" max="22" width="9.85546875" customWidth="1" style="183"/>
    <col min="23" max="23" width="5" customWidth="1" style="182"/>
    <col min="24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P1" s="178" t="s">
        <v>416</v>
      </c>
      <c r="U1" s="189"/>
      <c r="V1" s="187"/>
    </row>
    <row r="2" ht="12.75" s="178" customFormat="1">
      <c r="A2" s="186" t="s">
        <v>454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193"/>
      <c r="O2" s="193"/>
      <c r="P2" s="193"/>
      <c r="Q2" s="193"/>
      <c r="R2" s="194"/>
      <c r="S2" s="194"/>
      <c r="T2" s="194"/>
      <c r="U2" s="191"/>
      <c r="V2" s="191"/>
    </row>
    <row r="3" ht="12.75" s="178" customFormat="1">
      <c r="A3" s="186" t="str">
        <f>+PONTIANAK!A3</f>
        <v>Periode Bulan Agustus  2021</v>
      </c>
      <c r="B3" s="187"/>
      <c r="C3" s="188"/>
      <c r="D3" s="189"/>
      <c r="E3" s="189"/>
      <c r="F3" s="189"/>
      <c r="G3" s="190"/>
      <c r="H3" s="190"/>
      <c r="M3" s="190"/>
      <c r="U3" s="189"/>
      <c r="V3" s="187"/>
    </row>
    <row r="4" s="178" customFormat="1">
      <c r="A4" s="195"/>
      <c r="B4" s="187"/>
      <c r="C4" s="188"/>
      <c r="D4" s="189"/>
      <c r="E4" s="189"/>
      <c r="F4" s="189"/>
      <c r="G4" s="196">
        <v>2515000</v>
      </c>
      <c r="H4" s="196"/>
      <c r="M4" s="190"/>
      <c r="U4" s="189"/>
      <c r="V4" s="187"/>
    </row>
    <row r="5" s="178" customFormat="1">
      <c r="A5" s="195"/>
      <c r="B5" s="187"/>
      <c r="C5" s="188"/>
      <c r="D5" s="189"/>
      <c r="E5" s="189"/>
      <c r="F5" s="189"/>
      <c r="G5" s="190"/>
      <c r="H5" s="190"/>
      <c r="M5" s="190"/>
      <c r="U5" s="189"/>
      <c r="V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1012" t="s">
        <v>43</v>
      </c>
      <c r="I6" s="201" t="s">
        <v>44</v>
      </c>
      <c r="J6" s="218" t="s">
        <v>45</v>
      </c>
      <c r="K6" s="219" t="s">
        <v>46</v>
      </c>
      <c r="L6" s="220" t="s">
        <v>47</v>
      </c>
      <c r="M6" s="220" t="s">
        <v>48</v>
      </c>
      <c r="N6" s="221" t="s">
        <v>49</v>
      </c>
      <c r="O6" s="222" t="s">
        <v>50</v>
      </c>
      <c r="P6" s="223" t="s">
        <v>52</v>
      </c>
      <c r="Q6" s="221" t="s">
        <v>53</v>
      </c>
      <c r="R6" s="233" t="s">
        <v>54</v>
      </c>
      <c r="S6" s="234" t="s">
        <v>55</v>
      </c>
      <c r="T6" s="234" t="s">
        <v>56</v>
      </c>
      <c r="U6" s="234" t="s">
        <v>57</v>
      </c>
      <c r="V6" s="235" t="s">
        <v>58</v>
      </c>
    </row>
    <row r="7" ht="18" customHeight="1" s="178" customFormat="1">
      <c r="A7" s="202" t="s">
        <v>59</v>
      </c>
      <c r="B7" s="203" t="s">
        <v>455</v>
      </c>
      <c r="C7" s="204" t="s">
        <v>456</v>
      </c>
      <c r="D7" s="205" t="s">
        <v>84</v>
      </c>
      <c r="E7" s="205" t="s">
        <v>62</v>
      </c>
      <c r="F7" s="205" t="s">
        <v>421</v>
      </c>
      <c r="G7" s="112">
        <v>2515000</v>
      </c>
      <c r="H7" s="1011"/>
      <c r="I7" s="329">
        <f>+$G$4*4.89%</f>
        <v>122983.5</v>
      </c>
      <c r="J7" s="332">
        <f ref="J7:J12" t="shared" si="0">+$G$4*4%</f>
        <v>100600</v>
      </c>
      <c r="K7" s="332">
        <f ref="K7:K12" t="shared" si="1">+$G$4*2%</f>
        <v>50300</v>
      </c>
      <c r="L7" s="332">
        <v>15000</v>
      </c>
      <c r="M7" s="225">
        <f ref="M7:M12" t="shared" si="2">SUM(G7:L7)</f>
        <v>2803883.5</v>
      </c>
      <c r="N7" s="225">
        <f ref="N7:N12" t="shared" si="3">+M7*8%</f>
        <v>224310.68</v>
      </c>
      <c r="O7" s="226">
        <f>25*20000</f>
        <v>500000</v>
      </c>
      <c r="P7" s="227"/>
      <c r="Q7" s="225"/>
      <c r="R7" s="236">
        <f ref="R7:R12" t="shared" si="4">SUM(M7:Q7)</f>
        <v>3528194.18</v>
      </c>
      <c r="S7" s="236">
        <f ref="S7:S12" t="shared" si="5">N7*0.1</f>
        <v>22431.068</v>
      </c>
      <c r="T7" s="237">
        <f ref="T7:T12" t="shared" si="6">R7+S7</f>
        <v>3550625.248</v>
      </c>
      <c r="U7" s="238">
        <v>44378</v>
      </c>
      <c r="V7" s="239">
        <v>44469</v>
      </c>
      <c r="W7" s="231"/>
    </row>
    <row r="8" ht="18" customHeight="1" s="178" customFormat="1">
      <c r="A8" s="330" t="s">
        <v>59</v>
      </c>
      <c r="B8" s="331" t="s">
        <v>457</v>
      </c>
      <c r="C8" s="204" t="s">
        <v>458</v>
      </c>
      <c r="D8" s="205" t="s">
        <v>84</v>
      </c>
      <c r="E8" s="205" t="s">
        <v>62</v>
      </c>
      <c r="F8" s="205" t="s">
        <v>421</v>
      </c>
      <c r="G8" s="112">
        <v>2515000</v>
      </c>
      <c r="H8" s="112"/>
      <c r="I8" s="224">
        <f>+$G$4*4.89%</f>
        <v>122983.5</v>
      </c>
      <c r="J8" s="224">
        <f t="shared" si="0"/>
        <v>100600</v>
      </c>
      <c r="K8" s="224">
        <f t="shared" si="1"/>
        <v>50300</v>
      </c>
      <c r="L8" s="332">
        <v>15000</v>
      </c>
      <c r="M8" s="304">
        <f t="shared" si="2"/>
        <v>2803883.5</v>
      </c>
      <c r="N8" s="304">
        <f t="shared" si="3"/>
        <v>224310.68</v>
      </c>
      <c r="O8" s="226">
        <f>23*20000</f>
        <v>460000</v>
      </c>
      <c r="P8" s="227"/>
      <c r="Q8" s="304"/>
      <c r="R8" s="309">
        <f t="shared" si="4"/>
        <v>3488194.18</v>
      </c>
      <c r="S8" s="309">
        <f t="shared" si="5"/>
        <v>22431.068</v>
      </c>
      <c r="T8" s="310">
        <f t="shared" si="6"/>
        <v>3510625.248</v>
      </c>
      <c r="U8" s="238">
        <v>44378</v>
      </c>
      <c r="V8" s="239">
        <v>44469</v>
      </c>
      <c r="W8" s="231"/>
    </row>
    <row r="9" ht="18" customHeight="1" s="178" customFormat="1">
      <c r="A9" s="330" t="s">
        <v>59</v>
      </c>
      <c r="B9" s="331" t="s">
        <v>459</v>
      </c>
      <c r="C9" s="204" t="s">
        <v>460</v>
      </c>
      <c r="D9" s="205" t="s">
        <v>84</v>
      </c>
      <c r="E9" s="205" t="s">
        <v>62</v>
      </c>
      <c r="F9" s="205" t="s">
        <v>421</v>
      </c>
      <c r="G9" s="112">
        <v>2515000</v>
      </c>
      <c r="H9" s="112"/>
      <c r="I9" s="224">
        <f ref="I9:I12" t="shared" si="7">+$G$4*4.89%</f>
        <v>122983.5</v>
      </c>
      <c r="J9" s="224">
        <f t="shared" si="0"/>
        <v>100600</v>
      </c>
      <c r="K9" s="224">
        <f t="shared" si="1"/>
        <v>50300</v>
      </c>
      <c r="L9" s="332">
        <v>15000</v>
      </c>
      <c r="M9" s="304">
        <f t="shared" si="2"/>
        <v>2803883.5</v>
      </c>
      <c r="N9" s="304">
        <f t="shared" si="3"/>
        <v>224310.68</v>
      </c>
      <c r="O9" s="226">
        <f>25*20000</f>
        <v>500000</v>
      </c>
      <c r="P9" s="227"/>
      <c r="Q9" s="304"/>
      <c r="R9" s="309">
        <f t="shared" si="4"/>
        <v>3528194.18</v>
      </c>
      <c r="S9" s="309">
        <f t="shared" si="5"/>
        <v>22431.068</v>
      </c>
      <c r="T9" s="310">
        <f t="shared" si="6"/>
        <v>3550625.248</v>
      </c>
      <c r="U9" s="311">
        <v>44378</v>
      </c>
      <c r="V9" s="312">
        <v>44469</v>
      </c>
      <c r="W9" s="231"/>
    </row>
    <row r="10" ht="18" customHeight="1" s="178" customFormat="1">
      <c r="A10" s="330" t="s">
        <v>59</v>
      </c>
      <c r="B10" s="331">
        <v>2140</v>
      </c>
      <c r="C10" s="204" t="s">
        <v>461</v>
      </c>
      <c r="D10" s="205" t="s">
        <v>84</v>
      </c>
      <c r="E10" s="205" t="s">
        <v>62</v>
      </c>
      <c r="F10" s="205" t="s">
        <v>421</v>
      </c>
      <c r="G10" s="112">
        <v>2515000</v>
      </c>
      <c r="H10" s="112"/>
      <c r="I10" s="224">
        <f t="shared" si="7"/>
        <v>122983.5</v>
      </c>
      <c r="J10" s="224">
        <f t="shared" si="0"/>
        <v>100600</v>
      </c>
      <c r="K10" s="224">
        <f t="shared" si="1"/>
        <v>50300</v>
      </c>
      <c r="L10" s="332">
        <v>15000</v>
      </c>
      <c r="M10" s="304">
        <f t="shared" si="2"/>
        <v>2803883.5</v>
      </c>
      <c r="N10" s="304">
        <f t="shared" si="3"/>
        <v>224310.68</v>
      </c>
      <c r="O10" s="226">
        <f>26*20000</f>
        <v>520000</v>
      </c>
      <c r="P10" s="227"/>
      <c r="Q10" s="304"/>
      <c r="R10" s="309">
        <f t="shared" si="4"/>
        <v>3548194.18</v>
      </c>
      <c r="S10" s="309">
        <f t="shared" si="5"/>
        <v>22431.068</v>
      </c>
      <c r="T10" s="310">
        <f t="shared" si="6"/>
        <v>3570625.248</v>
      </c>
      <c r="U10" s="311">
        <v>44409</v>
      </c>
      <c r="V10" s="312">
        <v>44500</v>
      </c>
      <c r="W10" s="231"/>
    </row>
    <row r="11" ht="18" customHeight="1" s="178" customFormat="1">
      <c r="A11" s="330" t="s">
        <v>59</v>
      </c>
      <c r="B11" s="331">
        <v>2141</v>
      </c>
      <c r="C11" s="204" t="s">
        <v>462</v>
      </c>
      <c r="D11" s="205" t="s">
        <v>84</v>
      </c>
      <c r="E11" s="205" t="s">
        <v>62</v>
      </c>
      <c r="F11" s="205" t="s">
        <v>421</v>
      </c>
      <c r="G11" s="112">
        <v>2515000</v>
      </c>
      <c r="H11" s="112"/>
      <c r="I11" s="224">
        <f t="shared" si="7"/>
        <v>122983.5</v>
      </c>
      <c r="J11" s="224">
        <f t="shared" si="0"/>
        <v>100600</v>
      </c>
      <c r="K11" s="224">
        <f t="shared" si="1"/>
        <v>50300</v>
      </c>
      <c r="L11" s="332">
        <v>15000</v>
      </c>
      <c r="M11" s="304">
        <f t="shared" si="2"/>
        <v>2803883.5</v>
      </c>
      <c r="N11" s="304">
        <f t="shared" si="3"/>
        <v>224310.68</v>
      </c>
      <c r="O11" s="226">
        <f>25*20000</f>
        <v>500000</v>
      </c>
      <c r="P11" s="227"/>
      <c r="Q11" s="304"/>
      <c r="R11" s="309">
        <f t="shared" si="4"/>
        <v>3528194.18</v>
      </c>
      <c r="S11" s="309">
        <f t="shared" si="5"/>
        <v>22431.068</v>
      </c>
      <c r="T11" s="310">
        <f t="shared" si="6"/>
        <v>3550625.248</v>
      </c>
      <c r="U11" s="311">
        <v>44409</v>
      </c>
      <c r="V11" s="312">
        <v>44500</v>
      </c>
      <c r="W11" s="231"/>
    </row>
    <row r="12" ht="18" customHeight="1" s="178" customFormat="1">
      <c r="A12" s="330" t="s">
        <v>64</v>
      </c>
      <c r="B12" s="1225" t="s">
        <v>463</v>
      </c>
      <c r="C12" s="1247" t="s">
        <v>464</v>
      </c>
      <c r="D12" s="205" t="s">
        <v>84</v>
      </c>
      <c r="E12" s="205" t="s">
        <v>62</v>
      </c>
      <c r="F12" s="205" t="s">
        <v>421</v>
      </c>
      <c r="G12" s="112">
        <v>2515000</v>
      </c>
      <c r="H12" s="112">
        <f>-2515000/25*1</f>
        <v>-100600</v>
      </c>
      <c r="I12" s="224">
        <f t="shared" si="7"/>
        <v>122983.5</v>
      </c>
      <c r="J12" s="224">
        <f t="shared" si="0"/>
        <v>100600</v>
      </c>
      <c r="K12" s="224">
        <f t="shared" si="1"/>
        <v>50300</v>
      </c>
      <c r="L12" s="332">
        <v>15000</v>
      </c>
      <c r="M12" s="304">
        <f t="shared" si="2"/>
        <v>2703283.5</v>
      </c>
      <c r="N12" s="304">
        <f t="shared" si="3"/>
        <v>216262.68</v>
      </c>
      <c r="O12" s="226">
        <f>25*20000</f>
        <v>500000</v>
      </c>
      <c r="P12" s="227"/>
      <c r="Q12" s="304"/>
      <c r="R12" s="309">
        <f t="shared" si="4"/>
        <v>3419546.18</v>
      </c>
      <c r="S12" s="309">
        <f t="shared" si="5"/>
        <v>21626.268</v>
      </c>
      <c r="T12" s="310">
        <f t="shared" si="6"/>
        <v>3441172.4480000003</v>
      </c>
      <c r="U12" s="311">
        <v>44378</v>
      </c>
      <c r="V12" s="312">
        <v>44469</v>
      </c>
      <c r="W12" s="231"/>
    </row>
    <row r="13" ht="18" customHeight="1" s="180" customFormat="1">
      <c r="A13" s="1061" t="s">
        <v>87</v>
      </c>
      <c r="B13" s="1188"/>
      <c r="C13" s="1062"/>
      <c r="D13" s="1062"/>
      <c r="E13" s="1062"/>
      <c r="F13" s="1087"/>
      <c r="G13" s="209">
        <f>SUM(G7:G12)</f>
        <v>15090000</v>
      </c>
      <c r="H13" s="209">
        <f>SUM(H7:H12)</f>
        <v>-100600</v>
      </c>
      <c r="I13" s="209">
        <f ref="I13:S13" t="shared" si="8">SUM(I7:I12)</f>
        <v>737901</v>
      </c>
      <c r="J13" s="209">
        <f t="shared" si="8"/>
        <v>603600</v>
      </c>
      <c r="K13" s="209">
        <f t="shared" si="8"/>
        <v>301800</v>
      </c>
      <c r="L13" s="209">
        <f t="shared" si="8"/>
        <v>90000</v>
      </c>
      <c r="M13" s="209">
        <f t="shared" si="8"/>
        <v>16722701</v>
      </c>
      <c r="N13" s="209">
        <f t="shared" si="8"/>
        <v>1337816.0799999998</v>
      </c>
      <c r="O13" s="209">
        <f t="shared" si="8"/>
        <v>2980000</v>
      </c>
      <c r="P13" s="209">
        <f t="shared" si="8"/>
        <v>0</v>
      </c>
      <c r="Q13" s="209">
        <f t="shared" si="8"/>
        <v>0</v>
      </c>
      <c r="R13" s="209">
        <f t="shared" si="8"/>
        <v>21040517.080000002</v>
      </c>
      <c r="S13" s="209">
        <f t="shared" si="8"/>
        <v>133781.608</v>
      </c>
      <c r="T13" s="209">
        <f>SUM(T7:T12)</f>
        <v>21174298.688</v>
      </c>
      <c r="U13" s="240"/>
      <c r="V13" s="241"/>
    </row>
    <row r="14" ht="14.25" customHeight="1" s="180" customFormat="1">
      <c r="A14" s="210" t="s">
        <v>87</v>
      </c>
      <c r="B14" s="1178"/>
      <c r="C14" s="184"/>
      <c r="D14" s="212"/>
      <c r="E14" s="212"/>
      <c r="F14" s="212"/>
      <c r="G14" s="185"/>
      <c r="H14" s="185"/>
      <c r="M14" s="228"/>
      <c r="U14" s="212"/>
      <c r="V14" s="211"/>
    </row>
    <row r="15" s="178" customFormat="1">
      <c r="A15" s="213" t="s">
        <v>87</v>
      </c>
      <c r="B15" s="1178"/>
      <c r="C15" s="181"/>
      <c r="D15" s="189"/>
      <c r="E15" s="189"/>
      <c r="F15" s="189"/>
      <c r="G15" s="190"/>
      <c r="H15" s="190"/>
      <c r="N15" s="229"/>
      <c r="O15" s="229"/>
      <c r="P15" s="229"/>
      <c r="Q15" s="230"/>
      <c r="R15" s="187"/>
    </row>
    <row r="16" s="178" customFormat="1">
      <c r="A16" s="178" t="s">
        <v>87</v>
      </c>
      <c r="B16" s="1178"/>
      <c r="C16" s="214" t="str">
        <f>+'BANJARMASIN '!C102</f>
        <v>Karawang,  16 Agustus 2020</v>
      </c>
      <c r="D16" s="189"/>
      <c r="E16" s="189"/>
      <c r="F16" s="189"/>
      <c r="G16" s="190"/>
      <c r="H16" s="190"/>
      <c r="M16" s="231"/>
      <c r="N16" s="231"/>
      <c r="O16" s="231"/>
      <c r="P16" s="231"/>
      <c r="Q16" s="230"/>
      <c r="R16" s="242"/>
    </row>
    <row r="17" s="178" customFormat="1">
      <c r="A17" s="213" t="s">
        <v>87</v>
      </c>
      <c r="B17" s="1178"/>
      <c r="C17" s="189"/>
      <c r="D17" s="189"/>
      <c r="E17" s="189"/>
      <c r="F17" s="189"/>
      <c r="G17" s="190"/>
      <c r="H17" s="190"/>
      <c r="N17" s="229"/>
      <c r="O17" s="229"/>
      <c r="P17" s="229"/>
      <c r="Q17" s="230"/>
      <c r="R17" s="242"/>
    </row>
    <row r="18" s="178" customFormat="1">
      <c r="A18" s="178" t="s">
        <v>87</v>
      </c>
      <c r="B18" s="1178"/>
      <c r="C18" s="189" t="s">
        <v>232</v>
      </c>
      <c r="D18" s="189"/>
      <c r="F18" s="215"/>
      <c r="G18" s="190"/>
      <c r="H18" s="190"/>
      <c r="L18" s="229"/>
      <c r="M18" s="181" t="s">
        <v>233</v>
      </c>
      <c r="N18" s="231"/>
      <c r="O18" s="181"/>
      <c r="P18" s="190"/>
      <c r="R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I19" s="190"/>
      <c r="L19" s="229"/>
      <c r="R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I20" s="190"/>
      <c r="L20" s="229"/>
      <c r="N20" s="230"/>
      <c r="R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I21" s="190"/>
      <c r="L21" s="229"/>
      <c r="N21" s="231"/>
      <c r="R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I22" s="190"/>
      <c r="L22" s="229"/>
      <c r="R22" s="242"/>
    </row>
    <row r="23" s="178" customFormat="1">
      <c r="A23" s="178" t="s">
        <v>87</v>
      </c>
      <c r="B23" s="1178"/>
      <c r="C23" s="189"/>
      <c r="D23" s="189"/>
      <c r="F23" s="215"/>
      <c r="G23" s="190"/>
      <c r="H23" s="190"/>
      <c r="I23" s="190"/>
      <c r="L23" s="229"/>
      <c r="Q23" s="189"/>
      <c r="R23" s="243"/>
    </row>
    <row r="24" s="178" customFormat="1">
      <c r="A24" s="181" t="s">
        <v>87</v>
      </c>
      <c r="B24" s="1178"/>
      <c r="C24" s="189"/>
      <c r="D24" s="189"/>
      <c r="F24" s="189"/>
      <c r="G24" s="190"/>
      <c r="H24" s="190"/>
      <c r="I24" s="190"/>
      <c r="L24" s="229"/>
      <c r="R24" s="243"/>
    </row>
    <row r="25" s="181" customFormat="1">
      <c r="A25" s="181" t="s">
        <v>87</v>
      </c>
      <c r="B25" s="1190"/>
      <c r="C25" s="214" t="s">
        <v>234</v>
      </c>
      <c r="D25" s="189"/>
      <c r="E25" s="189"/>
      <c r="F25" s="214"/>
      <c r="G25" s="190"/>
      <c r="H25" s="190"/>
      <c r="I25" s="190"/>
      <c r="J25" s="232" t="s">
        <v>235</v>
      </c>
      <c r="M25" s="213" t="s">
        <v>236</v>
      </c>
      <c r="O25" s="214" t="s">
        <v>237</v>
      </c>
      <c r="R25" s="243"/>
      <c r="S25" s="213" t="s">
        <v>238</v>
      </c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H26" s="190"/>
      <c r="M26" s="190"/>
      <c r="R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H27" s="190"/>
      <c r="M27" s="190"/>
      <c r="R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H28" s="190"/>
      <c r="M28" s="190"/>
      <c r="R28" s="189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H29" s="190"/>
      <c r="M29" s="190"/>
      <c r="U29" s="189"/>
      <c r="V29" s="189"/>
    </row>
    <row r="30" s="181" customFormat="1">
      <c r="A30" s="181" t="s">
        <v>87</v>
      </c>
      <c r="B30" s="1191"/>
      <c r="C30" s="188"/>
      <c r="D30" s="189"/>
      <c r="E30" s="189"/>
      <c r="F30" s="189"/>
      <c r="G30" s="190"/>
      <c r="H30" s="190"/>
      <c r="M30" s="190"/>
      <c r="U30" s="189"/>
      <c r="V30" s="189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 s="181" customFormat="1">
      <c r="A36" s="181" t="s">
        <v>87</v>
      </c>
      <c r="B36" s="1191"/>
      <c r="F36" s="215"/>
    </row>
    <row r="37" s="181" customFormat="1">
      <c r="A37" s="181" t="s">
        <v>87</v>
      </c>
      <c r="B37" s="1191"/>
      <c r="F37" s="215"/>
    </row>
    <row r="38" s="181" customFormat="1">
      <c r="A38" s="181" t="s">
        <v>87</v>
      </c>
      <c r="B38" s="1191"/>
      <c r="F38" s="215"/>
    </row>
    <row r="39">
      <c r="A39" s="182" t="s">
        <v>87</v>
      </c>
      <c r="B39" s="1191"/>
      <c r="C39" s="182"/>
      <c r="D39" s="182"/>
      <c r="E39" s="182"/>
      <c r="F39" s="217"/>
      <c r="G39" s="182"/>
      <c r="H39" s="182"/>
      <c r="M39" s="182"/>
      <c r="U39" s="182"/>
      <c r="V39" s="182"/>
    </row>
    <row r="40">
      <c r="C40" s="182"/>
      <c r="D40" s="182"/>
      <c r="E40" s="182"/>
      <c r="F40" s="217"/>
      <c r="G40" s="182"/>
      <c r="H40" s="182"/>
      <c r="M40" s="182"/>
      <c r="U40" s="182"/>
      <c r="V40" s="182"/>
    </row>
  </sheetData>
  <mergeCells>
    <mergeCell ref="A13:F13"/>
  </mergeCells>
  <printOptions horizontalCentered="1"/>
  <pageMargins left="0.17" right="0.12" top="0.75" bottom="0.75" header="0.3" footer="0.3"/>
  <pageSetup paperSize="9" scale="70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6">
    <tabColor theme="4" tint="-0.499984740745262"/>
  </sheetPr>
  <dimension ref="A1:V36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S9" sqref="S9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8.7109375" customWidth="1" style="183"/>
    <col min="5" max="5" hidden="1" width="9" customWidth="1" style="183"/>
    <col min="6" max="6" hidden="1" width="8.42578125" customWidth="1" style="183"/>
    <col min="7" max="7" width="13.7109375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449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3230023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450</v>
      </c>
      <c r="C7" s="204" t="s">
        <v>451</v>
      </c>
      <c r="D7" s="205" t="s">
        <v>84</v>
      </c>
      <c r="E7" s="205" t="s">
        <v>452</v>
      </c>
      <c r="F7" s="205" t="s">
        <v>421</v>
      </c>
      <c r="G7" s="112">
        <v>3230023</v>
      </c>
      <c r="H7" s="206">
        <f>+$G$4*4.89%</f>
        <v>157948.1247</v>
      </c>
      <c r="I7" s="224">
        <f>+$G$4*4%</f>
        <v>129200.92</v>
      </c>
      <c r="J7" s="224">
        <f>+$G$4*2%</f>
        <v>64600.46</v>
      </c>
      <c r="K7" s="224">
        <v>15000</v>
      </c>
      <c r="L7" s="225">
        <f>SUM(G7:K7)</f>
        <v>3596772.5047</v>
      </c>
      <c r="M7" s="225">
        <f>+L7*8%</f>
        <v>287741.800376</v>
      </c>
      <c r="N7" s="226">
        <f>24*20000</f>
        <v>480000</v>
      </c>
      <c r="O7" s="227"/>
      <c r="P7" s="225"/>
      <c r="Q7" s="236">
        <f>SUM(L7:P7)</f>
        <v>4364514.305076</v>
      </c>
      <c r="R7" s="236">
        <f>M7*0.1</f>
        <v>28774.1800376</v>
      </c>
      <c r="S7" s="237">
        <f>Q7+R7</f>
        <v>4393288.4851136</v>
      </c>
      <c r="T7" s="238">
        <v>44348</v>
      </c>
      <c r="U7" s="239">
        <v>44439</v>
      </c>
      <c r="V7" s="231"/>
    </row>
    <row r="8" ht="18" customHeight="1" s="297" customFormat="1">
      <c r="A8" s="319" t="s">
        <v>87</v>
      </c>
      <c r="B8" s="1251"/>
      <c r="C8" s="320" t="s">
        <v>453</v>
      </c>
      <c r="D8" s="321" t="s">
        <v>84</v>
      </c>
      <c r="E8" s="321" t="s">
        <v>452</v>
      </c>
      <c r="F8" s="321" t="s">
        <v>421</v>
      </c>
      <c r="G8" s="322">
        <f>3230023/31*24</f>
        <v>2500662.96774194</v>
      </c>
      <c r="H8" s="326">
        <f>+$G$4*4.89%</f>
        <v>157948.1247</v>
      </c>
      <c r="I8" s="323">
        <f>+$G$4*4%</f>
        <v>129200.92</v>
      </c>
      <c r="J8" s="323">
        <f>+$G$4*2%</f>
        <v>64600.46</v>
      </c>
      <c r="K8" s="323">
        <v>15000</v>
      </c>
      <c r="L8" s="306">
        <f>SUM(G8:K8)</f>
        <v>2867412.47244194</v>
      </c>
      <c r="M8" s="306">
        <f>+L8*8%</f>
        <v>229392.997795355</v>
      </c>
      <c r="N8" s="327"/>
      <c r="O8" s="324"/>
      <c r="P8" s="306"/>
      <c r="Q8" s="313">
        <f>SUM(L8:P8)</f>
        <v>3096805.47023729</v>
      </c>
      <c r="R8" s="313">
        <f>M8*0.1</f>
        <v>22939.2997795355</v>
      </c>
      <c r="S8" s="314">
        <f>Q8+R8</f>
        <v>3119744.77001683</v>
      </c>
      <c r="T8" s="315">
        <v>44400</v>
      </c>
      <c r="U8" s="316">
        <v>44500</v>
      </c>
      <c r="V8" s="317"/>
    </row>
    <row r="9" ht="18" customHeight="1" s="180" customFormat="1">
      <c r="A9" s="1061" t="s">
        <v>87</v>
      </c>
      <c r="B9" s="1188"/>
      <c r="C9" s="1062"/>
      <c r="D9" s="1062"/>
      <c r="E9" s="1062"/>
      <c r="F9" s="1087"/>
      <c r="G9" s="209">
        <f>SUM(G7:G8)</f>
        <v>5730685.96774194</v>
      </c>
      <c r="H9" s="209">
        <f ref="H9:S9" t="shared" si="0">SUM(H7:H8)</f>
        <v>315896.2494</v>
      </c>
      <c r="I9" s="209">
        <f t="shared" si="0"/>
        <v>258401.84</v>
      </c>
      <c r="J9" s="209">
        <f t="shared" si="0"/>
        <v>129200.92</v>
      </c>
      <c r="K9" s="209">
        <f t="shared" si="0"/>
        <v>30000</v>
      </c>
      <c r="L9" s="209">
        <f t="shared" si="0"/>
        <v>6464184.97714194</v>
      </c>
      <c r="M9" s="209">
        <f t="shared" si="0"/>
        <v>517134.798171355</v>
      </c>
      <c r="N9" s="209">
        <f t="shared" si="0"/>
        <v>480000</v>
      </c>
      <c r="O9" s="209">
        <f t="shared" si="0"/>
        <v>0</v>
      </c>
      <c r="P9" s="209">
        <f t="shared" si="0"/>
        <v>0</v>
      </c>
      <c r="Q9" s="209">
        <f t="shared" si="0"/>
        <v>7461319.77531329</v>
      </c>
      <c r="R9" s="209">
        <f t="shared" si="0"/>
        <v>51713.4798171355</v>
      </c>
      <c r="S9" s="209">
        <f t="shared" si="0"/>
        <v>7513033.25513043</v>
      </c>
      <c r="T9" s="240"/>
      <c r="U9" s="241"/>
    </row>
    <row r="10" ht="14.25" customHeight="1" s="180" customFormat="1">
      <c r="A10" s="210" t="s">
        <v>87</v>
      </c>
      <c r="B10" s="1178"/>
      <c r="C10" s="184"/>
      <c r="D10" s="212"/>
      <c r="E10" s="212"/>
      <c r="F10" s="212"/>
      <c r="G10" s="185"/>
      <c r="L10" s="228"/>
      <c r="T10" s="212"/>
      <c r="U10" s="211"/>
    </row>
    <row r="11" s="178" customFormat="1">
      <c r="A11" s="213" t="s">
        <v>87</v>
      </c>
      <c r="B11" s="1178"/>
      <c r="C11" s="181"/>
      <c r="D11" s="189"/>
      <c r="E11" s="189"/>
      <c r="F11" s="189"/>
      <c r="G11" s="190"/>
      <c r="M11" s="229"/>
      <c r="N11" s="229"/>
      <c r="O11" s="229"/>
      <c r="P11" s="230"/>
      <c r="Q11" s="187"/>
    </row>
    <row r="12" s="178" customFormat="1">
      <c r="A12" s="178" t="s">
        <v>87</v>
      </c>
      <c r="B12" s="1178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0"/>
      <c r="Q12" s="242"/>
    </row>
    <row r="13" s="178" customFormat="1">
      <c r="A13" s="213" t="s">
        <v>87</v>
      </c>
      <c r="B13" s="1178"/>
      <c r="C13" s="189"/>
      <c r="D13" s="189"/>
      <c r="E13" s="189"/>
      <c r="F13" s="189"/>
      <c r="G13" s="190"/>
      <c r="M13" s="229"/>
      <c r="N13" s="229"/>
      <c r="O13" s="229"/>
      <c r="P13" s="230"/>
      <c r="Q13" s="242"/>
    </row>
    <row r="14" s="178" customFormat="1">
      <c r="A14" s="178" t="s">
        <v>87</v>
      </c>
      <c r="B14" s="1178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90"/>
      <c r="Q14" s="242"/>
    </row>
    <row r="15" s="178" customFormat="1">
      <c r="A15" s="178" t="s">
        <v>87</v>
      </c>
      <c r="B15" s="1178"/>
      <c r="C15" s="189"/>
      <c r="D15" s="189"/>
      <c r="F15" s="215"/>
      <c r="G15" s="190"/>
      <c r="H15" s="190"/>
      <c r="K15" s="229"/>
      <c r="Q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M16" s="230"/>
      <c r="Q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1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P19" s="189"/>
      <c r="Q19" s="243"/>
    </row>
    <row r="20" s="178" customFormat="1">
      <c r="A20" s="181" t="s">
        <v>87</v>
      </c>
      <c r="B20" s="1178"/>
      <c r="C20" s="189"/>
      <c r="D20" s="189"/>
      <c r="F20" s="189"/>
      <c r="G20" s="190"/>
      <c r="H20" s="190"/>
      <c r="K20" s="229"/>
      <c r="Q20" s="243"/>
    </row>
    <row r="21" s="181" customFormat="1">
      <c r="A21" s="181" t="s">
        <v>87</v>
      </c>
      <c r="B21" s="1190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43"/>
      <c r="R21" s="213" t="s">
        <v>238</v>
      </c>
    </row>
    <row r="22" s="181" customFormat="1">
      <c r="A22" s="181" t="s">
        <v>87</v>
      </c>
      <c r="B22" s="1191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1"/>
      <c r="F27" s="215"/>
      <c r="G27" s="190"/>
      <c r="H27" s="216"/>
    </row>
    <row r="28" s="181" customFormat="1">
      <c r="A28" s="181" t="s">
        <v>87</v>
      </c>
      <c r="B28" s="1191"/>
      <c r="F28" s="215"/>
    </row>
    <row r="29" s="181" customFormat="1">
      <c r="A29" s="181" t="s">
        <v>87</v>
      </c>
      <c r="B29" s="1191"/>
      <c r="F29" s="215"/>
    </row>
    <row r="30" s="181" customFormat="1">
      <c r="A30" s="181" t="s">
        <v>87</v>
      </c>
      <c r="B30" s="1191"/>
      <c r="F30" s="215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>
      <c r="A35" s="182" t="s">
        <v>87</v>
      </c>
      <c r="B35" s="1191"/>
      <c r="C35" s="182"/>
      <c r="D35" s="182"/>
      <c r="E35" s="182"/>
      <c r="F35" s="217"/>
      <c r="G35" s="182"/>
      <c r="L35" s="182"/>
      <c r="T35" s="182"/>
      <c r="U35" s="182"/>
    </row>
    <row r="36">
      <c r="C36" s="182"/>
      <c r="D36" s="182"/>
      <c r="E36" s="182"/>
      <c r="F36" s="217"/>
      <c r="G36" s="182"/>
      <c r="L36" s="182"/>
      <c r="T36" s="182"/>
      <c r="U36" s="182"/>
    </row>
  </sheetData>
  <mergeCells>
    <mergeCell ref="A9:F9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3">
    <tabColor theme="4" tint="-0.499984740745262"/>
    <pageSetUpPr fitToPage="1"/>
  </sheetPr>
  <dimension ref="A1:BB285"/>
  <sheetViews>
    <sheetView zoomScale="55" zoomScaleNormal="55" workbookViewId="0">
      <pane xSplit="7" ySplit="6" topLeftCell="H74" activePane="bottomRight" state="frozen"/>
      <selection pane="topRight"/>
      <selection pane="bottomLeft"/>
      <selection pane="bottomRight" activeCell="W21" sqref="W21:W98"/>
    </sheetView>
  </sheetViews>
  <sheetFormatPr defaultColWidth="9.140625" defaultRowHeight="12"/>
  <cols>
    <col min="1" max="1" width="4.85546875" customWidth="1" style="182"/>
    <col min="2" max="2" width="6.140625" customWidth="1" style="183"/>
    <col min="3" max="3" width="23.5703125" customWidth="1" style="184"/>
    <col min="4" max="4" width="16" customWidth="1" style="183"/>
    <col min="5" max="5" hidden="1" width="9.5703125" customWidth="1" style="183"/>
    <col min="6" max="6" hidden="1" width="7.7109375" customWidth="1" style="183"/>
    <col min="7" max="8" width="13" customWidth="1" style="185"/>
    <col min="9" max="9" width="10.5703125" customWidth="1" style="182"/>
    <col min="10" max="10" width="15.42578125" customWidth="1" style="182"/>
    <col min="11" max="11" width="13.85546875" customWidth="1" style="182"/>
    <col min="12" max="12" width="12" customWidth="1" style="182"/>
    <col min="13" max="13" width="12.140625" customWidth="1" style="185"/>
    <col min="14" max="14" width="10.5703125" customWidth="1" style="182"/>
    <col min="15" max="15" width="12.7109375" customWidth="1" style="182"/>
    <col min="16" max="16" width="10.5703125" customWidth="1" style="182"/>
    <col min="17" max="17" width="12.140625" customWidth="1" style="182"/>
    <col min="18" max="18" width="10.28515625" customWidth="1" style="182"/>
    <col min="19" max="19" width="12.85546875" customWidth="1" style="182"/>
    <col min="20" max="20" width="10.42578125" customWidth="1" style="182"/>
    <col min="21" max="21" width="11.28515625" customWidth="1" style="182"/>
    <col min="22" max="22" width="9.85546875" customWidth="1" style="766"/>
    <col min="23" max="23" width="10.85546875" customWidth="1" style="766"/>
    <col min="24" max="24" width="3.85546875" customWidth="1" style="181"/>
    <col min="25" max="25" width="13.28515625" customWidth="1" style="181"/>
    <col min="26" max="26" width="12.28515625" customWidth="1" style="425"/>
    <col min="27" max="27" width="11" customWidth="1" style="767"/>
    <col min="28" max="54" width="9.140625" customWidth="1" style="181"/>
    <col min="55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H1" s="190"/>
      <c r="M1" s="190"/>
      <c r="V1" s="188"/>
      <c r="W1" s="242"/>
      <c r="Z1" s="345"/>
      <c r="AA1" s="767"/>
    </row>
    <row r="2" ht="12.75" s="178" customFormat="1">
      <c r="A2" s="186" t="s">
        <v>35</v>
      </c>
      <c r="B2" s="191"/>
      <c r="C2" s="192"/>
      <c r="D2" s="191"/>
      <c r="E2" s="191"/>
      <c r="F2" s="191"/>
      <c r="G2" s="193"/>
      <c r="H2" s="193"/>
      <c r="I2" s="194"/>
      <c r="J2" s="194"/>
      <c r="K2" s="194"/>
      <c r="L2" s="194"/>
      <c r="M2" s="193"/>
      <c r="N2" s="791"/>
      <c r="O2" s="791"/>
      <c r="P2" s="791"/>
      <c r="Q2" s="791"/>
      <c r="R2" s="791"/>
      <c r="S2" s="791"/>
      <c r="T2" s="194"/>
      <c r="U2" s="194"/>
      <c r="V2" s="192"/>
      <c r="W2" s="192"/>
      <c r="Z2" s="345"/>
      <c r="AA2" s="767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193"/>
      <c r="I3" s="502"/>
      <c r="J3" s="502"/>
      <c r="M3" s="190"/>
      <c r="N3" s="792"/>
      <c r="O3" s="792"/>
      <c r="P3" s="792"/>
      <c r="Q3" s="792"/>
      <c r="R3" s="792"/>
      <c r="S3" s="792"/>
      <c r="V3" s="188"/>
      <c r="W3" s="242"/>
      <c r="Z3" s="345"/>
      <c r="AA3" s="767"/>
    </row>
    <row r="4" s="178" customFormat="1">
      <c r="A4" s="195"/>
      <c r="B4" s="187"/>
      <c r="C4" s="188"/>
      <c r="D4" s="189"/>
      <c r="E4" s="189"/>
      <c r="F4" s="191"/>
      <c r="G4" s="662"/>
      <c r="H4" s="662"/>
      <c r="I4" s="502"/>
      <c r="J4" s="502"/>
      <c r="M4" s="190"/>
      <c r="N4" s="792"/>
      <c r="O4" s="792"/>
      <c r="P4" s="792"/>
      <c r="Q4" s="792"/>
      <c r="R4" s="792"/>
      <c r="S4" s="792"/>
      <c r="V4" s="188"/>
      <c r="W4" s="242"/>
      <c r="Z4" s="345"/>
      <c r="AA4" s="767"/>
    </row>
    <row r="5" s="178" customFormat="1">
      <c r="A5" s="195"/>
      <c r="B5" s="187"/>
      <c r="C5" s="188"/>
      <c r="D5" s="189"/>
      <c r="E5" s="189"/>
      <c r="F5" s="191"/>
      <c r="G5" s="768">
        <v>2515000</v>
      </c>
      <c r="H5" s="768"/>
      <c r="I5" s="793"/>
      <c r="M5" s="190"/>
      <c r="N5" s="792"/>
      <c r="O5" s="792"/>
      <c r="P5" s="792"/>
      <c r="Q5" s="792"/>
      <c r="R5" s="792"/>
      <c r="S5" s="792"/>
      <c r="V5" s="188"/>
      <c r="W5" s="242"/>
      <c r="Z5" s="345"/>
      <c r="AA5" s="767"/>
    </row>
    <row r="6" ht="35.25" customHeight="1" s="759" customFormat="1">
      <c r="A6" s="429" t="s">
        <v>36</v>
      </c>
      <c r="B6" s="430" t="s">
        <v>37</v>
      </c>
      <c r="C6" s="430" t="s">
        <v>38</v>
      </c>
      <c r="D6" s="430" t="s">
        <v>39</v>
      </c>
      <c r="E6" s="430" t="s">
        <v>40</v>
      </c>
      <c r="F6" s="431" t="s">
        <v>41</v>
      </c>
      <c r="G6" s="432" t="s">
        <v>42</v>
      </c>
      <c r="H6" s="432" t="s">
        <v>43</v>
      </c>
      <c r="I6" s="433" t="s">
        <v>44</v>
      </c>
      <c r="J6" s="219" t="s">
        <v>45</v>
      </c>
      <c r="K6" s="219" t="s">
        <v>46</v>
      </c>
      <c r="L6" s="453" t="s">
        <v>47</v>
      </c>
      <c r="M6" s="453" t="s">
        <v>48</v>
      </c>
      <c r="N6" s="221" t="s">
        <v>49</v>
      </c>
      <c r="O6" s="794" t="s">
        <v>50</v>
      </c>
      <c r="P6" s="794" t="s">
        <v>51</v>
      </c>
      <c r="Q6" s="801" t="s">
        <v>52</v>
      </c>
      <c r="R6" s="801" t="s">
        <v>53</v>
      </c>
      <c r="S6" s="462" t="s">
        <v>54</v>
      </c>
      <c r="T6" s="463" t="s">
        <v>55</v>
      </c>
      <c r="U6" s="463" t="s">
        <v>56</v>
      </c>
      <c r="V6" s="802" t="s">
        <v>57</v>
      </c>
      <c r="W6" s="803" t="s">
        <v>58</v>
      </c>
      <c r="X6" s="804"/>
      <c r="Y6" s="827"/>
      <c r="Z6" s="827"/>
      <c r="AA6" s="828"/>
      <c r="AB6" s="804"/>
      <c r="AC6" s="804"/>
      <c r="AD6" s="804"/>
      <c r="AE6" s="804"/>
      <c r="AF6" s="804"/>
      <c r="AG6" s="804"/>
      <c r="AH6" s="804"/>
      <c r="AI6" s="804"/>
      <c r="AJ6" s="804"/>
      <c r="AK6" s="804"/>
      <c r="AL6" s="804"/>
      <c r="AM6" s="804"/>
      <c r="AN6" s="804"/>
      <c r="AO6" s="804"/>
      <c r="AP6" s="804"/>
      <c r="AQ6" s="804"/>
      <c r="AR6" s="804"/>
      <c r="AS6" s="804"/>
      <c r="AT6" s="804"/>
      <c r="AU6" s="804"/>
      <c r="AV6" s="804"/>
      <c r="AW6" s="804"/>
      <c r="AX6" s="804"/>
      <c r="AY6" s="804"/>
      <c r="AZ6" s="804"/>
      <c r="BA6" s="804"/>
      <c r="BB6" s="804"/>
    </row>
    <row r="7" ht="23.25" customHeight="1" s="181" customFormat="1">
      <c r="A7" s="202" t="s">
        <v>59</v>
      </c>
      <c r="B7" s="965" t="s">
        <v>60</v>
      </c>
      <c r="C7" s="769" t="s">
        <v>16</v>
      </c>
      <c r="D7" s="770" t="s">
        <v>61</v>
      </c>
      <c r="E7" s="380" t="s">
        <v>62</v>
      </c>
      <c r="F7" s="380" t="s">
        <v>63</v>
      </c>
      <c r="G7" s="771">
        <f ref="G7:G11" t="shared" si="0">2515000</f>
        <v>2515000</v>
      </c>
      <c r="H7" s="771"/>
      <c r="I7" s="224">
        <f ref="I7:I13" t="shared" si="1">+$G$5*4.89%</f>
        <v>122983.5</v>
      </c>
      <c r="J7" s="707">
        <f ref="J7:J13" t="shared" si="2">+$G$5*4%</f>
        <v>100600</v>
      </c>
      <c r="K7" s="707">
        <f ref="K7:K13" t="shared" si="3">+$G$5*2%</f>
        <v>50300</v>
      </c>
      <c r="L7" s="707">
        <v>1667</v>
      </c>
      <c r="M7" s="715">
        <f ref="M7:M16" t="shared" si="4">SUM(G7:L7)</f>
        <v>2790550.5</v>
      </c>
      <c r="N7" s="715">
        <f ref="N7:N16" t="shared" si="5">+M7*8%</f>
        <v>223244.04</v>
      </c>
      <c r="O7" s="715"/>
      <c r="P7" s="715"/>
      <c r="Q7" s="795">
        <f>26*10000</f>
        <v>260000</v>
      </c>
      <c r="R7" s="795">
        <f>+$G$5/173*38.5</f>
        <v>559696.531791908</v>
      </c>
      <c r="S7" s="309">
        <f ref="S7:S16" t="shared" si="6">SUM(M7:R7)</f>
        <v>3833491.07179191</v>
      </c>
      <c r="T7" s="309">
        <f ref="T7:T16" t="shared" si="7">N7*0.1</f>
        <v>22324.404</v>
      </c>
      <c r="U7" s="310">
        <f ref="U7:U14" t="shared" si="8">S7+T7</f>
        <v>3855815.47579191</v>
      </c>
      <c r="V7" s="805">
        <v>44409</v>
      </c>
      <c r="W7" s="1021">
        <v>44439</v>
      </c>
      <c r="X7" s="806"/>
    </row>
    <row r="8" ht="23.25" customHeight="1" s="181" customFormat="1">
      <c r="A8" s="202" t="s">
        <v>64</v>
      </c>
      <c r="B8" s="1193" t="s">
        <v>65</v>
      </c>
      <c r="C8" s="1181" t="s">
        <v>66</v>
      </c>
      <c r="D8" s="770" t="s">
        <v>67</v>
      </c>
      <c r="E8" s="380" t="s">
        <v>62</v>
      </c>
      <c r="F8" s="380" t="s">
        <v>63</v>
      </c>
      <c r="G8" s="771">
        <f t="shared" si="0"/>
        <v>2515000</v>
      </c>
      <c r="H8" s="771"/>
      <c r="I8" s="224">
        <f t="shared" si="1"/>
        <v>122983.5</v>
      </c>
      <c r="J8" s="707">
        <f t="shared" si="2"/>
        <v>100600</v>
      </c>
      <c r="K8" s="707">
        <f t="shared" si="3"/>
        <v>50300</v>
      </c>
      <c r="L8" s="707">
        <v>1667</v>
      </c>
      <c r="M8" s="715">
        <f t="shared" si="4"/>
        <v>2790550.5</v>
      </c>
      <c r="N8" s="715">
        <f t="shared" si="5"/>
        <v>223244.04</v>
      </c>
      <c r="O8" s="795">
        <v>700000</v>
      </c>
      <c r="P8" s="795">
        <v>932000</v>
      </c>
      <c r="Q8" s="715"/>
      <c r="R8" s="795">
        <f>+$G$5/173*47.5</f>
        <v>690534.682080925</v>
      </c>
      <c r="S8" s="309">
        <f t="shared" si="6"/>
        <v>5336329.22208092</v>
      </c>
      <c r="T8" s="309">
        <f t="shared" si="7"/>
        <v>22324.404</v>
      </c>
      <c r="U8" s="310">
        <f t="shared" si="8"/>
        <v>5358653.62608092</v>
      </c>
      <c r="V8" s="805">
        <v>44348</v>
      </c>
      <c r="W8" s="1021">
        <v>44439</v>
      </c>
      <c r="X8" s="806"/>
    </row>
    <row r="9" ht="23.25" customHeight="1" s="760" customFormat="1">
      <c r="A9" s="202" t="s">
        <v>59</v>
      </c>
      <c r="B9" s="966" t="s">
        <v>68</v>
      </c>
      <c r="C9" s="769" t="s">
        <v>14</v>
      </c>
      <c r="D9" s="770" t="s">
        <v>69</v>
      </c>
      <c r="E9" s="772" t="s">
        <v>62</v>
      </c>
      <c r="F9" s="772" t="s">
        <v>63</v>
      </c>
      <c r="G9" s="771">
        <f t="shared" si="0"/>
        <v>2515000</v>
      </c>
      <c r="H9" s="771"/>
      <c r="I9" s="224">
        <f t="shared" si="1"/>
        <v>122983.5</v>
      </c>
      <c r="J9" s="224">
        <f t="shared" si="2"/>
        <v>100600</v>
      </c>
      <c r="K9" s="224">
        <f t="shared" si="3"/>
        <v>50300</v>
      </c>
      <c r="L9" s="707">
        <v>1667</v>
      </c>
      <c r="M9" s="304">
        <f t="shared" si="4"/>
        <v>2790550.5</v>
      </c>
      <c r="N9" s="304">
        <f t="shared" si="5"/>
        <v>223244.04</v>
      </c>
      <c r="O9" s="304"/>
      <c r="P9" s="304"/>
      <c r="Q9" s="394">
        <f>27*12000</f>
        <v>324000</v>
      </c>
      <c r="R9" s="795">
        <f>+$G$5/173*53</f>
        <v>770491.329479769</v>
      </c>
      <c r="S9" s="309">
        <f t="shared" si="6"/>
        <v>4108285.86947977</v>
      </c>
      <c r="T9" s="807">
        <f t="shared" si="7"/>
        <v>22324.404</v>
      </c>
      <c r="U9" s="808">
        <f t="shared" si="8"/>
        <v>4130610.27347977</v>
      </c>
      <c r="V9" s="805">
        <v>44409</v>
      </c>
      <c r="W9" s="1021">
        <v>44439</v>
      </c>
      <c r="X9" s="809"/>
      <c r="Y9" s="181"/>
      <c r="Z9" s="181"/>
      <c r="AA9" s="181"/>
    </row>
    <row r="10" ht="23.25" customHeight="1" s="760" customFormat="1">
      <c r="A10" s="202" t="s">
        <v>59</v>
      </c>
      <c r="B10" s="967" t="s">
        <v>70</v>
      </c>
      <c r="C10" s="773" t="s">
        <v>71</v>
      </c>
      <c r="D10" s="774" t="s">
        <v>72</v>
      </c>
      <c r="E10" s="775" t="s">
        <v>62</v>
      </c>
      <c r="F10" s="775" t="s">
        <v>63</v>
      </c>
      <c r="G10" s="771">
        <f t="shared" si="0"/>
        <v>2515000</v>
      </c>
      <c r="H10" s="776"/>
      <c r="I10" s="707">
        <f t="shared" si="1"/>
        <v>122983.5</v>
      </c>
      <c r="J10" s="707">
        <f t="shared" si="2"/>
        <v>100600</v>
      </c>
      <c r="K10" s="707">
        <f t="shared" si="3"/>
        <v>50300</v>
      </c>
      <c r="L10" s="707">
        <v>1667</v>
      </c>
      <c r="M10" s="715">
        <f t="shared" si="4"/>
        <v>2790550.5</v>
      </c>
      <c r="N10" s="715">
        <f t="shared" si="5"/>
        <v>223244.04</v>
      </c>
      <c r="O10" s="715"/>
      <c r="P10" s="715"/>
      <c r="Q10" s="795">
        <f>26*10000</f>
        <v>260000</v>
      </c>
      <c r="R10" s="795">
        <f>+$G$5/173*42</f>
        <v>610578.034682081</v>
      </c>
      <c r="S10" s="309">
        <f t="shared" si="6"/>
        <v>3884372.57468208</v>
      </c>
      <c r="T10" s="810">
        <f t="shared" si="7"/>
        <v>22324.404</v>
      </c>
      <c r="U10" s="811">
        <f t="shared" si="8"/>
        <v>3906696.97868208</v>
      </c>
      <c r="V10" s="805">
        <v>44409</v>
      </c>
      <c r="W10" s="1021">
        <v>44439</v>
      </c>
      <c r="X10" s="809"/>
      <c r="Y10" s="181"/>
      <c r="Z10" s="181"/>
      <c r="AA10" s="181"/>
    </row>
    <row r="11" ht="23.25" customHeight="1" s="760" customFormat="1">
      <c r="A11" s="202" t="s">
        <v>64</v>
      </c>
      <c r="B11" s="1194" t="s">
        <v>73</v>
      </c>
      <c r="C11" s="1195" t="s">
        <v>74</v>
      </c>
      <c r="D11" s="774" t="s">
        <v>75</v>
      </c>
      <c r="E11" s="775" t="s">
        <v>62</v>
      </c>
      <c r="F11" s="775" t="s">
        <v>63</v>
      </c>
      <c r="G11" s="771">
        <f t="shared" si="0"/>
        <v>2515000</v>
      </c>
      <c r="H11" s="776"/>
      <c r="I11" s="707">
        <f t="shared" si="1"/>
        <v>122983.5</v>
      </c>
      <c r="J11" s="707">
        <f t="shared" si="2"/>
        <v>100600</v>
      </c>
      <c r="K11" s="707">
        <f t="shared" si="3"/>
        <v>50300</v>
      </c>
      <c r="L11" s="707">
        <v>1667</v>
      </c>
      <c r="M11" s="715">
        <f t="shared" si="4"/>
        <v>2790550.5</v>
      </c>
      <c r="N11" s="715">
        <f t="shared" si="5"/>
        <v>223244.04</v>
      </c>
      <c r="O11" s="304"/>
      <c r="P11" s="304"/>
      <c r="Q11" s="394">
        <f>26*10000</f>
        <v>260000</v>
      </c>
      <c r="R11" s="795">
        <f>+$G$5/173*49.5</f>
        <v>719609.826589595</v>
      </c>
      <c r="S11" s="309">
        <f t="shared" si="6"/>
        <v>3993404.3665896</v>
      </c>
      <c r="T11" s="810">
        <f t="shared" si="7"/>
        <v>22324.404</v>
      </c>
      <c r="U11" s="811">
        <f t="shared" si="8"/>
        <v>4015728.7705896</v>
      </c>
      <c r="V11" s="812">
        <v>44409</v>
      </c>
      <c r="W11" s="813">
        <v>44439</v>
      </c>
      <c r="Y11" s="181"/>
      <c r="Z11" s="181"/>
      <c r="AA11" s="181"/>
    </row>
    <row r="12" ht="23.25" customHeight="1" s="760" customFormat="1">
      <c r="A12" s="202" t="s">
        <v>59</v>
      </c>
      <c r="B12" s="775" t="s">
        <v>76</v>
      </c>
      <c r="C12" s="773" t="s">
        <v>77</v>
      </c>
      <c r="D12" s="774" t="s">
        <v>78</v>
      </c>
      <c r="E12" s="775" t="s">
        <v>62</v>
      </c>
      <c r="F12" s="775" t="s">
        <v>63</v>
      </c>
      <c r="G12" s="771">
        <v>2515000</v>
      </c>
      <c r="H12" s="776"/>
      <c r="I12" s="707">
        <f t="shared" si="1"/>
        <v>122983.5</v>
      </c>
      <c r="J12" s="707">
        <f t="shared" si="2"/>
        <v>100600</v>
      </c>
      <c r="K12" s="707">
        <f t="shared" si="3"/>
        <v>50300</v>
      </c>
      <c r="L12" s="707">
        <v>1667</v>
      </c>
      <c r="M12" s="715">
        <f t="shared" si="4"/>
        <v>2790550.5</v>
      </c>
      <c r="N12" s="715">
        <f t="shared" si="5"/>
        <v>223244.04</v>
      </c>
      <c r="O12" s="304"/>
      <c r="P12" s="715"/>
      <c r="Q12" s="795">
        <f>27*10000</f>
        <v>270000</v>
      </c>
      <c r="R12" s="795">
        <f>+$G$5/173*49.5</f>
        <v>719609.826589595</v>
      </c>
      <c r="S12" s="309">
        <f t="shared" si="6"/>
        <v>4003404.3665896</v>
      </c>
      <c r="T12" s="807">
        <f t="shared" si="7"/>
        <v>22324.404</v>
      </c>
      <c r="U12" s="310">
        <f t="shared" si="8"/>
        <v>4025728.7705896</v>
      </c>
      <c r="V12" s="814">
        <v>44378</v>
      </c>
      <c r="W12" s="813">
        <v>44469</v>
      </c>
      <c r="Y12" s="181"/>
      <c r="Z12" s="181"/>
      <c r="AA12" s="181"/>
    </row>
    <row r="13" ht="23.25" customHeight="1" s="760" customFormat="1">
      <c r="A13" s="202" t="s">
        <v>59</v>
      </c>
      <c r="B13" s="968" t="s">
        <v>79</v>
      </c>
      <c r="C13" s="773" t="s">
        <v>80</v>
      </c>
      <c r="D13" s="770" t="s">
        <v>69</v>
      </c>
      <c r="E13" s="775" t="s">
        <v>62</v>
      </c>
      <c r="F13" s="775" t="s">
        <v>63</v>
      </c>
      <c r="G13" s="771">
        <v>2515000</v>
      </c>
      <c r="H13" s="776"/>
      <c r="I13" s="707">
        <f t="shared" si="1"/>
        <v>122983.5</v>
      </c>
      <c r="J13" s="707">
        <f t="shared" si="2"/>
        <v>100600</v>
      </c>
      <c r="K13" s="707">
        <f t="shared" si="3"/>
        <v>50300</v>
      </c>
      <c r="L13" s="707">
        <v>1667</v>
      </c>
      <c r="M13" s="715">
        <f t="shared" si="4"/>
        <v>2790550.5</v>
      </c>
      <c r="N13" s="715">
        <f t="shared" si="5"/>
        <v>223244.04</v>
      </c>
      <c r="O13" s="304"/>
      <c r="P13" s="715"/>
      <c r="Q13" s="795">
        <f>27*12000</f>
        <v>324000</v>
      </c>
      <c r="R13" s="795">
        <f>+$G$5/173*57</f>
        <v>828641.61849711</v>
      </c>
      <c r="S13" s="309">
        <f t="shared" si="6"/>
        <v>4166436.15849711</v>
      </c>
      <c r="T13" s="810">
        <f t="shared" si="7"/>
        <v>22324.404</v>
      </c>
      <c r="U13" s="310">
        <f t="shared" si="8"/>
        <v>4188760.56249711</v>
      </c>
      <c r="V13" s="812">
        <v>44348</v>
      </c>
      <c r="W13" s="813">
        <v>44439</v>
      </c>
      <c r="Y13" s="181"/>
      <c r="Z13" s="181"/>
      <c r="AA13" s="181"/>
    </row>
    <row r="14" ht="23.25" customHeight="1" s="760" customFormat="1">
      <c r="A14" s="202" t="s">
        <v>59</v>
      </c>
      <c r="B14" s="775" t="s">
        <v>81</v>
      </c>
      <c r="C14" s="773" t="s">
        <v>82</v>
      </c>
      <c r="D14" s="770" t="s">
        <v>78</v>
      </c>
      <c r="E14" s="775" t="s">
        <v>62</v>
      </c>
      <c r="F14" s="775" t="s">
        <v>63</v>
      </c>
      <c r="G14" s="771">
        <v>2515000</v>
      </c>
      <c r="H14" s="776"/>
      <c r="I14" s="707">
        <f>+$G$5*4.89%</f>
        <v>122983.5</v>
      </c>
      <c r="J14" s="707">
        <f>+$G$5*4%</f>
        <v>100600</v>
      </c>
      <c r="K14" s="707">
        <f>+$G$5*2%</f>
        <v>50300</v>
      </c>
      <c r="L14" s="707">
        <v>1667</v>
      </c>
      <c r="M14" s="715">
        <f t="shared" si="4"/>
        <v>2790550.5</v>
      </c>
      <c r="N14" s="715">
        <f t="shared" si="5"/>
        <v>223244.04</v>
      </c>
      <c r="O14" s="304"/>
      <c r="P14" s="715"/>
      <c r="Q14" s="795">
        <f>26*10000</f>
        <v>260000</v>
      </c>
      <c r="R14" s="795">
        <f>+$G$5/173*49.5</f>
        <v>719609.826589595</v>
      </c>
      <c r="S14" s="309">
        <f>SUM(M14:R14)</f>
        <v>3993404.3665896</v>
      </c>
      <c r="T14" s="810">
        <f t="shared" si="7"/>
        <v>22324.404</v>
      </c>
      <c r="U14" s="310">
        <f t="shared" si="8"/>
        <v>4015728.7705896</v>
      </c>
      <c r="V14" s="812">
        <v>44343</v>
      </c>
      <c r="W14" s="813">
        <v>44439</v>
      </c>
      <c r="Y14" s="181"/>
      <c r="Z14" s="181"/>
      <c r="AA14" s="181"/>
    </row>
    <row r="15" ht="23.25" customHeight="1" s="765" customFormat="1">
      <c r="A15" s="319" t="s">
        <v>59</v>
      </c>
      <c r="B15" s="843" t="s">
        <v>83</v>
      </c>
      <c r="C15" s="686" t="s">
        <v>13</v>
      </c>
      <c r="D15" s="839" t="s">
        <v>84</v>
      </c>
      <c r="E15" s="840" t="s">
        <v>62</v>
      </c>
      <c r="F15" s="840" t="s">
        <v>63</v>
      </c>
      <c r="G15" s="841">
        <f>2515000/31*29</f>
        <v>2352741.93548387</v>
      </c>
      <c r="H15" s="842"/>
      <c r="I15" s="849">
        <v>122983.5</v>
      </c>
      <c r="J15" s="849">
        <v>100600</v>
      </c>
      <c r="K15" s="849">
        <v>50300</v>
      </c>
      <c r="L15" s="323">
        <v>1667</v>
      </c>
      <c r="M15" s="850">
        <f>SUM(G15:L15)</f>
        <v>2628292.43548387</v>
      </c>
      <c r="N15" s="850">
        <v>42581.6477419355</v>
      </c>
      <c r="O15" s="339"/>
      <c r="P15" s="850"/>
      <c r="Q15" s="850"/>
      <c r="R15" s="850"/>
      <c r="S15" s="340">
        <f>SUM(M15:R15)</f>
        <v>2670874.08322581</v>
      </c>
      <c r="T15" s="851">
        <v>4258.16477419355</v>
      </c>
      <c r="U15" s="341">
        <f>S15+T15</f>
        <v>2675132.248</v>
      </c>
      <c r="V15" s="852">
        <v>44411</v>
      </c>
      <c r="W15" s="1022">
        <v>44500</v>
      </c>
      <c r="Y15" s="859"/>
      <c r="Z15" s="859"/>
      <c r="AA15" s="859"/>
      <c r="AC15" s="860"/>
      <c r="AD15" s="860"/>
      <c r="AF15" s="861"/>
    </row>
    <row r="16" ht="23.25" customHeight="1" s="761" customFormat="1">
      <c r="A16" s="202" t="s">
        <v>64</v>
      </c>
      <c r="B16" s="1196" t="s">
        <v>85</v>
      </c>
      <c r="C16" s="1184" t="s">
        <v>86</v>
      </c>
      <c r="D16" s="778" t="s">
        <v>78</v>
      </c>
      <c r="E16" s="777" t="s">
        <v>62</v>
      </c>
      <c r="F16" s="777" t="s">
        <v>63</v>
      </c>
      <c r="G16" s="779"/>
      <c r="H16" s="779"/>
      <c r="I16" s="389"/>
      <c r="J16" s="389"/>
      <c r="K16" s="389"/>
      <c r="L16" s="796"/>
      <c r="M16" s="400">
        <f t="shared" si="4"/>
        <v>0</v>
      </c>
      <c r="N16" s="400">
        <f t="shared" si="5"/>
        <v>0</v>
      </c>
      <c r="O16" s="400"/>
      <c r="P16" s="400"/>
      <c r="Q16" s="400">
        <f>22*10000</f>
        <v>220000</v>
      </c>
      <c r="R16" s="815">
        <f>+$G$5/173*44</f>
        <v>639653.179190751</v>
      </c>
      <c r="S16" s="418">
        <f t="shared" si="6"/>
        <v>859653.179190751</v>
      </c>
      <c r="T16" s="816">
        <f t="shared" si="7"/>
        <v>0</v>
      </c>
      <c r="U16" s="419">
        <f>S16+T16</f>
        <v>859653.179190751</v>
      </c>
      <c r="V16" s="817">
        <v>44348</v>
      </c>
      <c r="W16" s="818">
        <v>44404</v>
      </c>
      <c r="Y16" s="829"/>
      <c r="Z16" s="829"/>
      <c r="AA16" s="829"/>
    </row>
    <row r="17" ht="23.25" customHeight="1" s="180" customFormat="1">
      <c r="A17" s="202" t="s">
        <v>87</v>
      </c>
      <c r="B17" s="1188"/>
      <c r="C17" s="207"/>
      <c r="D17" s="207"/>
      <c r="E17" s="207"/>
      <c r="F17" s="208"/>
      <c r="G17" s="390">
        <f>SUM(G7:G16)</f>
        <v>22472741.9354839</v>
      </c>
      <c r="H17" s="390">
        <f ref="H17:U17" t="shared" si="13">SUM(H7:H16)</f>
        <v>0</v>
      </c>
      <c r="I17" s="390">
        <f t="shared" si="13"/>
        <v>1106851.5</v>
      </c>
      <c r="J17" s="390">
        <f t="shared" si="13"/>
        <v>905400</v>
      </c>
      <c r="K17" s="390">
        <f t="shared" si="13"/>
        <v>452700</v>
      </c>
      <c r="L17" s="390">
        <f t="shared" si="13"/>
        <v>15003</v>
      </c>
      <c r="M17" s="390">
        <f t="shared" si="13"/>
        <v>24952696.43548387</v>
      </c>
      <c r="N17" s="390">
        <f t="shared" si="13"/>
        <v>1828533.9677419355</v>
      </c>
      <c r="O17" s="390">
        <f t="shared" si="13"/>
        <v>700000</v>
      </c>
      <c r="P17" s="390">
        <f t="shared" si="13"/>
        <v>932000</v>
      </c>
      <c r="Q17" s="390">
        <f t="shared" si="13"/>
        <v>2178000</v>
      </c>
      <c r="R17" s="390">
        <f t="shared" si="13"/>
        <v>6258424.855491329</v>
      </c>
      <c r="S17" s="390">
        <f t="shared" si="13"/>
        <v>36849655.25871714</v>
      </c>
      <c r="T17" s="390">
        <f t="shared" si="13"/>
        <v>182853.39677419356</v>
      </c>
      <c r="U17" s="390">
        <f t="shared" si="13"/>
        <v>37032508.65549134</v>
      </c>
      <c r="V17" s="819"/>
      <c r="W17" s="820"/>
      <c r="X17" s="178"/>
      <c r="Y17" s="345"/>
      <c r="Z17" s="345"/>
      <c r="AA17" s="767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</row>
    <row r="18" ht="23.25" customHeight="1" s="180" customFormat="1">
      <c r="A18" s="180" t="s">
        <v>87</v>
      </c>
      <c r="B18" s="1178"/>
      <c r="C18" s="184"/>
      <c r="D18" s="212"/>
      <c r="E18" s="212"/>
      <c r="F18" s="212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184"/>
      <c r="W18" s="821"/>
      <c r="X18" s="178"/>
      <c r="Y18" s="830"/>
      <c r="Z18" s="345"/>
      <c r="AA18" s="767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</row>
    <row r="19" ht="23.25" customHeight="1" s="180" customFormat="1">
      <c r="A19" s="210" t="s">
        <v>87</v>
      </c>
      <c r="B19" s="1178"/>
      <c r="C19" s="184"/>
      <c r="D19" s="212"/>
      <c r="E19" s="212"/>
      <c r="F19" s="780"/>
      <c r="G19" s="781">
        <v>2318000</v>
      </c>
      <c r="H19" s="781"/>
      <c r="I19" s="797"/>
      <c r="M19" s="228"/>
      <c r="V19" s="184"/>
      <c r="W19" s="821"/>
      <c r="X19" s="178"/>
      <c r="Y19" s="830"/>
      <c r="Z19" s="345"/>
      <c r="AA19" s="767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</row>
    <row r="20" ht="23.25" customHeight="1" s="179" customFormat="1">
      <c r="A20" s="429" t="s">
        <v>64</v>
      </c>
      <c r="B20" s="1197" t="s">
        <v>37</v>
      </c>
      <c r="C20" s="1197" t="s">
        <v>38</v>
      </c>
      <c r="D20" s="430" t="s">
        <v>39</v>
      </c>
      <c r="E20" s="430" t="s">
        <v>40</v>
      </c>
      <c r="F20" s="431" t="s">
        <v>41</v>
      </c>
      <c r="G20" s="432" t="s">
        <v>42</v>
      </c>
      <c r="H20" s="432" t="s">
        <v>43</v>
      </c>
      <c r="I20" s="433" t="s">
        <v>44</v>
      </c>
      <c r="J20" s="219" t="s">
        <v>45</v>
      </c>
      <c r="K20" s="219" t="s">
        <v>46</v>
      </c>
      <c r="L20" s="453" t="s">
        <v>47</v>
      </c>
      <c r="M20" s="453" t="s">
        <v>48</v>
      </c>
      <c r="N20" s="221" t="s">
        <v>49</v>
      </c>
      <c r="O20" s="794" t="s">
        <v>50</v>
      </c>
      <c r="P20" s="794" t="s">
        <v>51</v>
      </c>
      <c r="Q20" s="801" t="s">
        <v>52</v>
      </c>
      <c r="R20" s="801" t="s">
        <v>53</v>
      </c>
      <c r="S20" s="462" t="s">
        <v>54</v>
      </c>
      <c r="T20" s="463" t="s">
        <v>55</v>
      </c>
      <c r="U20" s="463" t="s">
        <v>56</v>
      </c>
      <c r="V20" s="802" t="s">
        <v>57</v>
      </c>
      <c r="W20" s="803" t="s">
        <v>58</v>
      </c>
      <c r="X20" s="822"/>
      <c r="Y20" s="831"/>
      <c r="Z20" s="831"/>
      <c r="AA20" s="832"/>
      <c r="AB20" s="822"/>
      <c r="AC20" s="822"/>
      <c r="AD20" s="822"/>
      <c r="AE20" s="822"/>
      <c r="AF20" s="822"/>
      <c r="AG20" s="822"/>
      <c r="AH20" s="822"/>
      <c r="AI20" s="822"/>
      <c r="AJ20" s="822"/>
      <c r="AK20" s="822"/>
      <c r="AL20" s="822"/>
      <c r="AM20" s="822"/>
      <c r="AN20" s="822"/>
      <c r="AO20" s="822"/>
      <c r="AP20" s="822"/>
      <c r="AQ20" s="822"/>
      <c r="AR20" s="822"/>
      <c r="AS20" s="822"/>
      <c r="AT20" s="822"/>
      <c r="AU20" s="822"/>
      <c r="AV20" s="822"/>
      <c r="AW20" s="822"/>
      <c r="AX20" s="822"/>
      <c r="AY20" s="822"/>
      <c r="AZ20" s="822"/>
      <c r="BA20" s="822"/>
      <c r="BB20" s="822"/>
    </row>
    <row r="21" ht="23.25" customHeight="1" s="762" customFormat="1">
      <c r="A21" s="377" t="s">
        <v>59</v>
      </c>
      <c r="B21" s="969" t="s">
        <v>88</v>
      </c>
      <c r="C21" s="379" t="s">
        <v>89</v>
      </c>
      <c r="D21" s="782" t="s">
        <v>84</v>
      </c>
      <c r="E21" s="378" t="s">
        <v>62</v>
      </c>
      <c r="F21" s="378" t="s">
        <v>63</v>
      </c>
      <c r="G21" s="771">
        <v>2515000</v>
      </c>
      <c r="H21" s="771"/>
      <c r="I21" s="798">
        <f ref="I21:I88" t="shared" si="14">+$G$5*4.89%</f>
        <v>122983.5</v>
      </c>
      <c r="J21" s="798">
        <f ref="J21:J88" t="shared" si="15">+$G$5*4%</f>
        <v>100600</v>
      </c>
      <c r="K21" s="798">
        <f ref="K21:K88" t="shared" si="16">+$G$5*2%</f>
        <v>50300</v>
      </c>
      <c r="L21" s="626">
        <f ref="L21:L88" t="shared" si="17">1667+13333</f>
        <v>15000</v>
      </c>
      <c r="M21" s="799">
        <f ref="M21:M48" t="shared" si="18">SUM(G21:L21)</f>
        <v>2803883.5</v>
      </c>
      <c r="N21" s="799">
        <f ref="N21:N48" t="shared" si="19">+M21*8%</f>
        <v>224310.68</v>
      </c>
      <c r="O21" s="394">
        <v>1404000</v>
      </c>
      <c r="P21" s="631"/>
      <c r="Q21" s="799"/>
      <c r="R21" s="799"/>
      <c r="S21" s="309">
        <f ref="S21:S48" t="shared" si="20">SUM(M21:R21)</f>
        <v>4432194.18</v>
      </c>
      <c r="T21" s="403">
        <f ref="T21:T48" t="shared" si="21">N21*0.1</f>
        <v>22431.068</v>
      </c>
      <c r="U21" s="404">
        <f ref="U21:U48" t="shared" si="22">S21+T21</f>
        <v>4454625.248</v>
      </c>
      <c r="V21" s="823">
        <v>44348</v>
      </c>
      <c r="W21" s="824">
        <v>44439</v>
      </c>
      <c r="X21" s="181"/>
      <c r="Y21" s="181"/>
      <c r="Z21" s="181"/>
      <c r="AA21" s="181"/>
      <c r="AB21" s="181"/>
      <c r="AC21" s="833"/>
      <c r="AD21" s="834"/>
      <c r="AE21" s="760"/>
      <c r="AF21" s="835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</row>
    <row r="22" ht="23.25" customHeight="1" s="762" customFormat="1">
      <c r="A22" s="377" t="s">
        <v>59</v>
      </c>
      <c r="B22" s="969" t="s">
        <v>90</v>
      </c>
      <c r="C22" s="379" t="s">
        <v>91</v>
      </c>
      <c r="D22" s="783" t="s">
        <v>84</v>
      </c>
      <c r="E22" s="378" t="s">
        <v>62</v>
      </c>
      <c r="F22" s="378" t="s">
        <v>63</v>
      </c>
      <c r="G22" s="771">
        <v>2515000</v>
      </c>
      <c r="H22" s="771"/>
      <c r="I22" s="798">
        <f t="shared" si="14"/>
        <v>122983.5</v>
      </c>
      <c r="J22" s="798">
        <f t="shared" si="15"/>
        <v>100600</v>
      </c>
      <c r="K22" s="798">
        <f t="shared" si="16"/>
        <v>50300</v>
      </c>
      <c r="L22" s="626">
        <f t="shared" si="17"/>
        <v>15000</v>
      </c>
      <c r="M22" s="799">
        <f t="shared" si="18"/>
        <v>2803883.5</v>
      </c>
      <c r="N22" s="799">
        <f t="shared" si="19"/>
        <v>224310.68</v>
      </c>
      <c r="O22" s="394">
        <v>1196000</v>
      </c>
      <c r="P22" s="631"/>
      <c r="Q22" s="799"/>
      <c r="R22" s="799"/>
      <c r="S22" s="309">
        <f t="shared" si="20"/>
        <v>4224194.18</v>
      </c>
      <c r="T22" s="403">
        <f t="shared" si="21"/>
        <v>22431.068</v>
      </c>
      <c r="U22" s="404">
        <f t="shared" si="22"/>
        <v>4246625.248</v>
      </c>
      <c r="V22" s="823">
        <v>44348</v>
      </c>
      <c r="W22" s="824">
        <v>44439</v>
      </c>
      <c r="X22" s="181"/>
      <c r="Y22" s="181"/>
      <c r="Z22" s="181"/>
      <c r="AA22" s="181"/>
      <c r="AB22" s="181"/>
      <c r="AC22" s="833"/>
      <c r="AD22" s="834"/>
      <c r="AE22" s="760"/>
      <c r="AF22" s="835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</row>
    <row r="23" ht="23.25" customHeight="1" s="762" customFormat="1">
      <c r="A23" s="377" t="s">
        <v>59</v>
      </c>
      <c r="B23" s="969" t="s">
        <v>92</v>
      </c>
      <c r="C23" s="379" t="s">
        <v>93</v>
      </c>
      <c r="D23" s="783" t="s">
        <v>84</v>
      </c>
      <c r="E23" s="378" t="s">
        <v>62</v>
      </c>
      <c r="F23" s="378" t="s">
        <v>63</v>
      </c>
      <c r="G23" s="771">
        <v>2515000</v>
      </c>
      <c r="H23" s="771"/>
      <c r="I23" s="798">
        <f t="shared" si="14"/>
        <v>122983.5</v>
      </c>
      <c r="J23" s="798">
        <f t="shared" si="15"/>
        <v>100600</v>
      </c>
      <c r="K23" s="798">
        <f t="shared" si="16"/>
        <v>50300</v>
      </c>
      <c r="L23" s="626">
        <f t="shared" si="17"/>
        <v>15000</v>
      </c>
      <c r="M23" s="799">
        <f t="shared" si="18"/>
        <v>2803883.5</v>
      </c>
      <c r="N23" s="799">
        <f t="shared" si="19"/>
        <v>224310.68</v>
      </c>
      <c r="O23" s="394">
        <v>1573000</v>
      </c>
      <c r="P23" s="631"/>
      <c r="Q23" s="799"/>
      <c r="R23" s="799"/>
      <c r="S23" s="309">
        <f t="shared" si="20"/>
        <v>4601194.18</v>
      </c>
      <c r="T23" s="403">
        <f t="shared" si="21"/>
        <v>22431.068</v>
      </c>
      <c r="U23" s="404">
        <f t="shared" si="22"/>
        <v>4623625.248</v>
      </c>
      <c r="V23" s="823">
        <v>44348</v>
      </c>
      <c r="W23" s="824">
        <v>44439</v>
      </c>
      <c r="X23" s="181"/>
      <c r="Y23" s="181"/>
      <c r="Z23" s="181"/>
      <c r="AA23" s="181"/>
      <c r="AB23" s="181"/>
      <c r="AC23" s="833"/>
      <c r="AD23" s="833"/>
      <c r="AE23" s="760"/>
      <c r="AF23" s="835"/>
      <c r="AG23" s="760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</row>
    <row r="24" ht="23.25" customHeight="1" s="763" customFormat="1">
      <c r="A24" s="377" t="s">
        <v>59</v>
      </c>
      <c r="B24" s="970" t="s">
        <v>94</v>
      </c>
      <c r="C24" s="784" t="s">
        <v>95</v>
      </c>
      <c r="D24" s="785" t="s">
        <v>84</v>
      </c>
      <c r="E24" s="786" t="s">
        <v>62</v>
      </c>
      <c r="F24" s="786" t="s">
        <v>63</v>
      </c>
      <c r="G24" s="771">
        <v>2515000</v>
      </c>
      <c r="H24" s="771"/>
      <c r="I24" s="626">
        <f t="shared" si="14"/>
        <v>122983.5</v>
      </c>
      <c r="J24" s="626">
        <f t="shared" si="15"/>
        <v>100600</v>
      </c>
      <c r="K24" s="626">
        <f t="shared" si="16"/>
        <v>50300</v>
      </c>
      <c r="L24" s="626">
        <f t="shared" si="17"/>
        <v>15000</v>
      </c>
      <c r="M24" s="631">
        <f t="shared" si="18"/>
        <v>2803883.5</v>
      </c>
      <c r="N24" s="631">
        <f t="shared" si="19"/>
        <v>224310.68</v>
      </c>
      <c r="O24" s="394">
        <v>1599000</v>
      </c>
      <c r="P24" s="631"/>
      <c r="Q24" s="631"/>
      <c r="R24" s="631"/>
      <c r="S24" s="309">
        <f t="shared" si="20"/>
        <v>4627194.18</v>
      </c>
      <c r="T24" s="825">
        <f t="shared" si="21"/>
        <v>22431.068</v>
      </c>
      <c r="U24" s="404">
        <f t="shared" si="22"/>
        <v>4649625.248</v>
      </c>
      <c r="V24" s="805">
        <v>44378</v>
      </c>
      <c r="W24" s="1021">
        <v>44469</v>
      </c>
      <c r="X24" s="760"/>
      <c r="Y24" s="181"/>
      <c r="Z24" s="181"/>
      <c r="AA24" s="181"/>
      <c r="AB24" s="760"/>
      <c r="AC24" s="834"/>
      <c r="AD24" s="834"/>
      <c r="AE24" s="760"/>
      <c r="AF24" s="836"/>
      <c r="AG24" s="760"/>
      <c r="AH24" s="760"/>
      <c r="AI24" s="760"/>
      <c r="AJ24" s="760"/>
      <c r="AK24" s="760"/>
      <c r="AL24" s="760"/>
      <c r="AM24" s="760"/>
      <c r="AN24" s="760"/>
      <c r="AO24" s="760"/>
      <c r="AP24" s="760"/>
      <c r="AQ24" s="760"/>
      <c r="AR24" s="760"/>
      <c r="AS24" s="760"/>
      <c r="AT24" s="760"/>
      <c r="AU24" s="760"/>
      <c r="AV24" s="760"/>
      <c r="AW24" s="760"/>
      <c r="AX24" s="760"/>
      <c r="AY24" s="760"/>
      <c r="AZ24" s="760"/>
      <c r="BA24" s="760"/>
      <c r="BB24" s="760"/>
    </row>
    <row r="25" ht="23.25" customHeight="1" s="763" customFormat="1">
      <c r="A25" s="377" t="s">
        <v>59</v>
      </c>
      <c r="B25" s="970" t="s">
        <v>96</v>
      </c>
      <c r="C25" s="784" t="s">
        <v>14</v>
      </c>
      <c r="D25" s="785" t="s">
        <v>84</v>
      </c>
      <c r="E25" s="786" t="s">
        <v>62</v>
      </c>
      <c r="F25" s="786" t="s">
        <v>63</v>
      </c>
      <c r="G25" s="771">
        <v>2515000</v>
      </c>
      <c r="H25" s="771">
        <f>-2515000/25*2</f>
        <v>-201200</v>
      </c>
      <c r="I25" s="626">
        <f t="shared" si="14"/>
        <v>122983.5</v>
      </c>
      <c r="J25" s="626">
        <f t="shared" si="15"/>
        <v>100600</v>
      </c>
      <c r="K25" s="626">
        <f t="shared" si="16"/>
        <v>50300</v>
      </c>
      <c r="L25" s="626">
        <f t="shared" si="17"/>
        <v>15000</v>
      </c>
      <c r="M25" s="631">
        <f t="shared" si="18"/>
        <v>2602683.5</v>
      </c>
      <c r="N25" s="631">
        <f t="shared" si="19"/>
        <v>208214.68</v>
      </c>
      <c r="O25" s="394">
        <v>1729000</v>
      </c>
      <c r="P25" s="631"/>
      <c r="Q25" s="631"/>
      <c r="R25" s="631"/>
      <c r="S25" s="309">
        <f t="shared" si="20"/>
        <v>4539898.18</v>
      </c>
      <c r="T25" s="825">
        <f t="shared" si="21"/>
        <v>20821.468</v>
      </c>
      <c r="U25" s="404">
        <f t="shared" si="22"/>
        <v>4560719.648</v>
      </c>
      <c r="V25" s="805">
        <v>44378</v>
      </c>
      <c r="W25" s="1021">
        <v>44469</v>
      </c>
      <c r="X25" s="760"/>
      <c r="Y25" s="181"/>
      <c r="Z25" s="181"/>
      <c r="AA25" s="181"/>
      <c r="AB25" s="760"/>
      <c r="AC25" s="834"/>
      <c r="AD25" s="834"/>
      <c r="AE25" s="760"/>
      <c r="AF25" s="836"/>
      <c r="AG25" s="760"/>
      <c r="AH25" s="760"/>
      <c r="AI25" s="760"/>
      <c r="AJ25" s="760"/>
      <c r="AK25" s="760"/>
      <c r="AL25" s="760"/>
      <c r="AM25" s="760"/>
      <c r="AN25" s="760"/>
      <c r="AO25" s="760"/>
      <c r="AP25" s="760"/>
      <c r="AQ25" s="760"/>
      <c r="AR25" s="760"/>
      <c r="AS25" s="760"/>
      <c r="AT25" s="760"/>
      <c r="AU25" s="760"/>
      <c r="AV25" s="760"/>
      <c r="AW25" s="760"/>
      <c r="AX25" s="760"/>
      <c r="AY25" s="760"/>
      <c r="AZ25" s="760"/>
      <c r="BA25" s="760"/>
      <c r="BB25" s="760"/>
    </row>
    <row r="26" ht="23.25" customHeight="1" s="763" customFormat="1">
      <c r="A26" s="377" t="s">
        <v>59</v>
      </c>
      <c r="B26" s="969" t="s">
        <v>97</v>
      </c>
      <c r="C26" s="784" t="s">
        <v>98</v>
      </c>
      <c r="D26" s="785" t="s">
        <v>84</v>
      </c>
      <c r="E26" s="786" t="s">
        <v>62</v>
      </c>
      <c r="F26" s="786" t="s">
        <v>63</v>
      </c>
      <c r="G26" s="771">
        <v>2515000</v>
      </c>
      <c r="H26" s="771">
        <f>-2515000/25*1</f>
        <v>-100600</v>
      </c>
      <c r="I26" s="626">
        <f t="shared" si="14"/>
        <v>122983.5</v>
      </c>
      <c r="J26" s="626">
        <f t="shared" si="15"/>
        <v>100600</v>
      </c>
      <c r="K26" s="626">
        <f t="shared" si="16"/>
        <v>50300</v>
      </c>
      <c r="L26" s="626">
        <f t="shared" si="17"/>
        <v>15000</v>
      </c>
      <c r="M26" s="631">
        <f t="shared" si="18"/>
        <v>2703283.5</v>
      </c>
      <c r="N26" s="631">
        <f t="shared" si="19"/>
        <v>216262.68</v>
      </c>
      <c r="O26" s="394">
        <v>0</v>
      </c>
      <c r="P26" s="631"/>
      <c r="Q26" s="631"/>
      <c r="R26" s="631"/>
      <c r="S26" s="309">
        <f t="shared" si="20"/>
        <v>2919546.18</v>
      </c>
      <c r="T26" s="825">
        <f t="shared" si="21"/>
        <v>21626.268</v>
      </c>
      <c r="U26" s="404">
        <f t="shared" si="22"/>
        <v>2941172.4480000003</v>
      </c>
      <c r="V26" s="805">
        <v>44409</v>
      </c>
      <c r="W26" s="1021">
        <v>44439</v>
      </c>
      <c r="X26" s="760"/>
      <c r="Y26" s="181"/>
      <c r="Z26" s="181"/>
      <c r="AA26" s="181"/>
      <c r="AB26" s="760"/>
      <c r="AC26" s="834"/>
      <c r="AD26" s="837"/>
      <c r="AE26" s="760"/>
      <c r="AF26" s="836"/>
      <c r="AG26" s="760"/>
      <c r="AH26" s="838"/>
      <c r="AI26" s="760"/>
      <c r="AJ26" s="760"/>
      <c r="AK26" s="760"/>
      <c r="AL26" s="760"/>
      <c r="AM26" s="760"/>
      <c r="AN26" s="760"/>
      <c r="AO26" s="760"/>
      <c r="AP26" s="760"/>
      <c r="AQ26" s="760"/>
      <c r="AR26" s="760"/>
      <c r="AS26" s="760"/>
      <c r="AT26" s="760"/>
      <c r="AU26" s="760"/>
      <c r="AV26" s="760"/>
      <c r="AW26" s="760"/>
      <c r="AX26" s="760"/>
      <c r="AY26" s="760"/>
      <c r="AZ26" s="760"/>
      <c r="BA26" s="760"/>
      <c r="BB26" s="760"/>
    </row>
    <row r="27" ht="23.25" customHeight="1" s="763" customFormat="1">
      <c r="A27" s="377" t="s">
        <v>59</v>
      </c>
      <c r="B27" s="969" t="s">
        <v>99</v>
      </c>
      <c r="C27" s="784" t="s">
        <v>100</v>
      </c>
      <c r="D27" s="785" t="s">
        <v>84</v>
      </c>
      <c r="E27" s="786" t="s">
        <v>62</v>
      </c>
      <c r="F27" s="786" t="s">
        <v>63</v>
      </c>
      <c r="G27" s="771">
        <v>2515000</v>
      </c>
      <c r="H27" s="771"/>
      <c r="I27" s="626">
        <f t="shared" si="14"/>
        <v>122983.5</v>
      </c>
      <c r="J27" s="626">
        <f t="shared" si="15"/>
        <v>100600</v>
      </c>
      <c r="K27" s="626">
        <f t="shared" si="16"/>
        <v>50300</v>
      </c>
      <c r="L27" s="626">
        <f t="shared" si="17"/>
        <v>15000</v>
      </c>
      <c r="M27" s="631">
        <f t="shared" si="18"/>
        <v>2803883.5</v>
      </c>
      <c r="N27" s="631">
        <f t="shared" si="19"/>
        <v>224310.68</v>
      </c>
      <c r="O27" s="394">
        <v>1248000</v>
      </c>
      <c r="P27" s="631"/>
      <c r="Q27" s="631"/>
      <c r="R27" s="631"/>
      <c r="S27" s="309">
        <f t="shared" si="20"/>
        <v>4276194.18</v>
      </c>
      <c r="T27" s="825">
        <f t="shared" si="21"/>
        <v>22431.068</v>
      </c>
      <c r="U27" s="404">
        <f t="shared" si="22"/>
        <v>4298625.248</v>
      </c>
      <c r="V27" s="805">
        <v>44409</v>
      </c>
      <c r="W27" s="1021">
        <v>44439</v>
      </c>
      <c r="X27" s="760"/>
      <c r="Y27" s="181"/>
      <c r="Z27" s="181"/>
      <c r="AA27" s="181"/>
      <c r="AB27" s="760"/>
      <c r="AC27" s="834"/>
      <c r="AD27" s="834"/>
      <c r="AE27" s="760"/>
      <c r="AF27" s="836"/>
      <c r="AG27" s="760"/>
      <c r="AH27" s="760"/>
      <c r="AI27" s="760"/>
      <c r="AJ27" s="760"/>
      <c r="AK27" s="760"/>
      <c r="AL27" s="760"/>
      <c r="AM27" s="760"/>
      <c r="AN27" s="760"/>
      <c r="AO27" s="760"/>
      <c r="AP27" s="760"/>
      <c r="AQ27" s="760"/>
      <c r="AR27" s="760"/>
      <c r="AS27" s="760"/>
      <c r="AT27" s="760"/>
      <c r="AU27" s="760"/>
      <c r="AV27" s="760"/>
      <c r="AW27" s="760"/>
      <c r="AX27" s="760"/>
      <c r="AY27" s="760"/>
      <c r="AZ27" s="760"/>
      <c r="BA27" s="760"/>
      <c r="BB27" s="760"/>
    </row>
    <row r="28" ht="23.25" customHeight="1" s="763" customFormat="1">
      <c r="A28" s="377" t="s">
        <v>59</v>
      </c>
      <c r="B28" s="969" t="s">
        <v>101</v>
      </c>
      <c r="C28" s="784" t="s">
        <v>102</v>
      </c>
      <c r="D28" s="785" t="s">
        <v>84</v>
      </c>
      <c r="E28" s="786" t="s">
        <v>62</v>
      </c>
      <c r="F28" s="786" t="s">
        <v>63</v>
      </c>
      <c r="G28" s="771">
        <v>2515000</v>
      </c>
      <c r="H28" s="771"/>
      <c r="I28" s="626">
        <f t="shared" si="14"/>
        <v>122983.5</v>
      </c>
      <c r="J28" s="626">
        <f t="shared" si="15"/>
        <v>100600</v>
      </c>
      <c r="K28" s="626">
        <f t="shared" si="16"/>
        <v>50300</v>
      </c>
      <c r="L28" s="626">
        <f t="shared" si="17"/>
        <v>15000</v>
      </c>
      <c r="M28" s="631">
        <f t="shared" si="18"/>
        <v>2803883.5</v>
      </c>
      <c r="N28" s="631">
        <f t="shared" si="19"/>
        <v>224310.68</v>
      </c>
      <c r="O28" s="394"/>
      <c r="P28" s="631"/>
      <c r="Q28" s="631"/>
      <c r="R28" s="631"/>
      <c r="S28" s="309">
        <f t="shared" si="20"/>
        <v>3028194.18</v>
      </c>
      <c r="T28" s="825">
        <f t="shared" si="21"/>
        <v>22431.068</v>
      </c>
      <c r="U28" s="404">
        <f t="shared" si="22"/>
        <v>3050625.248</v>
      </c>
      <c r="V28" s="805">
        <v>44409</v>
      </c>
      <c r="W28" s="1021">
        <v>44439</v>
      </c>
      <c r="X28" s="760"/>
      <c r="Y28" s="181"/>
      <c r="Z28" s="181"/>
      <c r="AA28" s="181"/>
      <c r="AB28" s="760"/>
      <c r="AC28" s="834"/>
      <c r="AD28" s="834"/>
      <c r="AE28" s="760"/>
      <c r="AF28" s="836"/>
      <c r="AG28" s="760"/>
      <c r="AH28" s="760"/>
      <c r="AI28" s="760"/>
      <c r="AJ28" s="760"/>
      <c r="AK28" s="760"/>
      <c r="AL28" s="760"/>
      <c r="AM28" s="760"/>
      <c r="AN28" s="760"/>
      <c r="AO28" s="760"/>
      <c r="AP28" s="760"/>
      <c r="AQ28" s="760"/>
      <c r="AR28" s="760"/>
      <c r="AS28" s="760"/>
      <c r="AT28" s="760"/>
      <c r="AU28" s="760"/>
      <c r="AV28" s="760"/>
      <c r="AW28" s="760"/>
      <c r="AX28" s="760"/>
      <c r="AY28" s="760"/>
      <c r="AZ28" s="760"/>
      <c r="BA28" s="760"/>
      <c r="BB28" s="760"/>
    </row>
    <row r="29" ht="23.25" customHeight="1" s="763" customFormat="1">
      <c r="A29" s="377" t="s">
        <v>59</v>
      </c>
      <c r="B29" s="969" t="s">
        <v>103</v>
      </c>
      <c r="C29" s="784" t="s">
        <v>104</v>
      </c>
      <c r="D29" s="785" t="s">
        <v>84</v>
      </c>
      <c r="E29" s="786" t="s">
        <v>62</v>
      </c>
      <c r="F29" s="786" t="s">
        <v>63</v>
      </c>
      <c r="G29" s="771">
        <v>2515000</v>
      </c>
      <c r="H29" s="771"/>
      <c r="I29" s="626">
        <f t="shared" si="14"/>
        <v>122983.5</v>
      </c>
      <c r="J29" s="626">
        <f t="shared" si="15"/>
        <v>100600</v>
      </c>
      <c r="K29" s="626">
        <f t="shared" si="16"/>
        <v>50300</v>
      </c>
      <c r="L29" s="626">
        <f t="shared" si="17"/>
        <v>15000</v>
      </c>
      <c r="M29" s="631">
        <f t="shared" si="18"/>
        <v>2803883.5</v>
      </c>
      <c r="N29" s="631">
        <f t="shared" si="19"/>
        <v>224310.68</v>
      </c>
      <c r="O29" s="394">
        <v>1560000</v>
      </c>
      <c r="P29" s="631"/>
      <c r="Q29" s="631"/>
      <c r="R29" s="631"/>
      <c r="S29" s="309">
        <f t="shared" si="20"/>
        <v>4588194.18</v>
      </c>
      <c r="T29" s="825">
        <f t="shared" si="21"/>
        <v>22431.068</v>
      </c>
      <c r="U29" s="404">
        <f t="shared" si="22"/>
        <v>4610625.248</v>
      </c>
      <c r="V29" s="805">
        <v>44409</v>
      </c>
      <c r="W29" s="1021">
        <v>44439</v>
      </c>
      <c r="X29" s="760"/>
      <c r="Y29" s="181"/>
      <c r="Z29" s="181"/>
      <c r="AA29" s="181"/>
      <c r="AB29" s="760"/>
      <c r="AC29" s="834"/>
      <c r="AD29" s="836"/>
      <c r="AE29" s="760"/>
      <c r="AF29" s="836"/>
      <c r="AG29" s="760"/>
      <c r="AH29" s="760"/>
      <c r="AI29" s="760"/>
      <c r="AJ29" s="760"/>
      <c r="AK29" s="760"/>
      <c r="AL29" s="760"/>
      <c r="AM29" s="760"/>
      <c r="AN29" s="760"/>
      <c r="AO29" s="760"/>
      <c r="AP29" s="760"/>
      <c r="AQ29" s="760"/>
      <c r="AR29" s="760"/>
      <c r="AS29" s="760"/>
      <c r="AT29" s="760"/>
      <c r="AU29" s="760"/>
      <c r="AV29" s="760"/>
      <c r="AW29" s="760"/>
      <c r="AX29" s="760"/>
      <c r="AY29" s="760"/>
      <c r="AZ29" s="760"/>
      <c r="BA29" s="760"/>
      <c r="BB29" s="760"/>
    </row>
    <row r="30" ht="23.25" customHeight="1" s="763" customFormat="1">
      <c r="A30" s="377" t="s">
        <v>59</v>
      </c>
      <c r="B30" s="969" t="s">
        <v>105</v>
      </c>
      <c r="C30" s="784" t="s">
        <v>106</v>
      </c>
      <c r="D30" s="785" t="s">
        <v>84</v>
      </c>
      <c r="E30" s="786" t="s">
        <v>62</v>
      </c>
      <c r="F30" s="786" t="s">
        <v>63</v>
      </c>
      <c r="G30" s="771">
        <v>2515000</v>
      </c>
      <c r="H30" s="771"/>
      <c r="I30" s="626">
        <f t="shared" si="14"/>
        <v>122983.5</v>
      </c>
      <c r="J30" s="626">
        <f t="shared" si="15"/>
        <v>100600</v>
      </c>
      <c r="K30" s="626">
        <f t="shared" si="16"/>
        <v>50300</v>
      </c>
      <c r="L30" s="626">
        <f t="shared" si="17"/>
        <v>15000</v>
      </c>
      <c r="M30" s="631">
        <f t="shared" si="18"/>
        <v>2803883.5</v>
      </c>
      <c r="N30" s="631">
        <f t="shared" si="19"/>
        <v>224310.68</v>
      </c>
      <c r="O30" s="394">
        <v>1586000</v>
      </c>
      <c r="P30" s="631"/>
      <c r="Q30" s="631"/>
      <c r="R30" s="631"/>
      <c r="S30" s="309">
        <f t="shared" si="20"/>
        <v>4614194.18</v>
      </c>
      <c r="T30" s="825">
        <f t="shared" si="21"/>
        <v>22431.068</v>
      </c>
      <c r="U30" s="404">
        <f t="shared" si="22"/>
        <v>4636625.248</v>
      </c>
      <c r="V30" s="805">
        <v>44409</v>
      </c>
      <c r="W30" s="1021">
        <v>44439</v>
      </c>
      <c r="X30" s="760"/>
      <c r="Y30" s="181"/>
      <c r="Z30" s="181"/>
      <c r="AA30" s="181"/>
      <c r="AB30" s="760"/>
      <c r="AC30" s="834"/>
      <c r="AD30" s="834"/>
      <c r="AE30" s="760"/>
      <c r="AF30" s="836"/>
      <c r="AG30" s="760"/>
      <c r="AH30" s="760"/>
      <c r="AI30" s="760"/>
      <c r="AJ30" s="760"/>
      <c r="AK30" s="760"/>
      <c r="AL30" s="760"/>
      <c r="AM30" s="760"/>
      <c r="AN30" s="760"/>
      <c r="AO30" s="760"/>
      <c r="AP30" s="760"/>
      <c r="AQ30" s="760"/>
      <c r="AR30" s="760"/>
      <c r="AS30" s="760"/>
      <c r="AT30" s="760"/>
      <c r="AU30" s="760"/>
      <c r="AV30" s="760"/>
      <c r="AW30" s="760"/>
      <c r="AX30" s="760"/>
      <c r="AY30" s="760"/>
      <c r="AZ30" s="760"/>
      <c r="BA30" s="760"/>
      <c r="BB30" s="760"/>
    </row>
    <row r="31" ht="23.25" customHeight="1" s="763" customFormat="1">
      <c r="A31" s="377" t="s">
        <v>59</v>
      </c>
      <c r="B31" s="969" t="s">
        <v>107</v>
      </c>
      <c r="C31" s="784" t="s">
        <v>108</v>
      </c>
      <c r="D31" s="785" t="s">
        <v>84</v>
      </c>
      <c r="E31" s="786" t="s">
        <v>62</v>
      </c>
      <c r="F31" s="786" t="s">
        <v>63</v>
      </c>
      <c r="G31" s="771">
        <v>2515000</v>
      </c>
      <c r="H31" s="771">
        <f>-2515000/25*1</f>
        <v>-100600</v>
      </c>
      <c r="I31" s="626">
        <f t="shared" si="14"/>
        <v>122983.5</v>
      </c>
      <c r="J31" s="626">
        <f t="shared" si="15"/>
        <v>100600</v>
      </c>
      <c r="K31" s="626">
        <f t="shared" si="16"/>
        <v>50300</v>
      </c>
      <c r="L31" s="626">
        <f t="shared" si="17"/>
        <v>15000</v>
      </c>
      <c r="M31" s="631">
        <f t="shared" si="18"/>
        <v>2703283.5</v>
      </c>
      <c r="N31" s="631">
        <f t="shared" si="19"/>
        <v>216262.68</v>
      </c>
      <c r="O31" s="394">
        <v>1183000</v>
      </c>
      <c r="P31" s="631"/>
      <c r="Q31" s="631"/>
      <c r="R31" s="631"/>
      <c r="S31" s="309">
        <f t="shared" si="20"/>
        <v>4102546.18</v>
      </c>
      <c r="T31" s="825">
        <f t="shared" si="21"/>
        <v>21626.268</v>
      </c>
      <c r="U31" s="404">
        <f t="shared" si="22"/>
        <v>4124172.4480000003</v>
      </c>
      <c r="V31" s="805">
        <v>44409</v>
      </c>
      <c r="W31" s="1021">
        <v>44439</v>
      </c>
      <c r="X31" s="760"/>
      <c r="Y31" s="181"/>
      <c r="Z31" s="181"/>
      <c r="AA31" s="181"/>
      <c r="AB31" s="760"/>
      <c r="AC31" s="834"/>
      <c r="AD31" s="834"/>
      <c r="AE31" s="760"/>
      <c r="AF31" s="836"/>
      <c r="AG31" s="760"/>
      <c r="AH31" s="760"/>
      <c r="AI31" s="760"/>
      <c r="AJ31" s="760"/>
      <c r="AK31" s="760"/>
      <c r="AL31" s="760"/>
      <c r="AM31" s="760"/>
      <c r="AN31" s="760"/>
      <c r="AO31" s="760"/>
      <c r="AP31" s="760"/>
      <c r="AQ31" s="760"/>
      <c r="AR31" s="760"/>
      <c r="AS31" s="760"/>
      <c r="AT31" s="760"/>
      <c r="AU31" s="760"/>
      <c r="AV31" s="760"/>
      <c r="AW31" s="760"/>
      <c r="AX31" s="760"/>
      <c r="AY31" s="760"/>
      <c r="AZ31" s="760"/>
      <c r="BA31" s="760"/>
      <c r="BB31" s="760"/>
    </row>
    <row r="32" ht="23.25" customHeight="1" s="760" customFormat="1">
      <c r="A32" s="377" t="s">
        <v>59</v>
      </c>
      <c r="B32" s="969" t="s">
        <v>109</v>
      </c>
      <c r="C32" s="784" t="s">
        <v>110</v>
      </c>
      <c r="D32" s="785" t="s">
        <v>84</v>
      </c>
      <c r="E32" s="786" t="s">
        <v>62</v>
      </c>
      <c r="F32" s="786" t="s">
        <v>63</v>
      </c>
      <c r="G32" s="771">
        <v>2515000</v>
      </c>
      <c r="H32" s="771"/>
      <c r="I32" s="626">
        <f t="shared" si="14"/>
        <v>122983.5</v>
      </c>
      <c r="J32" s="626">
        <f t="shared" si="15"/>
        <v>100600</v>
      </c>
      <c r="K32" s="626">
        <f t="shared" si="16"/>
        <v>50300</v>
      </c>
      <c r="L32" s="626">
        <f t="shared" si="17"/>
        <v>15000</v>
      </c>
      <c r="M32" s="631">
        <f t="shared" si="18"/>
        <v>2803883.5</v>
      </c>
      <c r="N32" s="631">
        <f t="shared" si="19"/>
        <v>224310.68</v>
      </c>
      <c r="O32" s="394">
        <v>1664000</v>
      </c>
      <c r="P32" s="631"/>
      <c r="Q32" s="631"/>
      <c r="R32" s="631"/>
      <c r="S32" s="309">
        <f t="shared" si="20"/>
        <v>4692194.18</v>
      </c>
      <c r="T32" s="825">
        <f t="shared" si="21"/>
        <v>22431.068</v>
      </c>
      <c r="U32" s="404">
        <f t="shared" si="22"/>
        <v>4714625.248</v>
      </c>
      <c r="V32" s="805">
        <v>44409</v>
      </c>
      <c r="W32" s="1021">
        <v>44439</v>
      </c>
      <c r="Y32" s="181"/>
      <c r="Z32" s="181"/>
      <c r="AA32" s="181"/>
      <c r="AC32" s="834"/>
      <c r="AD32" s="834"/>
      <c r="AF32" s="836"/>
    </row>
    <row r="33" ht="23.25" customHeight="1" s="760" customFormat="1">
      <c r="A33" s="377" t="s">
        <v>59</v>
      </c>
      <c r="B33" s="971" t="s">
        <v>111</v>
      </c>
      <c r="C33" s="769" t="s">
        <v>112</v>
      </c>
      <c r="D33" s="787" t="s">
        <v>84</v>
      </c>
      <c r="E33" s="772" t="s">
        <v>62</v>
      </c>
      <c r="F33" s="772" t="s">
        <v>63</v>
      </c>
      <c r="G33" s="771">
        <v>2515000</v>
      </c>
      <c r="H33" s="771"/>
      <c r="I33" s="224">
        <f t="shared" si="14"/>
        <v>122983.5</v>
      </c>
      <c r="J33" s="224">
        <f t="shared" si="15"/>
        <v>100600</v>
      </c>
      <c r="K33" s="224">
        <f t="shared" si="16"/>
        <v>50300</v>
      </c>
      <c r="L33" s="626">
        <f t="shared" si="17"/>
        <v>15000</v>
      </c>
      <c r="M33" s="304">
        <f t="shared" si="18"/>
        <v>2803883.5</v>
      </c>
      <c r="N33" s="304">
        <f t="shared" si="19"/>
        <v>224310.68</v>
      </c>
      <c r="O33" s="394">
        <v>1508000</v>
      </c>
      <c r="P33" s="631"/>
      <c r="Q33" s="304"/>
      <c r="R33" s="304"/>
      <c r="S33" s="309">
        <f t="shared" si="20"/>
        <v>4536194.18</v>
      </c>
      <c r="T33" s="807">
        <f t="shared" si="21"/>
        <v>22431.068</v>
      </c>
      <c r="U33" s="404">
        <f t="shared" si="22"/>
        <v>4558625.248</v>
      </c>
      <c r="V33" s="805">
        <v>44409</v>
      </c>
      <c r="W33" s="1021">
        <v>44439</v>
      </c>
      <c r="Y33" s="181"/>
      <c r="Z33" s="181"/>
      <c r="AA33" s="181"/>
      <c r="AC33" s="834"/>
      <c r="AD33" s="834"/>
      <c r="AF33" s="836"/>
    </row>
    <row r="34" ht="23.25" customHeight="1" s="763" customFormat="1">
      <c r="A34" s="377" t="s">
        <v>59</v>
      </c>
      <c r="B34" s="971" t="s">
        <v>113</v>
      </c>
      <c r="C34" s="769" t="s">
        <v>114</v>
      </c>
      <c r="D34" s="787" t="s">
        <v>84</v>
      </c>
      <c r="E34" s="772" t="s">
        <v>62</v>
      </c>
      <c r="F34" s="772" t="s">
        <v>63</v>
      </c>
      <c r="G34" s="771">
        <v>2515000</v>
      </c>
      <c r="H34" s="771">
        <f>-2515000/25*4</f>
        <v>-402400</v>
      </c>
      <c r="I34" s="224">
        <f t="shared" si="14"/>
        <v>122983.5</v>
      </c>
      <c r="J34" s="224">
        <f t="shared" si="15"/>
        <v>100600</v>
      </c>
      <c r="K34" s="224">
        <f t="shared" si="16"/>
        <v>50300</v>
      </c>
      <c r="L34" s="626">
        <f t="shared" si="17"/>
        <v>15000</v>
      </c>
      <c r="M34" s="304">
        <f t="shared" si="18"/>
        <v>2401483.5</v>
      </c>
      <c r="N34" s="304">
        <f t="shared" si="19"/>
        <v>192118.68</v>
      </c>
      <c r="O34" s="394"/>
      <c r="P34" s="631"/>
      <c r="Q34" s="304"/>
      <c r="R34" s="304"/>
      <c r="S34" s="309">
        <f t="shared" si="20"/>
        <v>2593602.18</v>
      </c>
      <c r="T34" s="807">
        <f t="shared" si="21"/>
        <v>19211.868</v>
      </c>
      <c r="U34" s="404">
        <f t="shared" si="22"/>
        <v>2612814.048</v>
      </c>
      <c r="V34" s="805">
        <v>44409</v>
      </c>
      <c r="W34" s="1021">
        <v>44439</v>
      </c>
      <c r="X34" s="760"/>
      <c r="Y34" s="181"/>
      <c r="Z34" s="181"/>
      <c r="AA34" s="181"/>
      <c r="AB34" s="760"/>
      <c r="AC34" s="834"/>
      <c r="AD34" s="834"/>
      <c r="AE34" s="760"/>
      <c r="AF34" s="836"/>
      <c r="AG34" s="760"/>
      <c r="AH34" s="760"/>
      <c r="AI34" s="760"/>
      <c r="AJ34" s="760"/>
      <c r="AK34" s="760"/>
      <c r="AL34" s="760"/>
      <c r="AM34" s="760"/>
      <c r="AN34" s="760"/>
      <c r="AO34" s="760"/>
      <c r="AP34" s="760"/>
      <c r="AQ34" s="760"/>
      <c r="AR34" s="760"/>
      <c r="AS34" s="760"/>
      <c r="AT34" s="760"/>
      <c r="AU34" s="760"/>
      <c r="AV34" s="760"/>
      <c r="AW34" s="760"/>
      <c r="AX34" s="760"/>
      <c r="AY34" s="760"/>
      <c r="AZ34" s="760"/>
      <c r="BA34" s="760"/>
      <c r="BB34" s="760"/>
    </row>
    <row r="35" ht="23.25" customHeight="1" s="763" customFormat="1">
      <c r="A35" s="377" t="s">
        <v>59</v>
      </c>
      <c r="B35" s="970" t="s">
        <v>115</v>
      </c>
      <c r="C35" s="784" t="s">
        <v>116</v>
      </c>
      <c r="D35" s="788" t="s">
        <v>84</v>
      </c>
      <c r="E35" s="786" t="s">
        <v>62</v>
      </c>
      <c r="F35" s="786" t="s">
        <v>63</v>
      </c>
      <c r="G35" s="771">
        <v>2515000</v>
      </c>
      <c r="H35" s="771"/>
      <c r="I35" s="626">
        <f t="shared" si="14"/>
        <v>122983.5</v>
      </c>
      <c r="J35" s="626">
        <f t="shared" si="15"/>
        <v>100600</v>
      </c>
      <c r="K35" s="626">
        <f t="shared" si="16"/>
        <v>50300</v>
      </c>
      <c r="L35" s="626">
        <f t="shared" si="17"/>
        <v>15000</v>
      </c>
      <c r="M35" s="631">
        <f t="shared" si="18"/>
        <v>2803883.5</v>
      </c>
      <c r="N35" s="631">
        <f t="shared" si="19"/>
        <v>224310.68</v>
      </c>
      <c r="O35" s="394">
        <v>0</v>
      </c>
      <c r="P35" s="631"/>
      <c r="Q35" s="631"/>
      <c r="R35" s="631"/>
      <c r="S35" s="309">
        <f t="shared" si="20"/>
        <v>3028194.18</v>
      </c>
      <c r="T35" s="825">
        <f t="shared" si="21"/>
        <v>22431.068</v>
      </c>
      <c r="U35" s="404">
        <f t="shared" si="22"/>
        <v>3050625.248</v>
      </c>
      <c r="V35" s="805">
        <v>44348</v>
      </c>
      <c r="W35" s="1021">
        <v>44439</v>
      </c>
      <c r="X35" s="760"/>
      <c r="Y35" s="181"/>
      <c r="Z35" s="181"/>
      <c r="AA35" s="181"/>
      <c r="AB35" s="760"/>
      <c r="AC35" s="834"/>
      <c r="AD35" s="834"/>
      <c r="AE35" s="760"/>
      <c r="AF35" s="836"/>
      <c r="AG35" s="760"/>
      <c r="AH35" s="760"/>
      <c r="AI35" s="760"/>
      <c r="AJ35" s="760"/>
      <c r="AK35" s="760"/>
      <c r="AL35" s="760"/>
      <c r="AM35" s="760"/>
      <c r="AN35" s="760"/>
      <c r="AO35" s="760"/>
      <c r="AP35" s="760"/>
      <c r="AQ35" s="760"/>
      <c r="AR35" s="760"/>
      <c r="AS35" s="760"/>
      <c r="AT35" s="760"/>
      <c r="AU35" s="760"/>
      <c r="AV35" s="760"/>
      <c r="AW35" s="760"/>
      <c r="AX35" s="760"/>
      <c r="AY35" s="760"/>
      <c r="AZ35" s="760"/>
      <c r="BA35" s="760"/>
      <c r="BB35" s="760"/>
    </row>
    <row r="36" ht="23.25" customHeight="1" s="760" customFormat="1">
      <c r="A36" s="377" t="s">
        <v>59</v>
      </c>
      <c r="B36" s="972" t="s">
        <v>117</v>
      </c>
      <c r="C36" s="769" t="s">
        <v>118</v>
      </c>
      <c r="D36" s="787" t="s">
        <v>84</v>
      </c>
      <c r="E36" s="772" t="s">
        <v>62</v>
      </c>
      <c r="F36" s="772" t="s">
        <v>63</v>
      </c>
      <c r="G36" s="771">
        <v>2515000</v>
      </c>
      <c r="H36" s="771"/>
      <c r="I36" s="224">
        <f t="shared" si="14"/>
        <v>122983.5</v>
      </c>
      <c r="J36" s="224">
        <f t="shared" si="15"/>
        <v>100600</v>
      </c>
      <c r="K36" s="224">
        <f t="shared" si="16"/>
        <v>50300</v>
      </c>
      <c r="L36" s="626">
        <f t="shared" si="17"/>
        <v>15000</v>
      </c>
      <c r="M36" s="304">
        <f t="shared" si="18"/>
        <v>2803883.5</v>
      </c>
      <c r="N36" s="304">
        <f t="shared" si="19"/>
        <v>224310.68</v>
      </c>
      <c r="O36" s="394">
        <v>1573000</v>
      </c>
      <c r="P36" s="631"/>
      <c r="Q36" s="304"/>
      <c r="R36" s="304"/>
      <c r="S36" s="309">
        <f t="shared" si="20"/>
        <v>4601194.18</v>
      </c>
      <c r="T36" s="807">
        <f t="shared" si="21"/>
        <v>22431.068</v>
      </c>
      <c r="U36" s="404">
        <f t="shared" si="22"/>
        <v>4623625.248</v>
      </c>
      <c r="V36" s="814">
        <v>44348</v>
      </c>
      <c r="W36" s="826">
        <v>44439</v>
      </c>
      <c r="Y36" s="181"/>
      <c r="Z36" s="181"/>
      <c r="AA36" s="181"/>
      <c r="AC36" s="834"/>
      <c r="AD36" s="834"/>
      <c r="AF36" s="836"/>
    </row>
    <row r="37" ht="23.25" customHeight="1" s="760" customFormat="1">
      <c r="A37" s="377" t="s">
        <v>59</v>
      </c>
      <c r="B37" s="973" t="s">
        <v>119</v>
      </c>
      <c r="C37" s="769" t="s">
        <v>120</v>
      </c>
      <c r="D37" s="787" t="s">
        <v>84</v>
      </c>
      <c r="E37" s="772" t="s">
        <v>62</v>
      </c>
      <c r="F37" s="772" t="s">
        <v>63</v>
      </c>
      <c r="G37" s="771">
        <v>2515000</v>
      </c>
      <c r="H37" s="771">
        <f>-2515000/25*2</f>
        <v>-201200</v>
      </c>
      <c r="I37" s="224">
        <f t="shared" si="14"/>
        <v>122983.5</v>
      </c>
      <c r="J37" s="224">
        <f t="shared" si="15"/>
        <v>100600</v>
      </c>
      <c r="K37" s="224">
        <f t="shared" si="16"/>
        <v>50300</v>
      </c>
      <c r="L37" s="626">
        <f t="shared" si="17"/>
        <v>15000</v>
      </c>
      <c r="M37" s="304">
        <f t="shared" si="18"/>
        <v>2602683.5</v>
      </c>
      <c r="N37" s="304">
        <f t="shared" si="19"/>
        <v>208214.68</v>
      </c>
      <c r="O37" s="394">
        <v>2301000</v>
      </c>
      <c r="P37" s="631"/>
      <c r="Q37" s="304"/>
      <c r="R37" s="304"/>
      <c r="S37" s="309">
        <f t="shared" si="20"/>
        <v>5111898.18</v>
      </c>
      <c r="T37" s="807">
        <f t="shared" si="21"/>
        <v>20821.468</v>
      </c>
      <c r="U37" s="404">
        <f t="shared" si="22"/>
        <v>5132719.648</v>
      </c>
      <c r="V37" s="814">
        <v>44348</v>
      </c>
      <c r="W37" s="826">
        <v>44439</v>
      </c>
      <c r="Y37" s="181"/>
      <c r="Z37" s="181"/>
      <c r="AA37" s="181"/>
      <c r="AC37" s="834"/>
      <c r="AD37" s="834"/>
      <c r="AF37" s="836"/>
    </row>
    <row r="38" ht="23.25" customHeight="1" s="760" customFormat="1">
      <c r="A38" s="377" t="s">
        <v>59</v>
      </c>
      <c r="B38" s="972" t="s">
        <v>121</v>
      </c>
      <c r="C38" s="769" t="s">
        <v>122</v>
      </c>
      <c r="D38" s="787" t="s">
        <v>84</v>
      </c>
      <c r="E38" s="772" t="s">
        <v>62</v>
      </c>
      <c r="F38" s="772" t="s">
        <v>63</v>
      </c>
      <c r="G38" s="771">
        <v>2515000</v>
      </c>
      <c r="H38" s="771"/>
      <c r="I38" s="224">
        <f t="shared" si="14"/>
        <v>122983.5</v>
      </c>
      <c r="J38" s="224">
        <f t="shared" si="15"/>
        <v>100600</v>
      </c>
      <c r="K38" s="224">
        <f t="shared" si="16"/>
        <v>50300</v>
      </c>
      <c r="L38" s="626">
        <f t="shared" si="17"/>
        <v>15000</v>
      </c>
      <c r="M38" s="304">
        <f t="shared" si="18"/>
        <v>2803883.5</v>
      </c>
      <c r="N38" s="304">
        <f t="shared" si="19"/>
        <v>224310.68</v>
      </c>
      <c r="O38" s="394">
        <v>1521000</v>
      </c>
      <c r="P38" s="631"/>
      <c r="Q38" s="304"/>
      <c r="R38" s="304"/>
      <c r="S38" s="309">
        <f t="shared" si="20"/>
        <v>4549194.18</v>
      </c>
      <c r="T38" s="807">
        <f t="shared" si="21"/>
        <v>22431.068</v>
      </c>
      <c r="U38" s="404">
        <f t="shared" si="22"/>
        <v>4571625.248</v>
      </c>
      <c r="V38" s="814">
        <v>44348</v>
      </c>
      <c r="W38" s="826">
        <v>44439</v>
      </c>
      <c r="Y38" s="181"/>
      <c r="Z38" s="181"/>
      <c r="AA38" s="181"/>
      <c r="AC38" s="834"/>
      <c r="AD38" s="834"/>
      <c r="AF38" s="836"/>
    </row>
    <row r="39" ht="23.25" customHeight="1" s="760" customFormat="1">
      <c r="A39" s="377" t="s">
        <v>64</v>
      </c>
      <c r="B39" s="1198" t="s">
        <v>123</v>
      </c>
      <c r="C39" s="1181" t="s">
        <v>124</v>
      </c>
      <c r="D39" s="787" t="s">
        <v>84</v>
      </c>
      <c r="E39" s="772" t="s">
        <v>62</v>
      </c>
      <c r="F39" s="772" t="s">
        <v>63</v>
      </c>
      <c r="G39" s="771">
        <v>2515000</v>
      </c>
      <c r="H39" s="771"/>
      <c r="I39" s="224">
        <f t="shared" si="14"/>
        <v>122983.5</v>
      </c>
      <c r="J39" s="224">
        <f t="shared" si="15"/>
        <v>100600</v>
      </c>
      <c r="K39" s="224">
        <f t="shared" si="16"/>
        <v>50300</v>
      </c>
      <c r="L39" s="626">
        <f t="shared" si="17"/>
        <v>15000</v>
      </c>
      <c r="M39" s="304">
        <f t="shared" si="18"/>
        <v>2803883.5</v>
      </c>
      <c r="N39" s="304">
        <f t="shared" si="19"/>
        <v>224310.68</v>
      </c>
      <c r="O39" s="394">
        <v>1313000</v>
      </c>
      <c r="P39" s="631"/>
      <c r="Q39" s="304"/>
      <c r="R39" s="304"/>
      <c r="S39" s="309">
        <f t="shared" si="20"/>
        <v>4341194.18</v>
      </c>
      <c r="T39" s="807">
        <f t="shared" si="21"/>
        <v>22431.068</v>
      </c>
      <c r="U39" s="404">
        <f t="shared" si="22"/>
        <v>4363625.248</v>
      </c>
      <c r="V39" s="805">
        <v>44409</v>
      </c>
      <c r="W39" s="1021">
        <v>44439</v>
      </c>
      <c r="Y39" s="181"/>
      <c r="Z39" s="181"/>
      <c r="AA39" s="181"/>
      <c r="AC39" s="834"/>
      <c r="AD39" s="834"/>
      <c r="AF39" s="836"/>
    </row>
    <row r="40" ht="23.25" customHeight="1" s="760" customFormat="1">
      <c r="A40" s="377" t="s">
        <v>59</v>
      </c>
      <c r="B40" s="790" t="s">
        <v>125</v>
      </c>
      <c r="C40" s="773" t="s">
        <v>126</v>
      </c>
      <c r="D40" s="774" t="s">
        <v>84</v>
      </c>
      <c r="E40" s="775" t="s">
        <v>62</v>
      </c>
      <c r="F40" s="775" t="s">
        <v>63</v>
      </c>
      <c r="G40" s="771">
        <v>2515000</v>
      </c>
      <c r="H40" s="776"/>
      <c r="I40" s="707">
        <f t="shared" si="14"/>
        <v>122983.5</v>
      </c>
      <c r="J40" s="707">
        <f t="shared" si="15"/>
        <v>100600</v>
      </c>
      <c r="K40" s="707">
        <f t="shared" si="16"/>
        <v>50300</v>
      </c>
      <c r="L40" s="626">
        <f t="shared" si="17"/>
        <v>15000</v>
      </c>
      <c r="M40" s="715">
        <f t="shared" si="18"/>
        <v>2803883.5</v>
      </c>
      <c r="N40" s="715">
        <f t="shared" si="19"/>
        <v>224310.68</v>
      </c>
      <c r="O40" s="394">
        <v>1833000</v>
      </c>
      <c r="P40" s="800"/>
      <c r="Q40" s="715"/>
      <c r="R40" s="715"/>
      <c r="S40" s="309">
        <f t="shared" si="20"/>
        <v>4861194.18</v>
      </c>
      <c r="T40" s="810">
        <f t="shared" si="21"/>
        <v>22431.068</v>
      </c>
      <c r="U40" s="404">
        <f t="shared" si="22"/>
        <v>4883625.248</v>
      </c>
      <c r="V40" s="812">
        <v>44378</v>
      </c>
      <c r="W40" s="813">
        <v>44469</v>
      </c>
      <c r="Y40" s="181"/>
      <c r="Z40" s="181"/>
      <c r="AA40" s="181"/>
      <c r="AC40" s="834"/>
      <c r="AD40" s="834"/>
      <c r="AF40" s="836"/>
    </row>
    <row r="41" ht="23.25" customHeight="1" s="760" customFormat="1">
      <c r="A41" s="377" t="s">
        <v>59</v>
      </c>
      <c r="B41" s="790" t="s">
        <v>127</v>
      </c>
      <c r="C41" s="773" t="s">
        <v>128</v>
      </c>
      <c r="D41" s="774" t="s">
        <v>84</v>
      </c>
      <c r="E41" s="775" t="s">
        <v>62</v>
      </c>
      <c r="F41" s="775" t="s">
        <v>63</v>
      </c>
      <c r="G41" s="771">
        <v>2515000</v>
      </c>
      <c r="H41" s="776"/>
      <c r="I41" s="707">
        <f t="shared" si="14"/>
        <v>122983.5</v>
      </c>
      <c r="J41" s="707">
        <f t="shared" si="15"/>
        <v>100600</v>
      </c>
      <c r="K41" s="707">
        <f t="shared" si="16"/>
        <v>50300</v>
      </c>
      <c r="L41" s="626">
        <f t="shared" si="17"/>
        <v>15000</v>
      </c>
      <c r="M41" s="715">
        <f t="shared" si="18"/>
        <v>2803883.5</v>
      </c>
      <c r="N41" s="715">
        <f t="shared" si="19"/>
        <v>224310.68</v>
      </c>
      <c r="O41" s="394">
        <v>2152000</v>
      </c>
      <c r="P41" s="800"/>
      <c r="Q41" s="715"/>
      <c r="R41" s="715"/>
      <c r="S41" s="309">
        <f t="shared" si="20"/>
        <v>5180194.18</v>
      </c>
      <c r="T41" s="810">
        <f t="shared" si="21"/>
        <v>22431.068</v>
      </c>
      <c r="U41" s="404">
        <f t="shared" si="22"/>
        <v>5202625.248</v>
      </c>
      <c r="V41" s="805">
        <v>44378</v>
      </c>
      <c r="W41" s="1021">
        <v>44469</v>
      </c>
      <c r="Y41" s="181"/>
      <c r="Z41" s="181"/>
      <c r="AA41" s="181"/>
      <c r="AC41" s="834"/>
      <c r="AD41" s="834"/>
      <c r="AF41" s="836"/>
    </row>
    <row r="42" ht="23.25" customHeight="1" s="760" customFormat="1">
      <c r="A42" s="377" t="s">
        <v>59</v>
      </c>
      <c r="B42" s="790" t="s">
        <v>129</v>
      </c>
      <c r="C42" s="773" t="s">
        <v>130</v>
      </c>
      <c r="D42" s="774" t="s">
        <v>84</v>
      </c>
      <c r="E42" s="775" t="s">
        <v>62</v>
      </c>
      <c r="F42" s="775" t="s">
        <v>63</v>
      </c>
      <c r="G42" s="771">
        <v>2515000</v>
      </c>
      <c r="H42" s="776"/>
      <c r="I42" s="707">
        <f t="shared" si="14"/>
        <v>122983.5</v>
      </c>
      <c r="J42" s="707">
        <f t="shared" si="15"/>
        <v>100600</v>
      </c>
      <c r="K42" s="707">
        <f t="shared" si="16"/>
        <v>50300</v>
      </c>
      <c r="L42" s="626">
        <f t="shared" si="17"/>
        <v>15000</v>
      </c>
      <c r="M42" s="715">
        <f t="shared" si="18"/>
        <v>2803883.5</v>
      </c>
      <c r="N42" s="715">
        <f t="shared" si="19"/>
        <v>224310.68</v>
      </c>
      <c r="O42" s="394">
        <v>1456000</v>
      </c>
      <c r="P42" s="800"/>
      <c r="Q42" s="715"/>
      <c r="R42" s="715"/>
      <c r="S42" s="309">
        <f t="shared" si="20"/>
        <v>4484194.18</v>
      </c>
      <c r="T42" s="810">
        <f t="shared" si="21"/>
        <v>22431.068</v>
      </c>
      <c r="U42" s="404">
        <f t="shared" si="22"/>
        <v>4506625.248</v>
      </c>
      <c r="V42" s="812">
        <v>44378</v>
      </c>
      <c r="W42" s="813">
        <v>44469</v>
      </c>
      <c r="Y42" s="181"/>
      <c r="Z42" s="181"/>
      <c r="AA42" s="181"/>
      <c r="AC42" s="834"/>
      <c r="AD42" s="834"/>
      <c r="AF42" s="836"/>
    </row>
    <row r="43" ht="23.25" customHeight="1" s="760" customFormat="1">
      <c r="A43" s="377" t="s">
        <v>59</v>
      </c>
      <c r="B43" s="790" t="s">
        <v>131</v>
      </c>
      <c r="C43" s="773" t="s">
        <v>132</v>
      </c>
      <c r="D43" s="774" t="s">
        <v>84</v>
      </c>
      <c r="E43" s="775" t="s">
        <v>62</v>
      </c>
      <c r="F43" s="775" t="s">
        <v>63</v>
      </c>
      <c r="G43" s="771">
        <v>2515000</v>
      </c>
      <c r="H43" s="771">
        <f>-2515000/25*1</f>
        <v>-100600</v>
      </c>
      <c r="I43" s="707">
        <f t="shared" si="14"/>
        <v>122983.5</v>
      </c>
      <c r="J43" s="707">
        <f t="shared" si="15"/>
        <v>100600</v>
      </c>
      <c r="K43" s="707">
        <f t="shared" si="16"/>
        <v>50300</v>
      </c>
      <c r="L43" s="626">
        <f t="shared" si="17"/>
        <v>15000</v>
      </c>
      <c r="M43" s="715">
        <f t="shared" si="18"/>
        <v>2703283.5</v>
      </c>
      <c r="N43" s="715">
        <f t="shared" si="19"/>
        <v>216262.68</v>
      </c>
      <c r="O43" s="394">
        <v>1157000</v>
      </c>
      <c r="P43" s="800"/>
      <c r="Q43" s="715"/>
      <c r="R43" s="715"/>
      <c r="S43" s="309">
        <f t="shared" si="20"/>
        <v>4076546.18</v>
      </c>
      <c r="T43" s="810">
        <f t="shared" si="21"/>
        <v>21626.268</v>
      </c>
      <c r="U43" s="404">
        <f t="shared" si="22"/>
        <v>4098172.4480000003</v>
      </c>
      <c r="V43" s="812">
        <v>44378</v>
      </c>
      <c r="W43" s="813">
        <v>44469</v>
      </c>
      <c r="Y43" s="181"/>
      <c r="Z43" s="181"/>
      <c r="AA43" s="181"/>
      <c r="AC43" s="834"/>
      <c r="AD43" s="834"/>
      <c r="AF43" s="836"/>
    </row>
    <row r="44" ht="23.25" customHeight="1" s="760" customFormat="1">
      <c r="A44" s="377" t="s">
        <v>59</v>
      </c>
      <c r="B44" s="790" t="s">
        <v>133</v>
      </c>
      <c r="C44" s="773" t="s">
        <v>134</v>
      </c>
      <c r="D44" s="774" t="s">
        <v>84</v>
      </c>
      <c r="E44" s="775" t="s">
        <v>62</v>
      </c>
      <c r="F44" s="775" t="s">
        <v>63</v>
      </c>
      <c r="G44" s="771">
        <v>2515000</v>
      </c>
      <c r="H44" s="776"/>
      <c r="I44" s="707">
        <f t="shared" si="14"/>
        <v>122983.5</v>
      </c>
      <c r="J44" s="707">
        <f t="shared" si="15"/>
        <v>100600</v>
      </c>
      <c r="K44" s="707">
        <f t="shared" si="16"/>
        <v>50300</v>
      </c>
      <c r="L44" s="626">
        <f t="shared" si="17"/>
        <v>15000</v>
      </c>
      <c r="M44" s="715">
        <f t="shared" si="18"/>
        <v>2803883.5</v>
      </c>
      <c r="N44" s="715">
        <f t="shared" si="19"/>
        <v>224310.68</v>
      </c>
      <c r="O44" s="394">
        <v>1898000</v>
      </c>
      <c r="P44" s="800"/>
      <c r="Q44" s="715"/>
      <c r="R44" s="715"/>
      <c r="S44" s="309">
        <f t="shared" si="20"/>
        <v>4926194.18</v>
      </c>
      <c r="T44" s="810">
        <f t="shared" si="21"/>
        <v>22431.068</v>
      </c>
      <c r="U44" s="404">
        <f t="shared" si="22"/>
        <v>4948625.248</v>
      </c>
      <c r="V44" s="812">
        <v>44378</v>
      </c>
      <c r="W44" s="813">
        <v>44469</v>
      </c>
      <c r="Y44" s="181"/>
      <c r="Z44" s="181"/>
      <c r="AA44" s="181"/>
      <c r="AC44" s="834"/>
      <c r="AD44" s="834"/>
      <c r="AF44" s="836"/>
    </row>
    <row r="45" ht="23.25" customHeight="1" s="760" customFormat="1">
      <c r="A45" s="377" t="s">
        <v>59</v>
      </c>
      <c r="B45" s="790" t="s">
        <v>135</v>
      </c>
      <c r="C45" s="773" t="s">
        <v>136</v>
      </c>
      <c r="D45" s="774" t="s">
        <v>84</v>
      </c>
      <c r="E45" s="775" t="s">
        <v>62</v>
      </c>
      <c r="F45" s="775" t="s">
        <v>63</v>
      </c>
      <c r="G45" s="771">
        <v>2515000</v>
      </c>
      <c r="H45" s="776"/>
      <c r="I45" s="707">
        <f t="shared" si="14"/>
        <v>122983.5</v>
      </c>
      <c r="J45" s="707">
        <f t="shared" si="15"/>
        <v>100600</v>
      </c>
      <c r="K45" s="707">
        <f t="shared" si="16"/>
        <v>50300</v>
      </c>
      <c r="L45" s="626">
        <f t="shared" si="17"/>
        <v>15000</v>
      </c>
      <c r="M45" s="715">
        <f t="shared" si="18"/>
        <v>2803883.5</v>
      </c>
      <c r="N45" s="715">
        <f t="shared" si="19"/>
        <v>224310.68</v>
      </c>
      <c r="O45" s="394">
        <v>2275000</v>
      </c>
      <c r="P45" s="800"/>
      <c r="Q45" s="715"/>
      <c r="R45" s="715"/>
      <c r="S45" s="309">
        <f t="shared" si="20"/>
        <v>5303194.18</v>
      </c>
      <c r="T45" s="810">
        <f t="shared" si="21"/>
        <v>22431.068</v>
      </c>
      <c r="U45" s="404">
        <f t="shared" si="22"/>
        <v>5325625.248</v>
      </c>
      <c r="V45" s="812">
        <v>44378</v>
      </c>
      <c r="W45" s="813">
        <v>44469</v>
      </c>
      <c r="Y45" s="181"/>
      <c r="Z45" s="181"/>
      <c r="AA45" s="181"/>
      <c r="AC45" s="834"/>
      <c r="AD45" s="834"/>
      <c r="AF45" s="836"/>
    </row>
    <row r="46" ht="23.25" customHeight="1" s="760" customFormat="1">
      <c r="A46" s="377" t="s">
        <v>59</v>
      </c>
      <c r="B46" s="790" t="s">
        <v>137</v>
      </c>
      <c r="C46" s="773" t="s">
        <v>138</v>
      </c>
      <c r="D46" s="774" t="s">
        <v>84</v>
      </c>
      <c r="E46" s="775" t="s">
        <v>62</v>
      </c>
      <c r="F46" s="775" t="s">
        <v>63</v>
      </c>
      <c r="G46" s="771">
        <v>2515000</v>
      </c>
      <c r="H46" s="776"/>
      <c r="I46" s="707">
        <f t="shared" si="14"/>
        <v>122983.5</v>
      </c>
      <c r="J46" s="707">
        <f t="shared" si="15"/>
        <v>100600</v>
      </c>
      <c r="K46" s="707">
        <f t="shared" si="16"/>
        <v>50300</v>
      </c>
      <c r="L46" s="626">
        <f t="shared" si="17"/>
        <v>15000</v>
      </c>
      <c r="M46" s="715">
        <f t="shared" si="18"/>
        <v>2803883.5</v>
      </c>
      <c r="N46" s="715">
        <f t="shared" si="19"/>
        <v>224310.68</v>
      </c>
      <c r="O46" s="394">
        <v>1521000</v>
      </c>
      <c r="P46" s="800"/>
      <c r="Q46" s="715"/>
      <c r="R46" s="715"/>
      <c r="S46" s="309">
        <f t="shared" si="20"/>
        <v>4549194.18</v>
      </c>
      <c r="T46" s="810">
        <f t="shared" si="21"/>
        <v>22431.068</v>
      </c>
      <c r="U46" s="404">
        <f t="shared" si="22"/>
        <v>4571625.248</v>
      </c>
      <c r="V46" s="812">
        <v>44409</v>
      </c>
      <c r="W46" s="813">
        <v>44439</v>
      </c>
      <c r="Y46" s="181"/>
      <c r="Z46" s="181"/>
      <c r="AA46" s="181"/>
      <c r="AC46" s="834"/>
      <c r="AD46" s="834"/>
      <c r="AF46" s="836"/>
    </row>
    <row r="47" ht="23.25" customHeight="1" s="760" customFormat="1">
      <c r="A47" s="377" t="s">
        <v>59</v>
      </c>
      <c r="B47" s="790" t="s">
        <v>139</v>
      </c>
      <c r="C47" s="773" t="s">
        <v>140</v>
      </c>
      <c r="D47" s="774" t="s">
        <v>84</v>
      </c>
      <c r="E47" s="775" t="s">
        <v>62</v>
      </c>
      <c r="F47" s="775" t="s">
        <v>63</v>
      </c>
      <c r="G47" s="771">
        <v>2515000</v>
      </c>
      <c r="H47" s="776"/>
      <c r="I47" s="707">
        <f t="shared" si="14"/>
        <v>122983.5</v>
      </c>
      <c r="J47" s="707">
        <f t="shared" si="15"/>
        <v>100600</v>
      </c>
      <c r="K47" s="707">
        <f t="shared" si="16"/>
        <v>50300</v>
      </c>
      <c r="L47" s="626">
        <f t="shared" si="17"/>
        <v>15000</v>
      </c>
      <c r="M47" s="715">
        <f t="shared" si="18"/>
        <v>2803883.5</v>
      </c>
      <c r="N47" s="715">
        <f t="shared" si="19"/>
        <v>224310.68</v>
      </c>
      <c r="O47" s="394">
        <v>2028000</v>
      </c>
      <c r="P47" s="800"/>
      <c r="Q47" s="715"/>
      <c r="R47" s="715"/>
      <c r="S47" s="309">
        <f t="shared" si="20"/>
        <v>5056194.18</v>
      </c>
      <c r="T47" s="810">
        <f t="shared" si="21"/>
        <v>22431.068</v>
      </c>
      <c r="U47" s="404">
        <f t="shared" si="22"/>
        <v>5078625.248</v>
      </c>
      <c r="V47" s="812">
        <v>44409</v>
      </c>
      <c r="W47" s="813">
        <v>44439</v>
      </c>
      <c r="Y47" s="181"/>
      <c r="Z47" s="181"/>
      <c r="AA47" s="181"/>
      <c r="AC47" s="834"/>
      <c r="AD47" s="834"/>
      <c r="AF47" s="836"/>
    </row>
    <row r="48" ht="23.25" customHeight="1" s="760" customFormat="1">
      <c r="A48" s="377" t="s">
        <v>59</v>
      </c>
      <c r="B48" s="790" t="s">
        <v>141</v>
      </c>
      <c r="C48" s="773" t="s">
        <v>142</v>
      </c>
      <c r="D48" s="774" t="s">
        <v>84</v>
      </c>
      <c r="E48" s="775" t="s">
        <v>62</v>
      </c>
      <c r="F48" s="775" t="s">
        <v>63</v>
      </c>
      <c r="G48" s="771">
        <v>2515000</v>
      </c>
      <c r="H48" s="776"/>
      <c r="I48" s="707">
        <f t="shared" si="14"/>
        <v>122983.5</v>
      </c>
      <c r="J48" s="707">
        <f t="shared" si="15"/>
        <v>100600</v>
      </c>
      <c r="K48" s="707">
        <f t="shared" si="16"/>
        <v>50300</v>
      </c>
      <c r="L48" s="626">
        <f t="shared" si="17"/>
        <v>15000</v>
      </c>
      <c r="M48" s="715">
        <f t="shared" si="18"/>
        <v>2803883.5</v>
      </c>
      <c r="N48" s="715">
        <f t="shared" si="19"/>
        <v>224310.68</v>
      </c>
      <c r="O48" s="394">
        <v>1976000</v>
      </c>
      <c r="P48" s="800"/>
      <c r="Q48" s="715"/>
      <c r="R48" s="715"/>
      <c r="S48" s="309">
        <f t="shared" si="20"/>
        <v>5004194.18</v>
      </c>
      <c r="T48" s="810">
        <f t="shared" si="21"/>
        <v>22431.068</v>
      </c>
      <c r="U48" s="404">
        <f t="shared" si="22"/>
        <v>5026625.248</v>
      </c>
      <c r="V48" s="812">
        <v>44409</v>
      </c>
      <c r="W48" s="813">
        <v>44439</v>
      </c>
      <c r="Y48" s="181"/>
      <c r="Z48" s="181"/>
      <c r="AA48" s="181"/>
      <c r="AC48" s="834"/>
      <c r="AD48" s="834"/>
      <c r="AF48" s="836"/>
    </row>
    <row r="49" ht="23.25" customHeight="1" s="760" customFormat="1">
      <c r="A49" s="377" t="s">
        <v>59</v>
      </c>
      <c r="B49" s="790" t="s">
        <v>143</v>
      </c>
      <c r="C49" s="773" t="s">
        <v>144</v>
      </c>
      <c r="D49" s="774" t="s">
        <v>84</v>
      </c>
      <c r="E49" s="775" t="s">
        <v>62</v>
      </c>
      <c r="F49" s="775" t="s">
        <v>63</v>
      </c>
      <c r="G49" s="771">
        <v>2515000</v>
      </c>
      <c r="H49" s="776"/>
      <c r="I49" s="707">
        <f ref="I49:I91" t="shared" si="24">+$G$5*4.89%</f>
        <v>122983.5</v>
      </c>
      <c r="J49" s="707">
        <f ref="J49:J91" t="shared" si="25">+$G$5*4%</f>
        <v>100600</v>
      </c>
      <c r="K49" s="707">
        <f ref="K49:K91" t="shared" si="26">+$G$5*2%</f>
        <v>50300</v>
      </c>
      <c r="L49" s="626">
        <f ref="L49:L91" t="shared" si="27">1667+13333</f>
        <v>15000</v>
      </c>
      <c r="M49" s="715">
        <f ref="M49:M74" t="shared" si="28">SUM(G49:L49)</f>
        <v>2803883.5</v>
      </c>
      <c r="N49" s="715">
        <f ref="N49:N74" t="shared" si="29">+M49*8%</f>
        <v>224310.68</v>
      </c>
      <c r="O49" s="394">
        <v>1846000</v>
      </c>
      <c r="P49" s="800"/>
      <c r="Q49" s="715"/>
      <c r="R49" s="715"/>
      <c r="S49" s="309">
        <f ref="S49:S74" t="shared" si="30">SUM(M49:R49)</f>
        <v>4874194.18</v>
      </c>
      <c r="T49" s="810">
        <f ref="T49:T74" t="shared" si="31">N49*0.1</f>
        <v>22431.068</v>
      </c>
      <c r="U49" s="404">
        <f ref="U49:U74" t="shared" si="32">S49+T49</f>
        <v>4896625.248</v>
      </c>
      <c r="V49" s="812">
        <v>44409</v>
      </c>
      <c r="W49" s="813">
        <v>44439</v>
      </c>
      <c r="Y49" s="181"/>
      <c r="Z49" s="181"/>
      <c r="AA49" s="181"/>
      <c r="AC49" s="834"/>
      <c r="AD49" s="834"/>
      <c r="AF49" s="836"/>
    </row>
    <row r="50" ht="23.25" customHeight="1" s="760" customFormat="1">
      <c r="A50" s="377" t="s">
        <v>59</v>
      </c>
      <c r="B50" s="790" t="s">
        <v>145</v>
      </c>
      <c r="C50" s="773" t="s">
        <v>146</v>
      </c>
      <c r="D50" s="774" t="s">
        <v>84</v>
      </c>
      <c r="E50" s="775" t="s">
        <v>62</v>
      </c>
      <c r="F50" s="775" t="s">
        <v>63</v>
      </c>
      <c r="G50" s="771">
        <v>2515000</v>
      </c>
      <c r="H50" s="776"/>
      <c r="I50" s="707">
        <f t="shared" si="24"/>
        <v>122983.5</v>
      </c>
      <c r="J50" s="707">
        <f t="shared" si="25"/>
        <v>100600</v>
      </c>
      <c r="K50" s="707">
        <f t="shared" si="26"/>
        <v>50300</v>
      </c>
      <c r="L50" s="224">
        <f t="shared" si="27"/>
        <v>15000</v>
      </c>
      <c r="M50" s="715">
        <f t="shared" si="28"/>
        <v>2803883.5</v>
      </c>
      <c r="N50" s="715">
        <f t="shared" si="29"/>
        <v>224310.68</v>
      </c>
      <c r="O50" s="394">
        <v>0</v>
      </c>
      <c r="P50" s="800"/>
      <c r="Q50" s="715"/>
      <c r="R50" s="715"/>
      <c r="S50" s="309">
        <f t="shared" si="30"/>
        <v>3028194.18</v>
      </c>
      <c r="T50" s="810">
        <f t="shared" si="31"/>
        <v>22431.068</v>
      </c>
      <c r="U50" s="310">
        <f t="shared" si="32"/>
        <v>3050625.248</v>
      </c>
      <c r="V50" s="812">
        <v>44409</v>
      </c>
      <c r="W50" s="813">
        <v>44439</v>
      </c>
      <c r="Y50" s="181"/>
      <c r="Z50" s="181"/>
      <c r="AA50" s="181"/>
      <c r="AC50" s="834"/>
      <c r="AD50" s="834"/>
      <c r="AF50" s="836"/>
    </row>
    <row r="51" ht="23.25" customHeight="1" s="760" customFormat="1">
      <c r="A51" s="377" t="s">
        <v>59</v>
      </c>
      <c r="B51" s="790" t="s">
        <v>147</v>
      </c>
      <c r="C51" s="773" t="s">
        <v>148</v>
      </c>
      <c r="D51" s="774" t="s">
        <v>84</v>
      </c>
      <c r="E51" s="775" t="s">
        <v>62</v>
      </c>
      <c r="F51" s="775" t="s">
        <v>63</v>
      </c>
      <c r="G51" s="771">
        <v>2515000</v>
      </c>
      <c r="H51" s="776"/>
      <c r="I51" s="707">
        <f t="shared" si="24"/>
        <v>122983.5</v>
      </c>
      <c r="J51" s="707">
        <f t="shared" si="25"/>
        <v>100600</v>
      </c>
      <c r="K51" s="707">
        <f t="shared" si="26"/>
        <v>50300</v>
      </c>
      <c r="L51" s="224">
        <f t="shared" si="27"/>
        <v>15000</v>
      </c>
      <c r="M51" s="715">
        <f t="shared" si="28"/>
        <v>2803883.5</v>
      </c>
      <c r="N51" s="715">
        <f t="shared" si="29"/>
        <v>224310.68</v>
      </c>
      <c r="O51" s="394">
        <v>0</v>
      </c>
      <c r="P51" s="715"/>
      <c r="Q51" s="715"/>
      <c r="R51" s="715"/>
      <c r="S51" s="309">
        <f t="shared" si="30"/>
        <v>3028194.18</v>
      </c>
      <c r="T51" s="810">
        <f t="shared" si="31"/>
        <v>22431.068</v>
      </c>
      <c r="U51" s="310">
        <f t="shared" si="32"/>
        <v>3050625.248</v>
      </c>
      <c r="V51" s="812">
        <v>44348</v>
      </c>
      <c r="W51" s="813">
        <v>44439</v>
      </c>
      <c r="Y51" s="181"/>
      <c r="Z51" s="181"/>
      <c r="AA51" s="181"/>
      <c r="AC51" s="834"/>
      <c r="AD51" s="834"/>
      <c r="AF51" s="836"/>
    </row>
    <row r="52" ht="23.25" customHeight="1" s="760" customFormat="1">
      <c r="A52" s="377" t="s">
        <v>59</v>
      </c>
      <c r="B52" s="790" t="s">
        <v>149</v>
      </c>
      <c r="C52" s="773" t="s">
        <v>150</v>
      </c>
      <c r="D52" s="774" t="s">
        <v>84</v>
      </c>
      <c r="E52" s="775" t="s">
        <v>62</v>
      </c>
      <c r="F52" s="775" t="s">
        <v>63</v>
      </c>
      <c r="G52" s="771">
        <v>2515000</v>
      </c>
      <c r="H52" s="771">
        <f>-2515000/25*2</f>
        <v>-201200</v>
      </c>
      <c r="I52" s="707">
        <f t="shared" si="24"/>
        <v>122983.5</v>
      </c>
      <c r="J52" s="707">
        <f t="shared" si="25"/>
        <v>100600</v>
      </c>
      <c r="K52" s="707">
        <f t="shared" si="26"/>
        <v>50300</v>
      </c>
      <c r="L52" s="224">
        <f t="shared" si="27"/>
        <v>15000</v>
      </c>
      <c r="M52" s="715">
        <f t="shared" si="28"/>
        <v>2602683.5</v>
      </c>
      <c r="N52" s="715">
        <f t="shared" si="29"/>
        <v>208214.68</v>
      </c>
      <c r="O52" s="394">
        <v>1352000</v>
      </c>
      <c r="P52" s="715"/>
      <c r="Q52" s="715"/>
      <c r="R52" s="715"/>
      <c r="S52" s="309">
        <f t="shared" si="30"/>
        <v>4162898.18</v>
      </c>
      <c r="T52" s="810">
        <f t="shared" si="31"/>
        <v>20821.468</v>
      </c>
      <c r="U52" s="310">
        <f t="shared" si="32"/>
        <v>4183719.648</v>
      </c>
      <c r="V52" s="812">
        <v>44348</v>
      </c>
      <c r="W52" s="813">
        <v>44439</v>
      </c>
      <c r="Y52" s="181"/>
      <c r="Z52" s="181"/>
      <c r="AA52" s="181"/>
      <c r="AC52" s="834"/>
      <c r="AD52" s="834"/>
      <c r="AF52" s="836"/>
    </row>
    <row r="53" ht="23.25" customHeight="1" s="760" customFormat="1">
      <c r="A53" s="377" t="s">
        <v>59</v>
      </c>
      <c r="B53" s="790" t="s">
        <v>151</v>
      </c>
      <c r="C53" s="773" t="s">
        <v>152</v>
      </c>
      <c r="D53" s="774" t="s">
        <v>84</v>
      </c>
      <c r="E53" s="775" t="s">
        <v>62</v>
      </c>
      <c r="F53" s="775" t="s">
        <v>63</v>
      </c>
      <c r="G53" s="771">
        <v>2515000</v>
      </c>
      <c r="H53" s="771">
        <f>-2515000/25*1</f>
        <v>-100600</v>
      </c>
      <c r="I53" s="707">
        <f t="shared" si="24"/>
        <v>122983.5</v>
      </c>
      <c r="J53" s="707">
        <f t="shared" si="25"/>
        <v>100600</v>
      </c>
      <c r="K53" s="707">
        <f t="shared" si="26"/>
        <v>50300</v>
      </c>
      <c r="L53" s="224">
        <f t="shared" si="27"/>
        <v>15000</v>
      </c>
      <c r="M53" s="715">
        <f t="shared" si="28"/>
        <v>2703283.5</v>
      </c>
      <c r="N53" s="715">
        <f t="shared" si="29"/>
        <v>216262.68</v>
      </c>
      <c r="O53" s="394">
        <v>1534000</v>
      </c>
      <c r="P53" s="715"/>
      <c r="Q53" s="715"/>
      <c r="R53" s="715"/>
      <c r="S53" s="309">
        <f t="shared" si="30"/>
        <v>4453546.18</v>
      </c>
      <c r="T53" s="810">
        <f t="shared" si="31"/>
        <v>21626.268</v>
      </c>
      <c r="U53" s="310">
        <f t="shared" si="32"/>
        <v>4475172.448</v>
      </c>
      <c r="V53" s="812">
        <v>44348</v>
      </c>
      <c r="W53" s="813">
        <v>44439</v>
      </c>
      <c r="Y53" s="181"/>
      <c r="Z53" s="181"/>
      <c r="AA53" s="181"/>
      <c r="AC53" s="834"/>
      <c r="AD53" s="834"/>
      <c r="AF53" s="836"/>
    </row>
    <row r="54" ht="23.25" customHeight="1" s="760" customFormat="1">
      <c r="A54" s="377" t="s">
        <v>59</v>
      </c>
      <c r="B54" s="790" t="s">
        <v>153</v>
      </c>
      <c r="C54" s="773" t="s">
        <v>154</v>
      </c>
      <c r="D54" s="774" t="s">
        <v>84</v>
      </c>
      <c r="E54" s="775" t="s">
        <v>62</v>
      </c>
      <c r="F54" s="775" t="s">
        <v>63</v>
      </c>
      <c r="G54" s="771">
        <v>2515000</v>
      </c>
      <c r="H54" s="771">
        <f>-2515000/25*1</f>
        <v>-100600</v>
      </c>
      <c r="I54" s="707">
        <f t="shared" si="24"/>
        <v>122983.5</v>
      </c>
      <c r="J54" s="707">
        <f t="shared" si="25"/>
        <v>100600</v>
      </c>
      <c r="K54" s="707">
        <f t="shared" si="26"/>
        <v>50300</v>
      </c>
      <c r="L54" s="224">
        <f t="shared" si="27"/>
        <v>15000</v>
      </c>
      <c r="M54" s="715">
        <f t="shared" si="28"/>
        <v>2703283.5</v>
      </c>
      <c r="N54" s="715">
        <f t="shared" si="29"/>
        <v>216262.68</v>
      </c>
      <c r="O54" s="394">
        <v>1326000</v>
      </c>
      <c r="P54" s="715"/>
      <c r="Q54" s="715"/>
      <c r="R54" s="715"/>
      <c r="S54" s="309">
        <f t="shared" si="30"/>
        <v>4245546.18</v>
      </c>
      <c r="T54" s="810">
        <f t="shared" si="31"/>
        <v>21626.268</v>
      </c>
      <c r="U54" s="310">
        <f t="shared" si="32"/>
        <v>4267172.448</v>
      </c>
      <c r="V54" s="812">
        <v>44348</v>
      </c>
      <c r="W54" s="813">
        <v>44439</v>
      </c>
      <c r="Y54" s="181"/>
      <c r="Z54" s="181"/>
      <c r="AA54" s="181"/>
      <c r="AC54" s="834"/>
      <c r="AD54" s="834"/>
      <c r="AF54" s="836"/>
    </row>
    <row r="55" ht="23.25" customHeight="1" s="760" customFormat="1">
      <c r="A55" s="377" t="s">
        <v>59</v>
      </c>
      <c r="B55" s="790" t="s">
        <v>155</v>
      </c>
      <c r="C55" s="773" t="s">
        <v>156</v>
      </c>
      <c r="D55" s="774" t="s">
        <v>84</v>
      </c>
      <c r="E55" s="775" t="s">
        <v>62</v>
      </c>
      <c r="F55" s="775" t="s">
        <v>63</v>
      </c>
      <c r="G55" s="771">
        <v>2515000</v>
      </c>
      <c r="H55" s="771">
        <f>-2515000/25*4</f>
        <v>-402400</v>
      </c>
      <c r="I55" s="707">
        <f t="shared" si="24"/>
        <v>122983.5</v>
      </c>
      <c r="J55" s="707">
        <f t="shared" si="25"/>
        <v>100600</v>
      </c>
      <c r="K55" s="707">
        <f t="shared" si="26"/>
        <v>50300</v>
      </c>
      <c r="L55" s="224">
        <f t="shared" si="27"/>
        <v>15000</v>
      </c>
      <c r="M55" s="715">
        <f t="shared" si="28"/>
        <v>2401483.5</v>
      </c>
      <c r="N55" s="715">
        <f t="shared" si="29"/>
        <v>192118.68</v>
      </c>
      <c r="O55" s="394">
        <v>1183000</v>
      </c>
      <c r="P55" s="715"/>
      <c r="Q55" s="715"/>
      <c r="R55" s="715"/>
      <c r="S55" s="309">
        <f t="shared" si="30"/>
        <v>3776602.18</v>
      </c>
      <c r="T55" s="810">
        <f t="shared" si="31"/>
        <v>19211.868</v>
      </c>
      <c r="U55" s="310">
        <f t="shared" si="32"/>
        <v>3795814.048</v>
      </c>
      <c r="V55" s="812">
        <v>44348</v>
      </c>
      <c r="W55" s="813">
        <v>44439</v>
      </c>
      <c r="Y55" s="181"/>
      <c r="Z55" s="181"/>
      <c r="AA55" s="181"/>
      <c r="AC55" s="834"/>
      <c r="AD55" s="834"/>
      <c r="AF55" s="836"/>
    </row>
    <row r="56" ht="23.25" customHeight="1" s="760" customFormat="1">
      <c r="A56" s="377" t="s">
        <v>59</v>
      </c>
      <c r="B56" s="974" t="s">
        <v>157</v>
      </c>
      <c r="C56" s="773" t="s">
        <v>158</v>
      </c>
      <c r="D56" s="774" t="s">
        <v>84</v>
      </c>
      <c r="E56" s="775" t="s">
        <v>62</v>
      </c>
      <c r="F56" s="775" t="s">
        <v>63</v>
      </c>
      <c r="G56" s="771">
        <v>2515000</v>
      </c>
      <c r="H56" s="771">
        <f>-2515000/25*1</f>
        <v>-100600</v>
      </c>
      <c r="I56" s="707">
        <f t="shared" si="24"/>
        <v>122983.5</v>
      </c>
      <c r="J56" s="707">
        <f t="shared" si="25"/>
        <v>100600</v>
      </c>
      <c r="K56" s="707">
        <f t="shared" si="26"/>
        <v>50300</v>
      </c>
      <c r="L56" s="224">
        <f t="shared" si="27"/>
        <v>15000</v>
      </c>
      <c r="M56" s="715">
        <f t="shared" si="28"/>
        <v>2703283.5</v>
      </c>
      <c r="N56" s="715">
        <f t="shared" si="29"/>
        <v>216262.68</v>
      </c>
      <c r="O56" s="394">
        <v>1833000</v>
      </c>
      <c r="P56" s="715"/>
      <c r="Q56" s="715"/>
      <c r="R56" s="715"/>
      <c r="S56" s="309">
        <f t="shared" si="30"/>
        <v>4752546.18</v>
      </c>
      <c r="T56" s="810">
        <f t="shared" si="31"/>
        <v>21626.268</v>
      </c>
      <c r="U56" s="310">
        <f t="shared" si="32"/>
        <v>4774172.448</v>
      </c>
      <c r="V56" s="812">
        <v>44378</v>
      </c>
      <c r="W56" s="813">
        <v>44469</v>
      </c>
      <c r="Y56" s="181"/>
      <c r="Z56" s="181"/>
      <c r="AA56" s="181"/>
      <c r="AC56" s="834"/>
      <c r="AD56" s="834"/>
      <c r="AF56" s="836"/>
    </row>
    <row r="57" ht="23.25" customHeight="1" s="760" customFormat="1">
      <c r="A57" s="377" t="s">
        <v>59</v>
      </c>
      <c r="B57" s="790">
        <v>2000</v>
      </c>
      <c r="C57" s="773" t="s">
        <v>159</v>
      </c>
      <c r="D57" s="774" t="s">
        <v>84</v>
      </c>
      <c r="E57" s="775" t="s">
        <v>62</v>
      </c>
      <c r="F57" s="775" t="s">
        <v>63</v>
      </c>
      <c r="G57" s="771">
        <v>2515000</v>
      </c>
      <c r="H57" s="776"/>
      <c r="I57" s="707">
        <f t="shared" si="24"/>
        <v>122983.5</v>
      </c>
      <c r="J57" s="707">
        <f t="shared" si="25"/>
        <v>100600</v>
      </c>
      <c r="K57" s="707">
        <f t="shared" si="26"/>
        <v>50300</v>
      </c>
      <c r="L57" s="224">
        <f t="shared" si="27"/>
        <v>15000</v>
      </c>
      <c r="M57" s="715">
        <f t="shared" si="28"/>
        <v>2803883.5</v>
      </c>
      <c r="N57" s="715">
        <f t="shared" si="29"/>
        <v>224310.68</v>
      </c>
      <c r="O57" s="394">
        <f>1131000+1833000</f>
        <v>2964000</v>
      </c>
      <c r="P57" s="715"/>
      <c r="Q57" s="715"/>
      <c r="R57" s="715"/>
      <c r="S57" s="309">
        <f t="shared" si="30"/>
        <v>5992194.18</v>
      </c>
      <c r="T57" s="810">
        <f t="shared" si="31"/>
        <v>22431.068</v>
      </c>
      <c r="U57" s="310">
        <f t="shared" si="32"/>
        <v>6014625.248</v>
      </c>
      <c r="V57" s="812">
        <v>44378</v>
      </c>
      <c r="W57" s="813">
        <v>44469</v>
      </c>
      <c r="Y57" s="181"/>
      <c r="Z57" s="181"/>
      <c r="AA57" s="181"/>
      <c r="AC57" s="834"/>
      <c r="AD57" s="834"/>
      <c r="AF57" s="836"/>
    </row>
    <row r="58" ht="23.25" customHeight="1" s="760" customFormat="1">
      <c r="A58" s="377" t="s">
        <v>59</v>
      </c>
      <c r="B58" s="790">
        <v>2176</v>
      </c>
      <c r="C58" s="773" t="s">
        <v>160</v>
      </c>
      <c r="D58" s="774" t="s">
        <v>84</v>
      </c>
      <c r="E58" s="775" t="s">
        <v>62</v>
      </c>
      <c r="F58" s="775" t="s">
        <v>63</v>
      </c>
      <c r="G58" s="771">
        <v>2515000</v>
      </c>
      <c r="H58" s="771">
        <f>-2515000/25*1</f>
        <v>-100600</v>
      </c>
      <c r="I58" s="707">
        <f t="shared" si="24"/>
        <v>122983.5</v>
      </c>
      <c r="J58" s="707">
        <f t="shared" si="25"/>
        <v>100600</v>
      </c>
      <c r="K58" s="707">
        <f t="shared" si="26"/>
        <v>50300</v>
      </c>
      <c r="L58" s="224">
        <f t="shared" si="27"/>
        <v>15000</v>
      </c>
      <c r="M58" s="715">
        <f t="shared" si="28"/>
        <v>2703283.5</v>
      </c>
      <c r="N58" s="715">
        <f t="shared" si="29"/>
        <v>216262.68</v>
      </c>
      <c r="O58" s="394">
        <v>1612000</v>
      </c>
      <c r="P58" s="715"/>
      <c r="Q58" s="715"/>
      <c r="R58" s="715"/>
      <c r="S58" s="309">
        <f t="shared" si="30"/>
        <v>4531546.18</v>
      </c>
      <c r="T58" s="810">
        <f t="shared" si="31"/>
        <v>21626.268</v>
      </c>
      <c r="U58" s="310">
        <f t="shared" si="32"/>
        <v>4553172.448</v>
      </c>
      <c r="V58" s="812">
        <v>44409</v>
      </c>
      <c r="W58" s="813">
        <v>44439</v>
      </c>
      <c r="Y58" s="181"/>
      <c r="Z58" s="181"/>
      <c r="AA58" s="181"/>
      <c r="AC58" s="834"/>
      <c r="AD58" s="834"/>
      <c r="AF58" s="836"/>
    </row>
    <row r="59" ht="23.25" customHeight="1" s="760" customFormat="1">
      <c r="A59" s="377" t="s">
        <v>59</v>
      </c>
      <c r="B59" s="790" t="s">
        <v>161</v>
      </c>
      <c r="C59" s="773" t="s">
        <v>162</v>
      </c>
      <c r="D59" s="774" t="s">
        <v>84</v>
      </c>
      <c r="E59" s="775" t="s">
        <v>62</v>
      </c>
      <c r="F59" s="775" t="s">
        <v>63</v>
      </c>
      <c r="G59" s="771">
        <v>2515000</v>
      </c>
      <c r="H59" s="776"/>
      <c r="I59" s="707">
        <f t="shared" si="24"/>
        <v>122983.5</v>
      </c>
      <c r="J59" s="707">
        <f t="shared" si="25"/>
        <v>100600</v>
      </c>
      <c r="K59" s="707">
        <f t="shared" si="26"/>
        <v>50300</v>
      </c>
      <c r="L59" s="224">
        <f t="shared" si="27"/>
        <v>15000</v>
      </c>
      <c r="M59" s="715">
        <f t="shared" si="28"/>
        <v>2803883.5</v>
      </c>
      <c r="N59" s="715">
        <f t="shared" si="29"/>
        <v>224310.68</v>
      </c>
      <c r="O59" s="394">
        <v>2002000</v>
      </c>
      <c r="P59" s="715"/>
      <c r="Q59" s="715"/>
      <c r="R59" s="715"/>
      <c r="S59" s="309">
        <f t="shared" si="30"/>
        <v>5030194.18</v>
      </c>
      <c r="T59" s="810">
        <f t="shared" si="31"/>
        <v>22431.068</v>
      </c>
      <c r="U59" s="310">
        <f t="shared" si="32"/>
        <v>5052625.248</v>
      </c>
      <c r="V59" s="812">
        <v>44409</v>
      </c>
      <c r="W59" s="813">
        <v>44439</v>
      </c>
      <c r="Y59" s="181"/>
      <c r="Z59" s="181"/>
      <c r="AA59" s="181"/>
      <c r="AC59" s="834"/>
      <c r="AD59" s="834"/>
      <c r="AF59" s="836"/>
    </row>
    <row r="60" ht="23.25" customHeight="1" s="760" customFormat="1">
      <c r="A60" s="377" t="s">
        <v>59</v>
      </c>
      <c r="B60" s="790" t="s">
        <v>163</v>
      </c>
      <c r="C60" s="773" t="s">
        <v>164</v>
      </c>
      <c r="D60" s="774" t="s">
        <v>84</v>
      </c>
      <c r="E60" s="775" t="s">
        <v>62</v>
      </c>
      <c r="F60" s="775" t="s">
        <v>63</v>
      </c>
      <c r="G60" s="771">
        <v>2515000</v>
      </c>
      <c r="H60" s="776"/>
      <c r="I60" s="707">
        <f t="shared" si="24"/>
        <v>122983.5</v>
      </c>
      <c r="J60" s="707">
        <f t="shared" si="25"/>
        <v>100600</v>
      </c>
      <c r="K60" s="707">
        <f t="shared" si="26"/>
        <v>50300</v>
      </c>
      <c r="L60" s="224">
        <f t="shared" si="27"/>
        <v>15000</v>
      </c>
      <c r="M60" s="715">
        <f t="shared" si="28"/>
        <v>2803883.5</v>
      </c>
      <c r="N60" s="715">
        <f t="shared" si="29"/>
        <v>224310.68</v>
      </c>
      <c r="O60" s="394">
        <v>1495000</v>
      </c>
      <c r="P60" s="715"/>
      <c r="Q60" s="715"/>
      <c r="R60" s="715"/>
      <c r="S60" s="309">
        <f t="shared" si="30"/>
        <v>4523194.18</v>
      </c>
      <c r="T60" s="810">
        <f t="shared" si="31"/>
        <v>22431.068</v>
      </c>
      <c r="U60" s="310">
        <f t="shared" si="32"/>
        <v>4545625.248</v>
      </c>
      <c r="V60" s="812">
        <v>44409</v>
      </c>
      <c r="W60" s="813">
        <v>44439</v>
      </c>
      <c r="Y60" s="181"/>
      <c r="Z60" s="181"/>
      <c r="AA60" s="181"/>
      <c r="AC60" s="834"/>
      <c r="AD60" s="834"/>
      <c r="AF60" s="836"/>
    </row>
    <row r="61" ht="23.25" customHeight="1" s="760" customFormat="1">
      <c r="A61" s="377" t="s">
        <v>59</v>
      </c>
      <c r="B61" s="790" t="s">
        <v>165</v>
      </c>
      <c r="C61" s="773" t="s">
        <v>166</v>
      </c>
      <c r="D61" s="774" t="s">
        <v>84</v>
      </c>
      <c r="E61" s="775" t="s">
        <v>62</v>
      </c>
      <c r="F61" s="775" t="s">
        <v>63</v>
      </c>
      <c r="G61" s="771">
        <v>2515000</v>
      </c>
      <c r="H61" s="776"/>
      <c r="I61" s="707">
        <f t="shared" si="24"/>
        <v>122983.5</v>
      </c>
      <c r="J61" s="707">
        <f t="shared" si="25"/>
        <v>100600</v>
      </c>
      <c r="K61" s="707">
        <f t="shared" si="26"/>
        <v>50300</v>
      </c>
      <c r="L61" s="224">
        <f t="shared" si="27"/>
        <v>15000</v>
      </c>
      <c r="M61" s="715">
        <f t="shared" si="28"/>
        <v>2803883.5</v>
      </c>
      <c r="N61" s="715">
        <f t="shared" si="29"/>
        <v>224310.68</v>
      </c>
      <c r="O61" s="394">
        <v>1820000</v>
      </c>
      <c r="P61" s="715"/>
      <c r="Q61" s="715"/>
      <c r="R61" s="715"/>
      <c r="S61" s="309">
        <f t="shared" si="30"/>
        <v>4848194.18</v>
      </c>
      <c r="T61" s="810">
        <f t="shared" si="31"/>
        <v>22431.068</v>
      </c>
      <c r="U61" s="310">
        <f t="shared" si="32"/>
        <v>4870625.248</v>
      </c>
      <c r="V61" s="812">
        <v>44409</v>
      </c>
      <c r="W61" s="813">
        <v>44439</v>
      </c>
      <c r="Y61" s="181"/>
      <c r="Z61" s="181"/>
      <c r="AA61" s="181"/>
      <c r="AC61" s="834"/>
      <c r="AD61" s="834"/>
      <c r="AF61" s="836"/>
    </row>
    <row r="62" ht="23.25" customHeight="1" s="760" customFormat="1">
      <c r="A62" s="377" t="s">
        <v>59</v>
      </c>
      <c r="B62" s="790" t="s">
        <v>167</v>
      </c>
      <c r="C62" s="773" t="s">
        <v>168</v>
      </c>
      <c r="D62" s="774" t="s">
        <v>84</v>
      </c>
      <c r="E62" s="775" t="s">
        <v>62</v>
      </c>
      <c r="F62" s="775" t="s">
        <v>63</v>
      </c>
      <c r="G62" s="771">
        <v>2515000</v>
      </c>
      <c r="H62" s="776"/>
      <c r="I62" s="707">
        <f t="shared" si="24"/>
        <v>122983.5</v>
      </c>
      <c r="J62" s="707">
        <f t="shared" si="25"/>
        <v>100600</v>
      </c>
      <c r="K62" s="707">
        <f t="shared" si="26"/>
        <v>50300</v>
      </c>
      <c r="L62" s="224">
        <f t="shared" si="27"/>
        <v>15000</v>
      </c>
      <c r="M62" s="715">
        <f t="shared" si="28"/>
        <v>2803883.5</v>
      </c>
      <c r="N62" s="715">
        <f t="shared" si="29"/>
        <v>224310.68</v>
      </c>
      <c r="O62" s="394">
        <v>1742000</v>
      </c>
      <c r="P62" s="715"/>
      <c r="Q62" s="715"/>
      <c r="R62" s="715"/>
      <c r="S62" s="309">
        <f t="shared" si="30"/>
        <v>4770194.18</v>
      </c>
      <c r="T62" s="810">
        <f t="shared" si="31"/>
        <v>22431.068</v>
      </c>
      <c r="U62" s="310">
        <f t="shared" si="32"/>
        <v>4792625.248</v>
      </c>
      <c r="V62" s="812">
        <v>44409</v>
      </c>
      <c r="W62" s="813">
        <v>44439</v>
      </c>
      <c r="Y62" s="181"/>
      <c r="Z62" s="181"/>
      <c r="AA62" s="181"/>
      <c r="AC62" s="834"/>
      <c r="AD62" s="834"/>
      <c r="AF62" s="836"/>
    </row>
    <row r="63" ht="23.25" customHeight="1" s="760" customFormat="1">
      <c r="A63" s="377" t="s">
        <v>59</v>
      </c>
      <c r="B63" s="790" t="s">
        <v>169</v>
      </c>
      <c r="C63" s="773" t="s">
        <v>170</v>
      </c>
      <c r="D63" s="774" t="s">
        <v>84</v>
      </c>
      <c r="E63" s="775" t="s">
        <v>62</v>
      </c>
      <c r="F63" s="775" t="s">
        <v>63</v>
      </c>
      <c r="G63" s="771">
        <v>2515000</v>
      </c>
      <c r="H63" s="776"/>
      <c r="I63" s="707">
        <f t="shared" si="24"/>
        <v>122983.5</v>
      </c>
      <c r="J63" s="707">
        <f t="shared" si="25"/>
        <v>100600</v>
      </c>
      <c r="K63" s="707">
        <f t="shared" si="26"/>
        <v>50300</v>
      </c>
      <c r="L63" s="224">
        <f t="shared" si="27"/>
        <v>15000</v>
      </c>
      <c r="M63" s="715">
        <f t="shared" si="28"/>
        <v>2803883.5</v>
      </c>
      <c r="N63" s="715">
        <f t="shared" si="29"/>
        <v>224310.68</v>
      </c>
      <c r="O63" s="394">
        <v>0</v>
      </c>
      <c r="P63" s="715"/>
      <c r="Q63" s="715"/>
      <c r="R63" s="715"/>
      <c r="S63" s="309">
        <f t="shared" si="30"/>
        <v>3028194.18</v>
      </c>
      <c r="T63" s="810">
        <f t="shared" si="31"/>
        <v>22431.068</v>
      </c>
      <c r="U63" s="310">
        <f t="shared" si="32"/>
        <v>3050625.248</v>
      </c>
      <c r="V63" s="812">
        <v>44409</v>
      </c>
      <c r="W63" s="813">
        <v>44439</v>
      </c>
      <c r="Y63" s="181"/>
      <c r="Z63" s="181"/>
      <c r="AA63" s="181"/>
      <c r="AC63" s="834"/>
      <c r="AD63" s="834"/>
      <c r="AF63" s="836"/>
    </row>
    <row r="64" ht="23.25" customHeight="1" s="760" customFormat="1">
      <c r="A64" s="377" t="s">
        <v>59</v>
      </c>
      <c r="B64" s="790" t="s">
        <v>171</v>
      </c>
      <c r="C64" s="773" t="s">
        <v>172</v>
      </c>
      <c r="D64" s="774" t="s">
        <v>84</v>
      </c>
      <c r="E64" s="775" t="s">
        <v>62</v>
      </c>
      <c r="F64" s="775" t="s">
        <v>63</v>
      </c>
      <c r="G64" s="771">
        <v>2515000</v>
      </c>
      <c r="H64" s="771">
        <f>-2515000/25*2</f>
        <v>-201200</v>
      </c>
      <c r="I64" s="707">
        <f t="shared" si="24"/>
        <v>122983.5</v>
      </c>
      <c r="J64" s="707">
        <f t="shared" si="25"/>
        <v>100600</v>
      </c>
      <c r="K64" s="707">
        <f t="shared" si="26"/>
        <v>50300</v>
      </c>
      <c r="L64" s="224">
        <f t="shared" si="27"/>
        <v>15000</v>
      </c>
      <c r="M64" s="715">
        <f t="shared" si="28"/>
        <v>2602683.5</v>
      </c>
      <c r="N64" s="715">
        <f t="shared" si="29"/>
        <v>208214.68</v>
      </c>
      <c r="O64" s="394">
        <v>1833000</v>
      </c>
      <c r="P64" s="715"/>
      <c r="Q64" s="715"/>
      <c r="R64" s="715"/>
      <c r="S64" s="309">
        <f t="shared" si="30"/>
        <v>4643898.18</v>
      </c>
      <c r="T64" s="810">
        <f t="shared" si="31"/>
        <v>20821.468</v>
      </c>
      <c r="U64" s="310">
        <f t="shared" si="32"/>
        <v>4664719.648</v>
      </c>
      <c r="V64" s="812">
        <v>44409</v>
      </c>
      <c r="W64" s="813">
        <v>44439</v>
      </c>
      <c r="Y64" s="181"/>
      <c r="Z64" s="181"/>
      <c r="AA64" s="181"/>
      <c r="AC64" s="834"/>
      <c r="AD64" s="834"/>
      <c r="AF64" s="836"/>
    </row>
    <row r="65" ht="23.25" customHeight="1" s="760" customFormat="1">
      <c r="A65" s="377" t="s">
        <v>59</v>
      </c>
      <c r="B65" s="790" t="s">
        <v>173</v>
      </c>
      <c r="C65" s="773" t="s">
        <v>174</v>
      </c>
      <c r="D65" s="774" t="s">
        <v>84</v>
      </c>
      <c r="E65" s="775" t="s">
        <v>62</v>
      </c>
      <c r="F65" s="775" t="s">
        <v>63</v>
      </c>
      <c r="G65" s="771">
        <v>2515000</v>
      </c>
      <c r="H65" s="776"/>
      <c r="I65" s="707">
        <f t="shared" si="24"/>
        <v>122983.5</v>
      </c>
      <c r="J65" s="707">
        <f t="shared" si="25"/>
        <v>100600</v>
      </c>
      <c r="K65" s="707">
        <f t="shared" si="26"/>
        <v>50300</v>
      </c>
      <c r="L65" s="224">
        <f t="shared" si="27"/>
        <v>15000</v>
      </c>
      <c r="M65" s="715">
        <f t="shared" si="28"/>
        <v>2803883.5</v>
      </c>
      <c r="N65" s="715">
        <f t="shared" si="29"/>
        <v>224310.68</v>
      </c>
      <c r="O65" s="394">
        <v>0</v>
      </c>
      <c r="P65" s="715"/>
      <c r="Q65" s="715"/>
      <c r="R65" s="715"/>
      <c r="S65" s="309">
        <f t="shared" si="30"/>
        <v>3028194.18</v>
      </c>
      <c r="T65" s="810">
        <f t="shared" si="31"/>
        <v>22431.068</v>
      </c>
      <c r="U65" s="310">
        <f t="shared" si="32"/>
        <v>3050625.248</v>
      </c>
      <c r="V65" s="812">
        <v>44336</v>
      </c>
      <c r="W65" s="813">
        <v>44439</v>
      </c>
      <c r="Y65" s="181"/>
      <c r="Z65" s="181"/>
      <c r="AA65" s="181"/>
      <c r="AC65" s="834"/>
      <c r="AD65" s="834"/>
      <c r="AF65" s="836"/>
    </row>
    <row r="66" ht="23.25" customHeight="1" s="764" customFormat="1">
      <c r="A66" s="377" t="s">
        <v>59</v>
      </c>
      <c r="B66" s="790" t="s">
        <v>175</v>
      </c>
      <c r="C66" s="773" t="s">
        <v>176</v>
      </c>
      <c r="D66" s="774" t="s">
        <v>84</v>
      </c>
      <c r="E66" s="775" t="s">
        <v>62</v>
      </c>
      <c r="F66" s="775" t="s">
        <v>63</v>
      </c>
      <c r="G66" s="771">
        <v>2515000</v>
      </c>
      <c r="H66" s="776"/>
      <c r="I66" s="707">
        <f t="shared" si="24"/>
        <v>122983.5</v>
      </c>
      <c r="J66" s="707">
        <f t="shared" si="25"/>
        <v>100600</v>
      </c>
      <c r="K66" s="707">
        <f t="shared" si="26"/>
        <v>50300</v>
      </c>
      <c r="L66" s="224">
        <f t="shared" si="27"/>
        <v>15000</v>
      </c>
      <c r="M66" s="715">
        <f t="shared" si="28"/>
        <v>2803883.5</v>
      </c>
      <c r="N66" s="715">
        <f t="shared" si="29"/>
        <v>224310.68</v>
      </c>
      <c r="O66" s="394">
        <f>2288000+1677000</f>
        <v>3965000</v>
      </c>
      <c r="P66" s="715"/>
      <c r="Q66" s="715"/>
      <c r="R66" s="715"/>
      <c r="S66" s="309">
        <f t="shared" si="30"/>
        <v>6993194.18</v>
      </c>
      <c r="T66" s="810">
        <f t="shared" si="31"/>
        <v>22431.068</v>
      </c>
      <c r="U66" s="310">
        <f t="shared" si="32"/>
        <v>7015625.248</v>
      </c>
      <c r="V66" s="812">
        <v>44345</v>
      </c>
      <c r="W66" s="813">
        <v>44439</v>
      </c>
      <c r="X66" s="760"/>
      <c r="Y66" s="181"/>
      <c r="Z66" s="181"/>
      <c r="AA66" s="181"/>
      <c r="AB66" s="760"/>
      <c r="AC66" s="834"/>
      <c r="AD66" s="834"/>
      <c r="AE66" s="760"/>
      <c r="AF66" s="836"/>
      <c r="AG66" s="760"/>
      <c r="AH66" s="760"/>
      <c r="AI66" s="760"/>
      <c r="AJ66" s="760"/>
      <c r="AK66" s="760"/>
      <c r="AL66" s="760"/>
      <c r="AM66" s="760"/>
      <c r="AN66" s="760"/>
      <c r="AO66" s="760"/>
      <c r="AP66" s="760"/>
      <c r="AQ66" s="760"/>
      <c r="AR66" s="760"/>
      <c r="AS66" s="760"/>
      <c r="AT66" s="760"/>
      <c r="AU66" s="760"/>
      <c r="AV66" s="760"/>
      <c r="AW66" s="760"/>
      <c r="AX66" s="760"/>
      <c r="AY66" s="760"/>
      <c r="AZ66" s="760"/>
      <c r="BA66" s="760"/>
      <c r="BB66" s="760"/>
    </row>
    <row r="67" ht="23.25" customHeight="1" s="764" customFormat="1">
      <c r="A67" s="377" t="s">
        <v>59</v>
      </c>
      <c r="B67" s="790" t="s">
        <v>177</v>
      </c>
      <c r="C67" s="773" t="s">
        <v>178</v>
      </c>
      <c r="D67" s="774" t="s">
        <v>84</v>
      </c>
      <c r="E67" s="775" t="s">
        <v>62</v>
      </c>
      <c r="F67" s="775" t="s">
        <v>63</v>
      </c>
      <c r="G67" s="771">
        <v>2515000</v>
      </c>
      <c r="H67" s="771">
        <f>-2515000/25*1</f>
        <v>-100600</v>
      </c>
      <c r="I67" s="707">
        <f t="shared" si="24"/>
        <v>122983.5</v>
      </c>
      <c r="J67" s="707">
        <f t="shared" si="25"/>
        <v>100600</v>
      </c>
      <c r="K67" s="707">
        <f t="shared" si="26"/>
        <v>50300</v>
      </c>
      <c r="L67" s="224">
        <f t="shared" si="27"/>
        <v>15000</v>
      </c>
      <c r="M67" s="715">
        <f t="shared" si="28"/>
        <v>2703283.5</v>
      </c>
      <c r="N67" s="715">
        <f t="shared" si="29"/>
        <v>216262.68</v>
      </c>
      <c r="O67" s="394">
        <v>1404000</v>
      </c>
      <c r="P67" s="715"/>
      <c r="Q67" s="715"/>
      <c r="R67" s="715"/>
      <c r="S67" s="309">
        <f t="shared" si="30"/>
        <v>4323546.18</v>
      </c>
      <c r="T67" s="810">
        <f t="shared" si="31"/>
        <v>21626.268</v>
      </c>
      <c r="U67" s="310">
        <f t="shared" si="32"/>
        <v>4345172.448</v>
      </c>
      <c r="V67" s="812">
        <v>44345</v>
      </c>
      <c r="W67" s="813">
        <v>44439</v>
      </c>
      <c r="X67" s="760"/>
      <c r="Y67" s="181"/>
      <c r="Z67" s="181"/>
      <c r="AA67" s="181"/>
      <c r="AB67" s="760"/>
      <c r="AC67" s="834"/>
      <c r="AD67" s="834"/>
      <c r="AE67" s="760"/>
      <c r="AF67" s="836"/>
      <c r="AG67" s="760"/>
      <c r="AH67" s="760"/>
      <c r="AI67" s="760"/>
      <c r="AJ67" s="760"/>
      <c r="AK67" s="760"/>
      <c r="AL67" s="760"/>
      <c r="AM67" s="760"/>
      <c r="AN67" s="760"/>
      <c r="AO67" s="760"/>
      <c r="AP67" s="760"/>
      <c r="AQ67" s="760"/>
      <c r="AR67" s="760"/>
      <c r="AS67" s="760"/>
      <c r="AT67" s="760"/>
      <c r="AU67" s="760"/>
      <c r="AV67" s="760"/>
      <c r="AW67" s="760"/>
      <c r="AX67" s="760"/>
      <c r="AY67" s="760"/>
      <c r="AZ67" s="760"/>
      <c r="BA67" s="760"/>
      <c r="BB67" s="760"/>
    </row>
    <row r="68" ht="23.25" customHeight="1" s="764" customFormat="1">
      <c r="A68" s="377" t="s">
        <v>64</v>
      </c>
      <c r="B68" s="1199" t="s">
        <v>179</v>
      </c>
      <c r="C68" s="1195" t="s">
        <v>180</v>
      </c>
      <c r="D68" s="774" t="s">
        <v>84</v>
      </c>
      <c r="E68" s="775" t="s">
        <v>62</v>
      </c>
      <c r="F68" s="775" t="s">
        <v>63</v>
      </c>
      <c r="G68" s="771">
        <v>2515000</v>
      </c>
      <c r="H68" s="771">
        <f>-2515000/25*3</f>
        <v>-301800</v>
      </c>
      <c r="I68" s="707">
        <f t="shared" si="24"/>
        <v>122983.5</v>
      </c>
      <c r="J68" s="707">
        <f t="shared" si="25"/>
        <v>100600</v>
      </c>
      <c r="K68" s="707">
        <f t="shared" si="26"/>
        <v>50300</v>
      </c>
      <c r="L68" s="224">
        <f t="shared" si="27"/>
        <v>15000</v>
      </c>
      <c r="M68" s="715">
        <f t="shared" si="28"/>
        <v>2502083.5</v>
      </c>
      <c r="N68" s="715">
        <f t="shared" si="29"/>
        <v>200166.68</v>
      </c>
      <c r="O68" s="394">
        <f>1547000+1157000</f>
        <v>2704000</v>
      </c>
      <c r="P68" s="715"/>
      <c r="Q68" s="715"/>
      <c r="R68" s="715"/>
      <c r="S68" s="309">
        <f t="shared" si="30"/>
        <v>5406250.18</v>
      </c>
      <c r="T68" s="810">
        <f t="shared" si="31"/>
        <v>20016.668</v>
      </c>
      <c r="U68" s="310">
        <f t="shared" si="32"/>
        <v>5426266.847999999</v>
      </c>
      <c r="V68" s="812">
        <v>44349</v>
      </c>
      <c r="W68" s="813">
        <v>44439</v>
      </c>
      <c r="X68" s="760"/>
      <c r="Y68" s="181"/>
      <c r="Z68" s="181"/>
      <c r="AA68" s="181"/>
      <c r="AB68" s="760"/>
      <c r="AC68" s="834"/>
      <c r="AD68" s="834"/>
      <c r="AE68" s="760"/>
      <c r="AF68" s="836"/>
      <c r="AG68" s="760"/>
      <c r="AH68" s="760"/>
      <c r="AI68" s="760"/>
      <c r="AJ68" s="760"/>
      <c r="AK68" s="760"/>
      <c r="AL68" s="760"/>
      <c r="AM68" s="760"/>
      <c r="AN68" s="760"/>
      <c r="AO68" s="760"/>
      <c r="AP68" s="760"/>
      <c r="AQ68" s="760"/>
      <c r="AR68" s="760"/>
      <c r="AS68" s="760"/>
      <c r="AT68" s="760"/>
      <c r="AU68" s="760"/>
      <c r="AV68" s="760"/>
      <c r="AW68" s="760"/>
      <c r="AX68" s="760"/>
      <c r="AY68" s="760"/>
      <c r="AZ68" s="760"/>
      <c r="BA68" s="760"/>
      <c r="BB68" s="760"/>
    </row>
    <row r="69" ht="23.25" customHeight="1" s="764" customFormat="1">
      <c r="A69" s="377" t="s">
        <v>59</v>
      </c>
      <c r="B69" s="790" t="s">
        <v>181</v>
      </c>
      <c r="C69" s="773" t="s">
        <v>182</v>
      </c>
      <c r="D69" s="774" t="s">
        <v>84</v>
      </c>
      <c r="E69" s="775" t="s">
        <v>62</v>
      </c>
      <c r="F69" s="775" t="s">
        <v>63</v>
      </c>
      <c r="G69" s="771">
        <v>2515000</v>
      </c>
      <c r="H69" s="776"/>
      <c r="I69" s="707">
        <f t="shared" si="24"/>
        <v>122983.5</v>
      </c>
      <c r="J69" s="707">
        <f t="shared" si="25"/>
        <v>100600</v>
      </c>
      <c r="K69" s="707">
        <f t="shared" si="26"/>
        <v>50300</v>
      </c>
      <c r="L69" s="224">
        <f t="shared" si="27"/>
        <v>15000</v>
      </c>
      <c r="M69" s="715">
        <f t="shared" si="28"/>
        <v>2803883.5</v>
      </c>
      <c r="N69" s="715">
        <f t="shared" si="29"/>
        <v>224310.68</v>
      </c>
      <c r="O69" s="394">
        <v>1814000</v>
      </c>
      <c r="P69" s="715"/>
      <c r="Q69" s="715"/>
      <c r="R69" s="715"/>
      <c r="S69" s="309">
        <f t="shared" si="30"/>
        <v>4842194.18</v>
      </c>
      <c r="T69" s="810">
        <f t="shared" si="31"/>
        <v>22431.068</v>
      </c>
      <c r="U69" s="310">
        <f t="shared" si="32"/>
        <v>4864625.248</v>
      </c>
      <c r="V69" s="812">
        <v>44358</v>
      </c>
      <c r="W69" s="813">
        <v>44439</v>
      </c>
      <c r="X69" s="760"/>
      <c r="Y69" s="181"/>
      <c r="Z69" s="181"/>
      <c r="AA69" s="181"/>
      <c r="AB69" s="760"/>
      <c r="AC69" s="834"/>
      <c r="AD69" s="834"/>
      <c r="AE69" s="760"/>
      <c r="AF69" s="836"/>
      <c r="AG69" s="760"/>
      <c r="AH69" s="760"/>
      <c r="AI69" s="760"/>
      <c r="AJ69" s="760"/>
      <c r="AK69" s="760"/>
      <c r="AL69" s="760"/>
      <c r="AM69" s="760"/>
      <c r="AN69" s="760"/>
      <c r="AO69" s="760"/>
      <c r="AP69" s="760"/>
      <c r="AQ69" s="760"/>
      <c r="AR69" s="760"/>
      <c r="AS69" s="760"/>
      <c r="AT69" s="760"/>
      <c r="AU69" s="760"/>
      <c r="AV69" s="760"/>
      <c r="AW69" s="760"/>
      <c r="AX69" s="760"/>
      <c r="AY69" s="760"/>
      <c r="AZ69" s="760"/>
      <c r="BA69" s="760"/>
      <c r="BB69" s="760"/>
    </row>
    <row r="70" ht="23.25" customHeight="1" s="760" customFormat="1">
      <c r="A70" s="377" t="s">
        <v>59</v>
      </c>
      <c r="B70" s="790" t="s">
        <v>183</v>
      </c>
      <c r="C70" s="773" t="s">
        <v>184</v>
      </c>
      <c r="D70" s="774" t="s">
        <v>84</v>
      </c>
      <c r="E70" s="775" t="s">
        <v>62</v>
      </c>
      <c r="F70" s="775" t="s">
        <v>63</v>
      </c>
      <c r="G70" s="771">
        <v>2515000</v>
      </c>
      <c r="H70" s="771">
        <f>-2515000/25*1</f>
        <v>-100600</v>
      </c>
      <c r="I70" s="707">
        <f t="shared" si="24"/>
        <v>122983.5</v>
      </c>
      <c r="J70" s="707">
        <f t="shared" si="25"/>
        <v>100600</v>
      </c>
      <c r="K70" s="707">
        <f t="shared" si="26"/>
        <v>50300</v>
      </c>
      <c r="L70" s="224">
        <f t="shared" si="27"/>
        <v>15000</v>
      </c>
      <c r="M70" s="715">
        <f t="shared" si="28"/>
        <v>2703283.5</v>
      </c>
      <c r="N70" s="715">
        <f t="shared" si="29"/>
        <v>216262.68</v>
      </c>
      <c r="O70" s="394"/>
      <c r="P70" s="715"/>
      <c r="Q70" s="715"/>
      <c r="R70" s="715"/>
      <c r="S70" s="309">
        <f t="shared" si="30"/>
        <v>2919546.18</v>
      </c>
      <c r="T70" s="810">
        <f t="shared" si="31"/>
        <v>21626.268</v>
      </c>
      <c r="U70" s="310">
        <f t="shared" si="32"/>
        <v>2941172.4480000003</v>
      </c>
      <c r="V70" s="812">
        <v>44378</v>
      </c>
      <c r="W70" s="813">
        <v>44469</v>
      </c>
      <c r="Y70" s="181"/>
      <c r="Z70" s="181"/>
      <c r="AA70" s="181"/>
      <c r="AC70" s="834"/>
      <c r="AD70" s="834"/>
      <c r="AF70" s="836"/>
    </row>
    <row r="71" ht="23.25" customHeight="1" s="760" customFormat="1">
      <c r="A71" s="377" t="s">
        <v>59</v>
      </c>
      <c r="B71" s="790" t="s">
        <v>185</v>
      </c>
      <c r="C71" s="773" t="s">
        <v>186</v>
      </c>
      <c r="D71" s="774" t="s">
        <v>84</v>
      </c>
      <c r="E71" s="775" t="s">
        <v>62</v>
      </c>
      <c r="F71" s="775" t="s">
        <v>63</v>
      </c>
      <c r="G71" s="771">
        <v>2515000</v>
      </c>
      <c r="H71" s="776"/>
      <c r="I71" s="707">
        <f t="shared" si="24"/>
        <v>122983.5</v>
      </c>
      <c r="J71" s="707">
        <f t="shared" si="25"/>
        <v>100600</v>
      </c>
      <c r="K71" s="707">
        <f t="shared" si="26"/>
        <v>50300</v>
      </c>
      <c r="L71" s="224">
        <f t="shared" si="27"/>
        <v>15000</v>
      </c>
      <c r="M71" s="715">
        <f t="shared" si="28"/>
        <v>2803883.5</v>
      </c>
      <c r="N71" s="715">
        <f t="shared" si="29"/>
        <v>224310.68</v>
      </c>
      <c r="O71" s="394">
        <v>2093000</v>
      </c>
      <c r="P71" s="715"/>
      <c r="Q71" s="715"/>
      <c r="R71" s="715"/>
      <c r="S71" s="309">
        <f t="shared" si="30"/>
        <v>5121194.18</v>
      </c>
      <c r="T71" s="810">
        <f t="shared" si="31"/>
        <v>22431.068</v>
      </c>
      <c r="U71" s="310">
        <f t="shared" si="32"/>
        <v>5143625.248</v>
      </c>
      <c r="V71" s="812">
        <v>44378</v>
      </c>
      <c r="W71" s="813">
        <v>44469</v>
      </c>
      <c r="Y71" s="181"/>
      <c r="Z71" s="181"/>
      <c r="AA71" s="181"/>
      <c r="AC71" s="834"/>
      <c r="AD71" s="834"/>
      <c r="AF71" s="836"/>
    </row>
    <row r="72" ht="23.25" customHeight="1" s="760" customFormat="1">
      <c r="A72" s="377" t="s">
        <v>64</v>
      </c>
      <c r="B72" s="1199" t="s">
        <v>187</v>
      </c>
      <c r="C72" s="1195" t="s">
        <v>188</v>
      </c>
      <c r="D72" s="774" t="s">
        <v>84</v>
      </c>
      <c r="E72" s="775" t="s">
        <v>62</v>
      </c>
      <c r="F72" s="775" t="s">
        <v>63</v>
      </c>
      <c r="G72" s="771">
        <v>2515000</v>
      </c>
      <c r="H72" s="771">
        <f>-2515000/25*1</f>
        <v>-100600</v>
      </c>
      <c r="I72" s="707">
        <f t="shared" si="24"/>
        <v>122983.5</v>
      </c>
      <c r="J72" s="707">
        <f t="shared" si="25"/>
        <v>100600</v>
      </c>
      <c r="K72" s="707">
        <f t="shared" si="26"/>
        <v>50300</v>
      </c>
      <c r="L72" s="224">
        <f t="shared" si="27"/>
        <v>15000</v>
      </c>
      <c r="M72" s="715">
        <f t="shared" si="28"/>
        <v>2703283.5</v>
      </c>
      <c r="N72" s="715">
        <f t="shared" si="29"/>
        <v>216262.68</v>
      </c>
      <c r="O72" s="394">
        <v>1742000</v>
      </c>
      <c r="P72" s="715"/>
      <c r="Q72" s="715"/>
      <c r="R72" s="715"/>
      <c r="S72" s="309">
        <f t="shared" si="30"/>
        <v>4661546.18</v>
      </c>
      <c r="T72" s="810">
        <f t="shared" si="31"/>
        <v>21626.268</v>
      </c>
      <c r="U72" s="310">
        <f t="shared" si="32"/>
        <v>4683172.448</v>
      </c>
      <c r="V72" s="812">
        <v>44378</v>
      </c>
      <c r="W72" s="813">
        <v>44469</v>
      </c>
      <c r="Y72" s="181"/>
      <c r="Z72" s="181"/>
      <c r="AA72" s="181"/>
      <c r="AC72" s="834"/>
      <c r="AD72" s="834"/>
      <c r="AF72" s="836"/>
    </row>
    <row r="73" ht="23.25" customHeight="1" s="181" customFormat="1">
      <c r="A73" s="377" t="s">
        <v>59</v>
      </c>
      <c r="B73" s="789" t="s">
        <v>189</v>
      </c>
      <c r="C73" s="769" t="s">
        <v>190</v>
      </c>
      <c r="D73" s="787" t="s">
        <v>84</v>
      </c>
      <c r="E73" s="772" t="s">
        <v>62</v>
      </c>
      <c r="F73" s="772" t="s">
        <v>63</v>
      </c>
      <c r="G73" s="771">
        <v>2515000</v>
      </c>
      <c r="H73" s="771"/>
      <c r="I73" s="224">
        <f t="shared" si="24"/>
        <v>122983.5</v>
      </c>
      <c r="J73" s="224">
        <f t="shared" si="25"/>
        <v>100600</v>
      </c>
      <c r="K73" s="224">
        <f t="shared" si="26"/>
        <v>50300</v>
      </c>
      <c r="L73" s="224">
        <f t="shared" si="27"/>
        <v>15000</v>
      </c>
      <c r="M73" s="304">
        <f t="shared" si="28"/>
        <v>2803883.5</v>
      </c>
      <c r="N73" s="304">
        <f t="shared" si="29"/>
        <v>224310.68</v>
      </c>
      <c r="O73" s="394">
        <v>1248000</v>
      </c>
      <c r="P73" s="304"/>
      <c r="Q73" s="304"/>
      <c r="R73" s="304"/>
      <c r="S73" s="309">
        <f t="shared" si="30"/>
        <v>4276194.18</v>
      </c>
      <c r="T73" s="807">
        <f t="shared" si="31"/>
        <v>22431.068</v>
      </c>
      <c r="U73" s="310">
        <f t="shared" si="32"/>
        <v>4298625.248</v>
      </c>
      <c r="V73" s="814">
        <v>44378</v>
      </c>
      <c r="W73" s="826">
        <v>44469</v>
      </c>
      <c r="X73" s="760"/>
      <c r="AB73" s="760"/>
      <c r="AC73" s="834"/>
      <c r="AD73" s="834"/>
      <c r="AE73" s="760"/>
      <c r="AF73" s="836"/>
      <c r="AG73" s="760"/>
      <c r="AH73" s="760"/>
      <c r="AI73" s="760"/>
      <c r="AJ73" s="760"/>
      <c r="AK73" s="760"/>
      <c r="AL73" s="760"/>
      <c r="AM73" s="760"/>
      <c r="AN73" s="760"/>
      <c r="AO73" s="760"/>
      <c r="AP73" s="760"/>
      <c r="AQ73" s="760"/>
      <c r="AR73" s="760"/>
      <c r="AS73" s="760"/>
      <c r="AT73" s="760"/>
      <c r="AU73" s="760"/>
      <c r="AV73" s="760"/>
      <c r="AW73" s="760"/>
      <c r="AX73" s="760"/>
      <c r="AY73" s="760"/>
      <c r="AZ73" s="760"/>
      <c r="BA73" s="760"/>
      <c r="BB73" s="760"/>
    </row>
    <row r="74" ht="23.25" customHeight="1" s="760" customFormat="1">
      <c r="A74" s="377" t="s">
        <v>59</v>
      </c>
      <c r="B74" s="789" t="s">
        <v>191</v>
      </c>
      <c r="C74" s="769" t="s">
        <v>192</v>
      </c>
      <c r="D74" s="787" t="s">
        <v>84</v>
      </c>
      <c r="E74" s="772" t="s">
        <v>62</v>
      </c>
      <c r="F74" s="772" t="s">
        <v>63</v>
      </c>
      <c r="G74" s="771">
        <v>2515000</v>
      </c>
      <c r="H74" s="771"/>
      <c r="I74" s="224">
        <f t="shared" si="24"/>
        <v>122983.5</v>
      </c>
      <c r="J74" s="224">
        <f t="shared" si="25"/>
        <v>100600</v>
      </c>
      <c r="K74" s="224">
        <f t="shared" si="26"/>
        <v>50300</v>
      </c>
      <c r="L74" s="224">
        <f t="shared" si="27"/>
        <v>15000</v>
      </c>
      <c r="M74" s="304">
        <f t="shared" si="28"/>
        <v>2803883.5</v>
      </c>
      <c r="N74" s="304">
        <f t="shared" si="29"/>
        <v>224310.68</v>
      </c>
      <c r="O74" s="394">
        <v>1404000</v>
      </c>
      <c r="P74" s="304"/>
      <c r="Q74" s="304"/>
      <c r="R74" s="304"/>
      <c r="S74" s="309">
        <f t="shared" si="30"/>
        <v>4432194.18</v>
      </c>
      <c r="T74" s="807">
        <f t="shared" si="31"/>
        <v>22431.068</v>
      </c>
      <c r="U74" s="310">
        <f t="shared" si="32"/>
        <v>4454625.248</v>
      </c>
      <c r="V74" s="814">
        <v>44384</v>
      </c>
      <c r="W74" s="826">
        <v>44469</v>
      </c>
      <c r="Y74" s="181"/>
      <c r="Z74" s="181"/>
      <c r="AA74" s="181"/>
      <c r="AC74" s="834"/>
      <c r="AD74" s="834"/>
      <c r="AF74" s="836"/>
    </row>
    <row r="75" ht="23.25" customHeight="1" s="760" customFormat="1">
      <c r="A75" s="377" t="s">
        <v>59</v>
      </c>
      <c r="B75" s="790" t="s">
        <v>193</v>
      </c>
      <c r="C75" s="773" t="s">
        <v>194</v>
      </c>
      <c r="D75" s="774" t="s">
        <v>84</v>
      </c>
      <c r="E75" s="775" t="s">
        <v>62</v>
      </c>
      <c r="F75" s="775" t="s">
        <v>63</v>
      </c>
      <c r="G75" s="771">
        <v>2515000</v>
      </c>
      <c r="H75" s="776"/>
      <c r="I75" s="707">
        <f ref="I75:I83" t="shared" si="33">+$G$5*4.89%</f>
        <v>122983.5</v>
      </c>
      <c r="J75" s="707">
        <f ref="J75:J83" t="shared" si="34">+$G$5*4%</f>
        <v>100600</v>
      </c>
      <c r="K75" s="707">
        <f ref="K75:K83" t="shared" si="35">+$G$5*2%</f>
        <v>50300</v>
      </c>
      <c r="L75" s="224">
        <f ref="L75:L83" t="shared" si="36">1667+13333</f>
        <v>15000</v>
      </c>
      <c r="M75" s="715">
        <f>SUM(G75:L75)</f>
        <v>2803883.5</v>
      </c>
      <c r="N75" s="715">
        <f>+M75*8%</f>
        <v>224310.68</v>
      </c>
      <c r="O75" s="394"/>
      <c r="P75" s="715"/>
      <c r="Q75" s="715"/>
      <c r="R75" s="715"/>
      <c r="S75" s="309">
        <f>SUM(M75:R75)</f>
        <v>3028194.18</v>
      </c>
      <c r="T75" s="810">
        <f>N75*0.1</f>
        <v>22431.068</v>
      </c>
      <c r="U75" s="310">
        <f>S75+T75</f>
        <v>3050625.248</v>
      </c>
      <c r="V75" s="812">
        <v>44389</v>
      </c>
      <c r="W75" s="826">
        <v>44469</v>
      </c>
      <c r="Y75" s="181"/>
      <c r="Z75" s="181"/>
      <c r="AA75" s="181"/>
      <c r="AC75" s="834"/>
      <c r="AD75" s="834"/>
      <c r="AF75" s="836"/>
    </row>
    <row r="76" ht="23.25" customHeight="1" s="765" customFormat="1">
      <c r="A76" s="319" t="s">
        <v>64</v>
      </c>
      <c r="B76" s="1200" t="s">
        <v>195</v>
      </c>
      <c r="C76" s="1201" t="s">
        <v>196</v>
      </c>
      <c r="D76" s="839" t="s">
        <v>84</v>
      </c>
      <c r="E76" s="840" t="s">
        <v>62</v>
      </c>
      <c r="F76" s="840" t="s">
        <v>63</v>
      </c>
      <c r="G76" s="841">
        <f>2515000/31*24</f>
        <v>1947096.77419355</v>
      </c>
      <c r="H76" s="842"/>
      <c r="I76" s="849">
        <f t="shared" si="33"/>
        <v>122983.5</v>
      </c>
      <c r="J76" s="849">
        <f t="shared" si="34"/>
        <v>100600</v>
      </c>
      <c r="K76" s="849">
        <f t="shared" si="35"/>
        <v>50300</v>
      </c>
      <c r="L76" s="323">
        <f t="shared" si="36"/>
        <v>15000</v>
      </c>
      <c r="M76" s="850">
        <f ref="M76:M97" t="shared" si="42">SUM(G76:L76)</f>
        <v>2235980.27419355</v>
      </c>
      <c r="N76" s="850">
        <f ref="N76:N97" t="shared" si="43">+M76*8%</f>
        <v>178878.421935484</v>
      </c>
      <c r="O76" s="339"/>
      <c r="P76" s="850"/>
      <c r="Q76" s="850"/>
      <c r="R76" s="850"/>
      <c r="S76" s="340">
        <f ref="S76:S97" t="shared" si="44">SUM(M76:R76)</f>
        <v>2414858.69612903</v>
      </c>
      <c r="T76" s="851">
        <f ref="T76:T97" t="shared" si="45">N76*0.1</f>
        <v>17887.8421935484</v>
      </c>
      <c r="U76" s="341">
        <f ref="U76:U97" t="shared" si="46">S76+T76</f>
        <v>2432746.53832258</v>
      </c>
      <c r="V76" s="852">
        <v>44400</v>
      </c>
      <c r="W76" s="1022">
        <v>44500</v>
      </c>
      <c r="Y76" s="859"/>
      <c r="Z76" s="859"/>
      <c r="AA76" s="859"/>
      <c r="AC76" s="860"/>
      <c r="AD76" s="860"/>
      <c r="AF76" s="861"/>
    </row>
    <row r="77" ht="23.25" customHeight="1" s="765" customFormat="1">
      <c r="A77" s="319" t="s">
        <v>64</v>
      </c>
      <c r="B77" s="1202">
        <v>2783</v>
      </c>
      <c r="C77" s="1201" t="s">
        <v>197</v>
      </c>
      <c r="D77" s="839" t="s">
        <v>84</v>
      </c>
      <c r="E77" s="840" t="s">
        <v>62</v>
      </c>
      <c r="F77" s="840" t="s">
        <v>63</v>
      </c>
      <c r="G77" s="841">
        <f>2515000/31*14</f>
        <v>1135806.4516129</v>
      </c>
      <c r="H77" s="842"/>
      <c r="I77" s="849">
        <f t="shared" si="33"/>
        <v>122983.5</v>
      </c>
      <c r="J77" s="849">
        <f t="shared" si="34"/>
        <v>100600</v>
      </c>
      <c r="K77" s="849">
        <f t="shared" si="35"/>
        <v>50300</v>
      </c>
      <c r="L77" s="323">
        <f t="shared" si="36"/>
        <v>15000</v>
      </c>
      <c r="M77" s="850">
        <f t="shared" si="42"/>
        <v>1424689.9516129</v>
      </c>
      <c r="N77" s="850">
        <f t="shared" si="43"/>
        <v>113975.196129032</v>
      </c>
      <c r="O77" s="339"/>
      <c r="P77" s="850"/>
      <c r="Q77" s="850"/>
      <c r="R77" s="850"/>
      <c r="S77" s="340">
        <f t="shared" si="44"/>
        <v>1538665.14774194</v>
      </c>
      <c r="T77" s="851">
        <f t="shared" si="45"/>
        <v>11397.5196129032</v>
      </c>
      <c r="U77" s="341">
        <f t="shared" si="46"/>
        <v>1550062.66735484</v>
      </c>
      <c r="V77" s="852">
        <v>44410</v>
      </c>
      <c r="W77" s="1022">
        <v>44439</v>
      </c>
      <c r="Y77" s="859"/>
      <c r="Z77" s="859"/>
      <c r="AA77" s="859"/>
      <c r="AC77" s="860"/>
      <c r="AD77" s="860"/>
      <c r="AF77" s="861"/>
    </row>
    <row r="78" ht="23.25" customHeight="1" s="765" customFormat="1">
      <c r="A78" s="319" t="s">
        <v>64</v>
      </c>
      <c r="B78" s="1202">
        <v>2784</v>
      </c>
      <c r="C78" s="1201" t="s">
        <v>198</v>
      </c>
      <c r="D78" s="839" t="s">
        <v>84</v>
      </c>
      <c r="E78" s="840" t="s">
        <v>62</v>
      </c>
      <c r="F78" s="840" t="s">
        <v>63</v>
      </c>
      <c r="G78" s="841">
        <f>2515000/31*14</f>
        <v>1135806.4516129</v>
      </c>
      <c r="H78" s="842"/>
      <c r="I78" s="849">
        <f t="shared" si="33"/>
        <v>122983.5</v>
      </c>
      <c r="J78" s="849">
        <f t="shared" si="34"/>
        <v>100600</v>
      </c>
      <c r="K78" s="849">
        <f t="shared" si="35"/>
        <v>50300</v>
      </c>
      <c r="L78" s="323">
        <f t="shared" si="36"/>
        <v>15000</v>
      </c>
      <c r="M78" s="850">
        <f t="shared" si="42"/>
        <v>1424689.9516129</v>
      </c>
      <c r="N78" s="850">
        <f t="shared" si="43"/>
        <v>113975.196129032</v>
      </c>
      <c r="O78" s="339"/>
      <c r="P78" s="850"/>
      <c r="Q78" s="850"/>
      <c r="R78" s="850"/>
      <c r="S78" s="340">
        <f t="shared" si="44"/>
        <v>1538665.14774194</v>
      </c>
      <c r="T78" s="851">
        <f t="shared" si="45"/>
        <v>11397.5196129032</v>
      </c>
      <c r="U78" s="341">
        <f t="shared" si="46"/>
        <v>1550062.66735484</v>
      </c>
      <c r="V78" s="852">
        <v>44410</v>
      </c>
      <c r="W78" s="1022">
        <v>44439</v>
      </c>
      <c r="Y78" s="859"/>
      <c r="Z78" s="859"/>
      <c r="AA78" s="859"/>
      <c r="AC78" s="860"/>
      <c r="AD78" s="860"/>
      <c r="AF78" s="861"/>
    </row>
    <row r="79" ht="23.25" customHeight="1" s="765" customFormat="1">
      <c r="A79" s="319" t="s">
        <v>64</v>
      </c>
      <c r="B79" s="1203">
        <f ref="B79:B81" t="shared" si="47">B78+1</f>
        <v>2785</v>
      </c>
      <c r="C79" s="1204" t="s">
        <v>199</v>
      </c>
      <c r="D79" s="839" t="s">
        <v>84</v>
      </c>
      <c r="E79" s="840" t="s">
        <v>62</v>
      </c>
      <c r="F79" s="840" t="s">
        <v>63</v>
      </c>
      <c r="G79" s="841">
        <f>2515000/31*11</f>
        <v>892419.35483871</v>
      </c>
      <c r="H79" s="842"/>
      <c r="I79" s="849">
        <f t="shared" si="33"/>
        <v>122983.5</v>
      </c>
      <c r="J79" s="849">
        <f t="shared" si="34"/>
        <v>100600</v>
      </c>
      <c r="K79" s="849">
        <f t="shared" si="35"/>
        <v>50300</v>
      </c>
      <c r="L79" s="323">
        <f t="shared" si="36"/>
        <v>15000</v>
      </c>
      <c r="M79" s="850">
        <f t="shared" si="42"/>
        <v>1181302.85483871</v>
      </c>
      <c r="N79" s="850">
        <f t="shared" si="43"/>
        <v>94504.2283870968</v>
      </c>
      <c r="O79" s="339"/>
      <c r="P79" s="850"/>
      <c r="Q79" s="850"/>
      <c r="R79" s="850"/>
      <c r="S79" s="340">
        <f t="shared" si="44"/>
        <v>1275807.08322581</v>
      </c>
      <c r="T79" s="851">
        <f t="shared" si="45"/>
        <v>9450.42283870968</v>
      </c>
      <c r="U79" s="341">
        <f t="shared" si="46"/>
        <v>1285257.50606452</v>
      </c>
      <c r="V79" s="852">
        <v>44413</v>
      </c>
      <c r="W79" s="1022">
        <v>44439</v>
      </c>
      <c r="Y79" s="859"/>
      <c r="Z79" s="859"/>
      <c r="AA79" s="859"/>
      <c r="AC79" s="860"/>
      <c r="AD79" s="860"/>
      <c r="AF79" s="861"/>
    </row>
    <row r="80" ht="23.25" customHeight="1" s="765" customFormat="1">
      <c r="A80" s="319" t="s">
        <v>64</v>
      </c>
      <c r="B80" s="1203">
        <f t="shared" si="47"/>
        <v>2786</v>
      </c>
      <c r="C80" s="1205" t="s">
        <v>200</v>
      </c>
      <c r="D80" s="839" t="s">
        <v>84</v>
      </c>
      <c r="E80" s="840" t="s">
        <v>62</v>
      </c>
      <c r="F80" s="840" t="s">
        <v>63</v>
      </c>
      <c r="G80" s="841">
        <f ref="G80:G81" t="shared" si="48">2515000/31*11</f>
        <v>892419.35483871</v>
      </c>
      <c r="H80" s="842"/>
      <c r="I80" s="849">
        <f t="shared" si="33"/>
        <v>122983.5</v>
      </c>
      <c r="J80" s="849">
        <f t="shared" si="34"/>
        <v>100600</v>
      </c>
      <c r="K80" s="849">
        <f t="shared" si="35"/>
        <v>50300</v>
      </c>
      <c r="L80" s="323">
        <f t="shared" si="36"/>
        <v>15000</v>
      </c>
      <c r="M80" s="850">
        <f t="shared" si="42"/>
        <v>1181302.85483871</v>
      </c>
      <c r="N80" s="850">
        <f t="shared" si="43"/>
        <v>94504.2283870968</v>
      </c>
      <c r="O80" s="339"/>
      <c r="P80" s="850"/>
      <c r="Q80" s="850"/>
      <c r="R80" s="850"/>
      <c r="S80" s="340">
        <f t="shared" si="44"/>
        <v>1275807.08322581</v>
      </c>
      <c r="T80" s="851">
        <f t="shared" si="45"/>
        <v>9450.42283870968</v>
      </c>
      <c r="U80" s="341">
        <f t="shared" si="46"/>
        <v>1285257.50606452</v>
      </c>
      <c r="V80" s="852">
        <v>44413</v>
      </c>
      <c r="W80" s="1022">
        <v>44439</v>
      </c>
      <c r="Y80" s="859"/>
      <c r="Z80" s="859"/>
      <c r="AA80" s="859"/>
      <c r="AC80" s="860"/>
      <c r="AD80" s="860"/>
      <c r="AF80" s="861"/>
    </row>
    <row r="81" ht="23.25" customHeight="1" s="765" customFormat="1">
      <c r="A81" s="319" t="s">
        <v>64</v>
      </c>
      <c r="B81" s="1203">
        <f t="shared" si="47"/>
        <v>2787</v>
      </c>
      <c r="C81" s="1201" t="s">
        <v>201</v>
      </c>
      <c r="D81" s="839" t="s">
        <v>84</v>
      </c>
      <c r="E81" s="840" t="s">
        <v>62</v>
      </c>
      <c r="F81" s="840" t="s">
        <v>63</v>
      </c>
      <c r="G81" s="841">
        <f t="shared" si="48"/>
        <v>892419.35483871</v>
      </c>
      <c r="H81" s="842"/>
      <c r="I81" s="849">
        <f t="shared" si="33"/>
        <v>122983.5</v>
      </c>
      <c r="J81" s="849">
        <f t="shared" si="34"/>
        <v>100600</v>
      </c>
      <c r="K81" s="849">
        <f t="shared" si="35"/>
        <v>50300</v>
      </c>
      <c r="L81" s="323">
        <f t="shared" si="36"/>
        <v>15000</v>
      </c>
      <c r="M81" s="850">
        <f t="shared" si="42"/>
        <v>1181302.85483871</v>
      </c>
      <c r="N81" s="850">
        <f t="shared" si="43"/>
        <v>94504.2283870968</v>
      </c>
      <c r="O81" s="339"/>
      <c r="P81" s="850"/>
      <c r="Q81" s="850"/>
      <c r="R81" s="850"/>
      <c r="S81" s="340">
        <f t="shared" si="44"/>
        <v>1275807.08322581</v>
      </c>
      <c r="T81" s="851">
        <f t="shared" si="45"/>
        <v>9450.42283870968</v>
      </c>
      <c r="U81" s="341">
        <f t="shared" si="46"/>
        <v>1285257.50606452</v>
      </c>
      <c r="V81" s="852">
        <v>44413</v>
      </c>
      <c r="W81" s="1022">
        <v>44439</v>
      </c>
      <c r="Y81" s="859"/>
      <c r="Z81" s="859"/>
      <c r="AA81" s="859"/>
      <c r="AC81" s="860"/>
      <c r="AD81" s="860"/>
      <c r="AF81" s="861"/>
    </row>
    <row r="82" ht="23.25" customHeight="1" s="765" customFormat="1">
      <c r="A82" s="319" t="s">
        <v>64</v>
      </c>
      <c r="B82" s="1203">
        <v>2872</v>
      </c>
      <c r="C82" s="1201" t="s">
        <v>202</v>
      </c>
      <c r="D82" s="839" t="s">
        <v>84</v>
      </c>
      <c r="E82" s="840" t="s">
        <v>62</v>
      </c>
      <c r="F82" s="840" t="s">
        <v>63</v>
      </c>
      <c r="G82" s="841">
        <f>2515000/31*3</f>
        <v>243387.096774194</v>
      </c>
      <c r="H82" s="842"/>
      <c r="I82" s="849">
        <f t="shared" si="33"/>
        <v>122983.5</v>
      </c>
      <c r="J82" s="849">
        <f t="shared" si="34"/>
        <v>100600</v>
      </c>
      <c r="K82" s="849">
        <f t="shared" si="35"/>
        <v>50300</v>
      </c>
      <c r="L82" s="323">
        <f t="shared" si="36"/>
        <v>15000</v>
      </c>
      <c r="M82" s="850">
        <f ref="M82:M96" t="shared" si="49">SUM(G82:L82)</f>
        <v>532270.596774194</v>
      </c>
      <c r="N82" s="850">
        <f ref="N82:N96" t="shared" si="50">+M82*8%</f>
        <v>42581.6477419355</v>
      </c>
      <c r="O82" s="339"/>
      <c r="P82" s="850"/>
      <c r="Q82" s="850"/>
      <c r="R82" s="850"/>
      <c r="S82" s="340">
        <f ref="S82:S96" t="shared" si="51">SUM(M82:R82)</f>
        <v>574852.244516129</v>
      </c>
      <c r="T82" s="851">
        <f ref="T82:T96" t="shared" si="52">N82*0.1</f>
        <v>4258.16477419355</v>
      </c>
      <c r="U82" s="341">
        <f ref="U82:U96" t="shared" si="53">S82+T82</f>
        <v>579110.409290323</v>
      </c>
      <c r="V82" s="852">
        <v>44421</v>
      </c>
      <c r="W82" s="1022">
        <v>44439</v>
      </c>
      <c r="Y82" s="859"/>
      <c r="Z82" s="859"/>
      <c r="AA82" s="859"/>
      <c r="AC82" s="860"/>
      <c r="AD82" s="860"/>
      <c r="AF82" s="861"/>
    </row>
    <row r="83" ht="23.25" customHeight="1" s="765" customFormat="1">
      <c r="A83" s="319" t="s">
        <v>59</v>
      </c>
      <c r="B83" s="843">
        <v>2873</v>
      </c>
      <c r="C83" s="686" t="s">
        <v>203</v>
      </c>
      <c r="D83" s="839" t="s">
        <v>84</v>
      </c>
      <c r="E83" s="840" t="s">
        <v>62</v>
      </c>
      <c r="F83" s="840" t="s">
        <v>63</v>
      </c>
      <c r="G83" s="841">
        <f>2515000/31*3</f>
        <v>243387.096774194</v>
      </c>
      <c r="H83" s="842"/>
      <c r="I83" s="849">
        <f t="shared" si="33"/>
        <v>122983.5</v>
      </c>
      <c r="J83" s="849">
        <f t="shared" si="34"/>
        <v>100600</v>
      </c>
      <c r="K83" s="849">
        <f t="shared" si="35"/>
        <v>50300</v>
      </c>
      <c r="L83" s="323">
        <f t="shared" si="36"/>
        <v>15000</v>
      </c>
      <c r="M83" s="850">
        <f t="shared" si="49"/>
        <v>532270.596774194</v>
      </c>
      <c r="N83" s="850">
        <f t="shared" si="50"/>
        <v>42581.6477419355</v>
      </c>
      <c r="O83" s="339"/>
      <c r="P83" s="850"/>
      <c r="Q83" s="850"/>
      <c r="R83" s="850"/>
      <c r="S83" s="340">
        <f t="shared" si="51"/>
        <v>574852.244516129</v>
      </c>
      <c r="T83" s="851">
        <f t="shared" si="52"/>
        <v>4258.16477419355</v>
      </c>
      <c r="U83" s="341">
        <f t="shared" si="53"/>
        <v>579110.409290323</v>
      </c>
      <c r="V83" s="852">
        <v>44421</v>
      </c>
      <c r="W83" s="1022">
        <v>44439</v>
      </c>
      <c r="Y83" s="859"/>
      <c r="Z83" s="859"/>
      <c r="AA83" s="859"/>
      <c r="AC83" s="860"/>
      <c r="AD83" s="860"/>
      <c r="AF83" s="861"/>
    </row>
    <row r="84" ht="23.25" customHeight="1" s="765" customFormat="1">
      <c r="A84" s="319" t="s">
        <v>87</v>
      </c>
      <c r="B84" s="1203"/>
      <c r="C84" s="686" t="s">
        <v>204</v>
      </c>
      <c r="D84" s="839" t="s">
        <v>84</v>
      </c>
      <c r="E84" s="840" t="s">
        <v>62</v>
      </c>
      <c r="F84" s="840" t="s">
        <v>63</v>
      </c>
      <c r="G84" s="841">
        <f>2515000/31*2</f>
        <v>162258.064516129</v>
      </c>
      <c r="H84" s="842"/>
      <c r="I84" s="849">
        <v>122983.5</v>
      </c>
      <c r="J84" s="849">
        <v>100600</v>
      </c>
      <c r="K84" s="849">
        <v>50300</v>
      </c>
      <c r="L84" s="323">
        <v>15000</v>
      </c>
      <c r="M84" s="850">
        <v>532270.596774194</v>
      </c>
      <c r="N84" s="850">
        <v>42581.6477419355</v>
      </c>
      <c r="O84" s="339"/>
      <c r="P84" s="850"/>
      <c r="Q84" s="850"/>
      <c r="R84" s="850"/>
      <c r="S84" s="340">
        <v>574852.24451613</v>
      </c>
      <c r="T84" s="851">
        <v>4258.16477419355</v>
      </c>
      <c r="U84" s="341">
        <v>579110.409290323</v>
      </c>
      <c r="V84" s="852">
        <v>44422</v>
      </c>
      <c r="W84" s="1022">
        <v>44439</v>
      </c>
      <c r="X84" s="765" t="s">
        <v>205</v>
      </c>
      <c r="Y84" s="859"/>
      <c r="Z84" s="859"/>
      <c r="AA84" s="859"/>
      <c r="AC84" s="860"/>
      <c r="AD84" s="860"/>
      <c r="AF84" s="861"/>
    </row>
    <row r="85" ht="23.25" customHeight="1" s="765" customFormat="1">
      <c r="A85" s="319" t="s">
        <v>87</v>
      </c>
      <c r="B85" s="1203"/>
      <c r="C85" s="686" t="s">
        <v>206</v>
      </c>
      <c r="D85" s="839" t="s">
        <v>84</v>
      </c>
      <c r="E85" s="840" t="s">
        <v>62</v>
      </c>
      <c r="F85" s="840" t="s">
        <v>63</v>
      </c>
      <c r="G85" s="841">
        <f ref="G85:G86" t="shared" si="54">2515000/31*2</f>
        <v>162258.064516129</v>
      </c>
      <c r="H85" s="842"/>
      <c r="I85" s="849">
        <v>122983.5</v>
      </c>
      <c r="J85" s="849">
        <v>100600</v>
      </c>
      <c r="K85" s="849">
        <v>50300</v>
      </c>
      <c r="L85" s="323">
        <v>15000</v>
      </c>
      <c r="M85" s="850">
        <v>532270.596774194</v>
      </c>
      <c r="N85" s="850">
        <v>42581.6477419355</v>
      </c>
      <c r="O85" s="339"/>
      <c r="P85" s="850"/>
      <c r="Q85" s="850"/>
      <c r="R85" s="850"/>
      <c r="S85" s="340">
        <v>574852.24451613</v>
      </c>
      <c r="T85" s="851">
        <v>4258.16477419355</v>
      </c>
      <c r="U85" s="341">
        <v>579110.409290323</v>
      </c>
      <c r="V85" s="852">
        <v>44422</v>
      </c>
      <c r="W85" s="1022">
        <v>44439</v>
      </c>
      <c r="X85" s="765" t="s">
        <v>205</v>
      </c>
      <c r="Y85" s="859"/>
      <c r="Z85" s="859"/>
      <c r="AA85" s="859"/>
      <c r="AC85" s="860"/>
      <c r="AD85" s="860"/>
      <c r="AF85" s="861"/>
    </row>
    <row r="86" ht="23.25" customHeight="1" s="765" customFormat="1">
      <c r="A86" s="319" t="s">
        <v>87</v>
      </c>
      <c r="B86" s="1203"/>
      <c r="C86" s="686" t="s">
        <v>207</v>
      </c>
      <c r="D86" s="839" t="s">
        <v>84</v>
      </c>
      <c r="E86" s="840" t="s">
        <v>62</v>
      </c>
      <c r="F86" s="840" t="s">
        <v>63</v>
      </c>
      <c r="G86" s="841">
        <f t="shared" si="54"/>
        <v>162258.064516129</v>
      </c>
      <c r="H86" s="842"/>
      <c r="I86" s="849">
        <v>122983.5</v>
      </c>
      <c r="J86" s="849">
        <v>100600</v>
      </c>
      <c r="K86" s="849">
        <v>50300</v>
      </c>
      <c r="L86" s="323">
        <v>15000</v>
      </c>
      <c r="M86" s="850">
        <v>532270.596774194</v>
      </c>
      <c r="N86" s="850">
        <v>42581.6477419355</v>
      </c>
      <c r="O86" s="339"/>
      <c r="P86" s="850"/>
      <c r="Q86" s="850"/>
      <c r="R86" s="850"/>
      <c r="S86" s="340">
        <v>574852.24451613</v>
      </c>
      <c r="T86" s="851">
        <v>4258.16477419355</v>
      </c>
      <c r="U86" s="341">
        <v>579110.409290323</v>
      </c>
      <c r="V86" s="852">
        <v>44422</v>
      </c>
      <c r="W86" s="1022">
        <v>44439</v>
      </c>
      <c r="X86" s="765" t="s">
        <v>205</v>
      </c>
      <c r="Y86" s="859"/>
      <c r="Z86" s="859"/>
      <c r="AA86" s="859"/>
      <c r="AC86" s="860"/>
      <c r="AD86" s="860"/>
      <c r="AF86" s="861"/>
    </row>
    <row r="87" ht="23.25" customHeight="1" s="761" customFormat="1">
      <c r="A87" s="377" t="s">
        <v>64</v>
      </c>
      <c r="B87" s="1206" t="s">
        <v>208</v>
      </c>
      <c r="C87" s="1207" t="s">
        <v>209</v>
      </c>
      <c r="D87" s="846" t="s">
        <v>84</v>
      </c>
      <c r="E87" s="847" t="s">
        <v>62</v>
      </c>
      <c r="F87" s="847" t="s">
        <v>63</v>
      </c>
      <c r="G87" s="779">
        <f>2515000/31*29</f>
        <v>2352741.93548387</v>
      </c>
      <c r="H87" s="994">
        <f>-2515000/25*1</f>
        <v>-100600</v>
      </c>
      <c r="I87" s="796">
        <f t="shared" si="14"/>
        <v>122983.5</v>
      </c>
      <c r="J87" s="796">
        <f t="shared" si="15"/>
        <v>100600</v>
      </c>
      <c r="K87" s="796">
        <f t="shared" si="16"/>
        <v>50300</v>
      </c>
      <c r="L87" s="389">
        <f t="shared" si="17"/>
        <v>15000</v>
      </c>
      <c r="M87" s="815">
        <f>SUM(G87:L87)</f>
        <v>2541025.43548387</v>
      </c>
      <c r="N87" s="815">
        <f>+M87*8%</f>
        <v>203282.0348387096</v>
      </c>
      <c r="O87" s="400">
        <v>1560000</v>
      </c>
      <c r="P87" s="815"/>
      <c r="Q87" s="815"/>
      <c r="R87" s="815"/>
      <c r="S87" s="418">
        <f>SUM(M87:R87)</f>
        <v>4304307.470322579</v>
      </c>
      <c r="T87" s="853">
        <f>N87*0.1</f>
        <v>20328.203483870962</v>
      </c>
      <c r="U87" s="419">
        <f>S87+T87</f>
        <v>4324635.67380645</v>
      </c>
      <c r="V87" s="854">
        <v>44378</v>
      </c>
      <c r="W87" s="818">
        <v>44421</v>
      </c>
      <c r="Y87" s="862" t="s">
        <v>210</v>
      </c>
      <c r="Z87" s="829"/>
      <c r="AA87" s="829"/>
      <c r="AC87" s="863"/>
      <c r="AD87" s="863"/>
      <c r="AF87" s="864"/>
    </row>
    <row r="88" ht="23.25" customHeight="1" s="761" customFormat="1">
      <c r="A88" s="377" t="s">
        <v>59</v>
      </c>
      <c r="B88" s="844" t="s">
        <v>211</v>
      </c>
      <c r="C88" s="845" t="s">
        <v>212</v>
      </c>
      <c r="D88" s="846" t="s">
        <v>84</v>
      </c>
      <c r="E88" s="847" t="s">
        <v>62</v>
      </c>
      <c r="F88" s="847" t="s">
        <v>63</v>
      </c>
      <c r="G88" s="779">
        <v>2515000</v>
      </c>
      <c r="H88" s="1020"/>
      <c r="I88" s="796">
        <f t="shared" si="14"/>
        <v>122983.5</v>
      </c>
      <c r="J88" s="796">
        <f t="shared" si="15"/>
        <v>100600</v>
      </c>
      <c r="K88" s="796">
        <f t="shared" si="16"/>
        <v>50300</v>
      </c>
      <c r="L88" s="389">
        <f t="shared" si="17"/>
        <v>15000</v>
      </c>
      <c r="M88" s="815">
        <f>SUM(G88:L88)</f>
        <v>2803883.5</v>
      </c>
      <c r="N88" s="815">
        <f>+M88*8%</f>
        <v>224310.68</v>
      </c>
      <c r="O88" s="400"/>
      <c r="P88" s="815"/>
      <c r="Q88" s="815"/>
      <c r="R88" s="815"/>
      <c r="S88" s="418">
        <f>SUM(M88:R88)</f>
        <v>3028194.18</v>
      </c>
      <c r="T88" s="853">
        <f>N88*0.1</f>
        <v>22431.068</v>
      </c>
      <c r="U88" s="419">
        <f>S88+T88</f>
        <v>3050625.248</v>
      </c>
      <c r="V88" s="854">
        <v>44378</v>
      </c>
      <c r="W88" s="818">
        <v>44422</v>
      </c>
      <c r="Y88" s="862" t="s">
        <v>213</v>
      </c>
      <c r="Z88" s="829"/>
      <c r="AA88" s="829"/>
      <c r="AC88" s="863"/>
      <c r="AD88" s="863"/>
      <c r="AF88" s="864"/>
    </row>
    <row r="89" ht="23.25" customHeight="1" s="761" customFormat="1">
      <c r="A89" s="377" t="s">
        <v>59</v>
      </c>
      <c r="B89" s="844" t="s">
        <v>214</v>
      </c>
      <c r="C89" s="845" t="s">
        <v>215</v>
      </c>
      <c r="D89" s="846" t="s">
        <v>84</v>
      </c>
      <c r="E89" s="847" t="s">
        <v>62</v>
      </c>
      <c r="F89" s="847" t="s">
        <v>63</v>
      </c>
      <c r="G89" s="779">
        <v>2515000</v>
      </c>
      <c r="H89" s="994">
        <f>-2515000/25*2</f>
        <v>-201200</v>
      </c>
      <c r="I89" s="796">
        <f t="shared" si="24"/>
        <v>122983.5</v>
      </c>
      <c r="J89" s="796">
        <f t="shared" si="25"/>
        <v>100600</v>
      </c>
      <c r="K89" s="796">
        <f t="shared" si="26"/>
        <v>50300</v>
      </c>
      <c r="L89" s="389">
        <f t="shared" si="27"/>
        <v>15000</v>
      </c>
      <c r="M89" s="815">
        <f>SUM(G89:L89)</f>
        <v>2602683.5</v>
      </c>
      <c r="N89" s="815">
        <f>+M89*8%</f>
        <v>208214.68</v>
      </c>
      <c r="O89" s="400">
        <v>0</v>
      </c>
      <c r="P89" s="815"/>
      <c r="Q89" s="815"/>
      <c r="R89" s="815"/>
      <c r="S89" s="418">
        <f>SUM(M89:R89)</f>
        <v>2810898.18</v>
      </c>
      <c r="T89" s="853">
        <f>N89*0.1</f>
        <v>20821.468</v>
      </c>
      <c r="U89" s="419">
        <f>S89+T89</f>
        <v>2831719.648</v>
      </c>
      <c r="V89" s="854">
        <v>44409</v>
      </c>
      <c r="W89" s="818">
        <v>44422</v>
      </c>
      <c r="Y89" s="862" t="s">
        <v>213</v>
      </c>
      <c r="Z89" s="829"/>
      <c r="AA89" s="829"/>
      <c r="AC89" s="863"/>
      <c r="AD89" s="863"/>
      <c r="AF89" s="864"/>
    </row>
    <row r="90" ht="23.25" customHeight="1" s="761" customFormat="1">
      <c r="A90" s="377" t="s">
        <v>59</v>
      </c>
      <c r="B90" s="844" t="s">
        <v>216</v>
      </c>
      <c r="C90" s="845" t="s">
        <v>217</v>
      </c>
      <c r="D90" s="846" t="s">
        <v>84</v>
      </c>
      <c r="E90" s="847" t="s">
        <v>62</v>
      </c>
      <c r="F90" s="847" t="s">
        <v>63</v>
      </c>
      <c r="G90" s="779">
        <v>2515000</v>
      </c>
      <c r="H90" s="1020"/>
      <c r="I90" s="796">
        <f t="shared" si="24"/>
        <v>122983.5</v>
      </c>
      <c r="J90" s="796">
        <f t="shared" si="25"/>
        <v>100600</v>
      </c>
      <c r="K90" s="796">
        <f t="shared" si="26"/>
        <v>50300</v>
      </c>
      <c r="L90" s="389">
        <f t="shared" si="27"/>
        <v>15000</v>
      </c>
      <c r="M90" s="815">
        <f>SUM(G90:L90)</f>
        <v>2803883.5</v>
      </c>
      <c r="N90" s="815">
        <f>+M90*8%</f>
        <v>224310.68</v>
      </c>
      <c r="O90" s="400">
        <v>1300000</v>
      </c>
      <c r="P90" s="815"/>
      <c r="Q90" s="815"/>
      <c r="R90" s="815"/>
      <c r="S90" s="418">
        <f>SUM(M90:R90)</f>
        <v>4328194.18</v>
      </c>
      <c r="T90" s="853">
        <f>N90*0.1</f>
        <v>22431.068</v>
      </c>
      <c r="U90" s="419">
        <f>S90+T90</f>
        <v>4350625.248</v>
      </c>
      <c r="V90" s="854">
        <v>44348</v>
      </c>
      <c r="W90" s="818">
        <v>44422</v>
      </c>
      <c r="Y90" s="862" t="s">
        <v>213</v>
      </c>
      <c r="Z90" s="829"/>
      <c r="AA90" s="829"/>
      <c r="AC90" s="863"/>
      <c r="AD90" s="863"/>
      <c r="AF90" s="864"/>
    </row>
    <row r="91" ht="23.25" customHeight="1" s="761" customFormat="1">
      <c r="A91" s="377" t="s">
        <v>64</v>
      </c>
      <c r="B91" s="1206" t="s">
        <v>218</v>
      </c>
      <c r="C91" s="1207" t="s">
        <v>219</v>
      </c>
      <c r="D91" s="846" t="s">
        <v>84</v>
      </c>
      <c r="E91" s="847" t="s">
        <v>62</v>
      </c>
      <c r="F91" s="847" t="s">
        <v>63</v>
      </c>
      <c r="G91" s="779">
        <v>2515000</v>
      </c>
      <c r="H91" s="1020"/>
      <c r="I91" s="796">
        <f t="shared" si="24"/>
        <v>122983.5</v>
      </c>
      <c r="J91" s="796">
        <f t="shared" si="25"/>
        <v>100600</v>
      </c>
      <c r="K91" s="796">
        <f t="shared" si="26"/>
        <v>50300</v>
      </c>
      <c r="L91" s="389">
        <f t="shared" si="27"/>
        <v>15000</v>
      </c>
      <c r="M91" s="815">
        <f>SUM(G91:L91)</f>
        <v>2803883.5</v>
      </c>
      <c r="N91" s="815">
        <f>+M91*8%</f>
        <v>224310.68</v>
      </c>
      <c r="O91" s="400">
        <v>1664000</v>
      </c>
      <c r="P91" s="815"/>
      <c r="Q91" s="815"/>
      <c r="R91" s="815"/>
      <c r="S91" s="418">
        <f>SUM(M91:R91)</f>
        <v>4692194.18</v>
      </c>
      <c r="T91" s="853">
        <f>N91*0.1</f>
        <v>22431.068</v>
      </c>
      <c r="U91" s="419">
        <f>S91+T91</f>
        <v>4714625.248</v>
      </c>
      <c r="V91" s="854">
        <v>44348</v>
      </c>
      <c r="W91" s="818">
        <v>44421</v>
      </c>
      <c r="Y91" s="862" t="s">
        <v>210</v>
      </c>
      <c r="Z91" s="829"/>
      <c r="AA91" s="829"/>
      <c r="AC91" s="863"/>
      <c r="AD91" s="863"/>
      <c r="AF91" s="864"/>
    </row>
    <row r="92" ht="23.25" customHeight="1" s="761" customFormat="1">
      <c r="A92" s="377" t="s">
        <v>64</v>
      </c>
      <c r="B92" s="1206" t="s">
        <v>220</v>
      </c>
      <c r="C92" s="1207" t="s">
        <v>221</v>
      </c>
      <c r="D92" s="846" t="s">
        <v>84</v>
      </c>
      <c r="E92" s="847" t="s">
        <v>62</v>
      </c>
      <c r="F92" s="847" t="s">
        <v>63</v>
      </c>
      <c r="G92" s="779">
        <f>2515000/31*3</f>
        <v>243387.096774194</v>
      </c>
      <c r="H92" s="994">
        <f>-2515000/25*2</f>
        <v>-201200</v>
      </c>
      <c r="I92" s="796"/>
      <c r="J92" s="796"/>
      <c r="K92" s="796"/>
      <c r="L92" s="389"/>
      <c r="M92" s="815">
        <f t="shared" si="49"/>
        <v>42187.09677419401</v>
      </c>
      <c r="N92" s="815">
        <f t="shared" si="50"/>
        <v>3374.967741935521</v>
      </c>
      <c r="O92" s="400"/>
      <c r="P92" s="815"/>
      <c r="Q92" s="815"/>
      <c r="R92" s="815"/>
      <c r="S92" s="418">
        <f t="shared" si="51"/>
        <v>45562.06451612953</v>
      </c>
      <c r="T92" s="853">
        <f t="shared" si="52"/>
        <v>337.49677419355214</v>
      </c>
      <c r="U92" s="419">
        <f t="shared" si="53"/>
        <v>45899.56129032309</v>
      </c>
      <c r="V92" s="854">
        <v>44378</v>
      </c>
      <c r="W92" s="818">
        <v>44395</v>
      </c>
      <c r="Y92" s="829"/>
      <c r="Z92" s="829"/>
      <c r="AA92" s="829"/>
      <c r="AC92" s="863"/>
      <c r="AD92" s="863"/>
      <c r="AF92" s="864"/>
    </row>
    <row r="93" ht="23.25" customHeight="1" s="761" customFormat="1">
      <c r="A93" s="377" t="s">
        <v>64</v>
      </c>
      <c r="B93" s="1208" t="s">
        <v>222</v>
      </c>
      <c r="C93" s="1184" t="s">
        <v>223</v>
      </c>
      <c r="D93" s="848" t="s">
        <v>84</v>
      </c>
      <c r="E93" s="777" t="s">
        <v>62</v>
      </c>
      <c r="F93" s="777" t="s">
        <v>63</v>
      </c>
      <c r="G93" s="779">
        <f>2515000/31*15</f>
        <v>1216935.48387097</v>
      </c>
      <c r="H93" s="994"/>
      <c r="I93" s="389"/>
      <c r="J93" s="389"/>
      <c r="K93" s="389"/>
      <c r="L93" s="389"/>
      <c r="M93" s="400">
        <f t="shared" si="49"/>
        <v>1216935.48387097</v>
      </c>
      <c r="N93" s="400">
        <f t="shared" si="50"/>
        <v>97354.8387096774</v>
      </c>
      <c r="O93" s="400">
        <v>1560000</v>
      </c>
      <c r="P93" s="400"/>
      <c r="Q93" s="400"/>
      <c r="R93" s="400"/>
      <c r="S93" s="418">
        <f t="shared" si="51"/>
        <v>2874290.32258064</v>
      </c>
      <c r="T93" s="816">
        <f t="shared" si="52"/>
        <v>9735.48387096774</v>
      </c>
      <c r="U93" s="419">
        <f t="shared" si="53"/>
        <v>2884025.80645161</v>
      </c>
      <c r="V93" s="855">
        <v>44317</v>
      </c>
      <c r="W93" s="1023">
        <v>44408</v>
      </c>
      <c r="Y93" s="829"/>
      <c r="Z93" s="829"/>
      <c r="AA93" s="865"/>
      <c r="AC93" s="863"/>
      <c r="AD93" s="863"/>
      <c r="AF93" s="864"/>
    </row>
    <row r="94" ht="23.25" customHeight="1" s="761" customFormat="1">
      <c r="A94" s="377" t="s">
        <v>64</v>
      </c>
      <c r="B94" s="1208" t="s">
        <v>224</v>
      </c>
      <c r="C94" s="1184" t="s">
        <v>225</v>
      </c>
      <c r="D94" s="848" t="s">
        <v>84</v>
      </c>
      <c r="E94" s="777" t="s">
        <v>62</v>
      </c>
      <c r="F94" s="777" t="s">
        <v>63</v>
      </c>
      <c r="G94" s="779">
        <f>2515000/31*13</f>
        <v>1054677.41935484</v>
      </c>
      <c r="H94" s="994">
        <f>-2515000/25*5</f>
        <v>-503000</v>
      </c>
      <c r="I94" s="389"/>
      <c r="J94" s="389"/>
      <c r="K94" s="389"/>
      <c r="L94" s="389"/>
      <c r="M94" s="400">
        <f t="shared" si="49"/>
        <v>551677.41935484</v>
      </c>
      <c r="N94" s="400">
        <f t="shared" si="50"/>
        <v>44134.1935483872</v>
      </c>
      <c r="O94" s="400"/>
      <c r="P94" s="400"/>
      <c r="Q94" s="400"/>
      <c r="R94" s="400"/>
      <c r="S94" s="418">
        <f t="shared" si="51"/>
        <v>595811.6129032271</v>
      </c>
      <c r="T94" s="816">
        <f t="shared" si="52"/>
        <v>4413.41935483872</v>
      </c>
      <c r="U94" s="419">
        <f t="shared" si="53"/>
        <v>600225.0322580658</v>
      </c>
      <c r="V94" s="855">
        <v>44378</v>
      </c>
      <c r="W94" s="1023">
        <v>44406</v>
      </c>
      <c r="Y94" s="829"/>
      <c r="Z94" s="829"/>
      <c r="AA94" s="865"/>
      <c r="AC94" s="863"/>
      <c r="AD94" s="863"/>
      <c r="AF94" s="864"/>
    </row>
    <row r="95" ht="23.25" customHeight="1" s="761" customFormat="1">
      <c r="A95" s="377" t="s">
        <v>64</v>
      </c>
      <c r="B95" s="1206" t="s">
        <v>226</v>
      </c>
      <c r="C95" s="1207" t="s">
        <v>227</v>
      </c>
      <c r="D95" s="846" t="s">
        <v>84</v>
      </c>
      <c r="E95" s="847" t="s">
        <v>62</v>
      </c>
      <c r="F95" s="847" t="s">
        <v>63</v>
      </c>
      <c r="G95" s="779">
        <f>2515000/31*15</f>
        <v>1216935.48387097</v>
      </c>
      <c r="H95" s="994">
        <f>-2515000/25*1</f>
        <v>-100600</v>
      </c>
      <c r="I95" s="796"/>
      <c r="J95" s="796"/>
      <c r="K95" s="796"/>
      <c r="L95" s="389"/>
      <c r="M95" s="815">
        <f t="shared" si="49"/>
        <v>1116335.48387097</v>
      </c>
      <c r="N95" s="815">
        <f t="shared" si="50"/>
        <v>89306.83870967761</v>
      </c>
      <c r="O95" s="400">
        <v>1521000</v>
      </c>
      <c r="P95" s="815"/>
      <c r="Q95" s="815"/>
      <c r="R95" s="815"/>
      <c r="S95" s="418">
        <f t="shared" si="51"/>
        <v>2726642.3225806477</v>
      </c>
      <c r="T95" s="853">
        <f t="shared" si="52"/>
        <v>8930.683870967761</v>
      </c>
      <c r="U95" s="419">
        <f t="shared" si="53"/>
        <v>2735573.0064516156</v>
      </c>
      <c r="V95" s="854">
        <v>44317</v>
      </c>
      <c r="W95" s="818">
        <v>44408</v>
      </c>
      <c r="Y95" s="829"/>
      <c r="Z95" s="829"/>
      <c r="AA95" s="865"/>
      <c r="AC95" s="863"/>
      <c r="AD95" s="863"/>
      <c r="AF95" s="864"/>
    </row>
    <row r="96" ht="23.25" customHeight="1" s="761" customFormat="1">
      <c r="A96" s="377" t="s">
        <v>64</v>
      </c>
      <c r="B96" s="1206" t="s">
        <v>228</v>
      </c>
      <c r="C96" s="1207" t="s">
        <v>229</v>
      </c>
      <c r="D96" s="846" t="s">
        <v>84</v>
      </c>
      <c r="E96" s="847" t="s">
        <v>62</v>
      </c>
      <c r="F96" s="847" t="s">
        <v>63</v>
      </c>
      <c r="G96" s="779">
        <f>2515000/31*21</f>
        <v>1703709.67741935</v>
      </c>
      <c r="H96" s="994">
        <f>-2515000/25*7</f>
        <v>-704200</v>
      </c>
      <c r="I96" s="796"/>
      <c r="J96" s="796"/>
      <c r="K96" s="796"/>
      <c r="L96" s="389"/>
      <c r="M96" s="815">
        <f t="shared" si="49"/>
        <v>999509.67741935</v>
      </c>
      <c r="N96" s="815">
        <f t="shared" si="50"/>
        <v>79960.774193548</v>
      </c>
      <c r="O96" s="400"/>
      <c r="P96" s="815"/>
      <c r="Q96" s="815"/>
      <c r="R96" s="815"/>
      <c r="S96" s="418">
        <f t="shared" si="51"/>
        <v>1079470.451612898</v>
      </c>
      <c r="T96" s="853">
        <f t="shared" si="52"/>
        <v>7996.0774193548</v>
      </c>
      <c r="U96" s="419">
        <f t="shared" si="53"/>
        <v>1087466.5290322527</v>
      </c>
      <c r="V96" s="854">
        <v>44349</v>
      </c>
      <c r="W96" s="818">
        <v>44415</v>
      </c>
      <c r="Y96" s="829"/>
      <c r="Z96" s="829"/>
      <c r="AA96" s="865"/>
      <c r="AC96" s="863"/>
      <c r="AD96" s="863"/>
      <c r="AF96" s="864"/>
    </row>
    <row r="97" ht="23.25" customHeight="1" s="761" customFormat="1">
      <c r="A97" s="377" t="s">
        <v>64</v>
      </c>
      <c r="B97" s="1206" t="s">
        <v>230</v>
      </c>
      <c r="C97" s="1207" t="s">
        <v>231</v>
      </c>
      <c r="D97" s="846" t="s">
        <v>84</v>
      </c>
      <c r="E97" s="847" t="s">
        <v>62</v>
      </c>
      <c r="F97" s="847" t="s">
        <v>63</v>
      </c>
      <c r="G97" s="779">
        <f>2515000/31*8</f>
        <v>649032.258064516</v>
      </c>
      <c r="H97" s="1020"/>
      <c r="I97" s="796"/>
      <c r="J97" s="796"/>
      <c r="K97" s="796"/>
      <c r="L97" s="389"/>
      <c r="M97" s="815">
        <f t="shared" si="42"/>
        <v>649032.258064516</v>
      </c>
      <c r="N97" s="815">
        <f t="shared" si="43"/>
        <v>51922.5806451613</v>
      </c>
      <c r="O97" s="400"/>
      <c r="P97" s="815"/>
      <c r="Q97" s="815"/>
      <c r="R97" s="815"/>
      <c r="S97" s="418">
        <f t="shared" si="44"/>
        <v>700954.838709677</v>
      </c>
      <c r="T97" s="853">
        <f t="shared" si="45"/>
        <v>5192.25806451613</v>
      </c>
      <c r="U97" s="419">
        <f t="shared" si="46"/>
        <v>706147.096774194</v>
      </c>
      <c r="V97" s="854">
        <v>44407</v>
      </c>
      <c r="W97" s="1023">
        <v>44415</v>
      </c>
      <c r="Y97" s="865"/>
      <c r="Z97" s="865"/>
      <c r="AA97" s="865"/>
      <c r="AC97" s="863"/>
      <c r="AD97" s="863"/>
      <c r="AF97" s="864"/>
    </row>
    <row r="98" ht="23.25" customHeight="1" s="180" customFormat="1">
      <c r="A98" s="1061" t="s">
        <v>87</v>
      </c>
      <c r="B98" s="1188"/>
      <c r="C98" s="1062"/>
      <c r="D98" s="1062"/>
      <c r="E98" s="1087"/>
      <c r="F98" s="668"/>
      <c r="G98" s="390">
        <f ref="G98:T98" t="shared" si="56">SUM(G21:G97)</f>
        <v>164691935.483871</v>
      </c>
      <c r="H98" s="390">
        <f t="shared" si="56"/>
        <v>-4728200</v>
      </c>
      <c r="I98" s="390">
        <f t="shared" si="56"/>
        <v>8731828.5</v>
      </c>
      <c r="J98" s="390">
        <f t="shared" si="56"/>
        <v>7142600</v>
      </c>
      <c r="K98" s="390">
        <f t="shared" si="56"/>
        <v>3571300</v>
      </c>
      <c r="L98" s="390">
        <f t="shared" si="56"/>
        <v>1065000</v>
      </c>
      <c r="M98" s="390">
        <f t="shared" si="56"/>
        <v>180717851.0806451</v>
      </c>
      <c r="N98" s="390">
        <f t="shared" si="56"/>
        <v>14457428.086451605</v>
      </c>
      <c r="O98" s="390">
        <f t="shared" si="56"/>
        <v>85775000</v>
      </c>
      <c r="P98" s="390">
        <f t="shared" si="56"/>
        <v>0</v>
      </c>
      <c r="Q98" s="390">
        <f t="shared" si="56"/>
        <v>0</v>
      </c>
      <c r="R98" s="390">
        <f t="shared" si="56"/>
        <v>0</v>
      </c>
      <c r="S98" s="390">
        <f t="shared" si="56"/>
        <v>280950279.1670971</v>
      </c>
      <c r="T98" s="390">
        <f t="shared" si="56"/>
        <v>1445742.8086451616</v>
      </c>
      <c r="U98" s="390">
        <f>SUM(U21:U97)</f>
        <v>282396021.97574204</v>
      </c>
      <c r="V98" s="819"/>
      <c r="W98" s="856"/>
      <c r="X98" s="178"/>
      <c r="Y98" s="345"/>
      <c r="Z98" s="345"/>
      <c r="AA98" s="767"/>
      <c r="AB98" s="178"/>
      <c r="AC98" s="178"/>
      <c r="AD98" s="178"/>
      <c r="AE98" s="178"/>
      <c r="AF98" s="178"/>
      <c r="AG98" s="178"/>
      <c r="AH98" s="178"/>
      <c r="AI98" s="178"/>
      <c r="AJ98" s="178"/>
      <c r="AK98" s="178"/>
      <c r="AL98" s="178"/>
      <c r="AM98" s="178"/>
      <c r="AN98" s="178"/>
      <c r="AO98" s="178"/>
      <c r="AP98" s="178"/>
      <c r="AQ98" s="178"/>
      <c r="AR98" s="178"/>
      <c r="AS98" s="178"/>
      <c r="AT98" s="178"/>
      <c r="AU98" s="178"/>
      <c r="AV98" s="178"/>
      <c r="AW98" s="178"/>
      <c r="AX98" s="178"/>
      <c r="AY98" s="178"/>
      <c r="AZ98" s="178"/>
      <c r="BA98" s="178"/>
      <c r="BB98" s="178"/>
    </row>
    <row r="99" ht="23.25" customHeight="1">
      <c r="A99" s="182" t="s">
        <v>87</v>
      </c>
      <c r="B99" s="1191"/>
      <c r="I99" s="185"/>
      <c r="J99" s="185"/>
      <c r="K99" s="185"/>
      <c r="L99" s="185"/>
      <c r="N99" s="185"/>
      <c r="O99" s="185"/>
      <c r="P99" s="185"/>
      <c r="Q99" s="185"/>
      <c r="R99" s="185"/>
      <c r="S99" s="185"/>
      <c r="T99" s="185"/>
      <c r="U99" s="185"/>
      <c r="Y99" s="425"/>
    </row>
    <row r="100" ht="23.25" customHeight="1" s="180" customFormat="1">
      <c r="A100" s="1061" t="s">
        <v>87</v>
      </c>
      <c r="B100" s="1188"/>
      <c r="C100" s="1062"/>
      <c r="D100" s="1062"/>
      <c r="E100" s="1062"/>
      <c r="F100" s="208"/>
      <c r="G100" s="390">
        <f ref="G100:U100" t="shared" si="57">+G17+G98</f>
        <v>187164677.419355</v>
      </c>
      <c r="H100" s="390">
        <f t="shared" si="57"/>
        <v>-4728200</v>
      </c>
      <c r="I100" s="390">
        <f t="shared" si="57"/>
        <v>9838680</v>
      </c>
      <c r="J100" s="390">
        <f t="shared" si="57"/>
        <v>8048000</v>
      </c>
      <c r="K100" s="390">
        <f t="shared" si="57"/>
        <v>4024000</v>
      </c>
      <c r="L100" s="390">
        <f t="shared" si="57"/>
        <v>1080003</v>
      </c>
      <c r="M100" s="390">
        <f t="shared" si="57"/>
        <v>205670547.516129</v>
      </c>
      <c r="N100" s="390">
        <f t="shared" si="57"/>
        <v>16285962.054193541</v>
      </c>
      <c r="O100" s="390">
        <f t="shared" si="57"/>
        <v>86475000</v>
      </c>
      <c r="P100" s="390">
        <f t="shared" si="57"/>
        <v>932000</v>
      </c>
      <c r="Q100" s="390">
        <f t="shared" si="57"/>
        <v>2178000</v>
      </c>
      <c r="R100" s="390">
        <f t="shared" si="57"/>
        <v>6258424.855491329</v>
      </c>
      <c r="S100" s="390">
        <f t="shared" si="57"/>
        <v>317799934.4258142</v>
      </c>
      <c r="T100" s="390">
        <f t="shared" si="57"/>
        <v>1628596.205419355</v>
      </c>
      <c r="U100" s="390">
        <f t="shared" si="57"/>
        <v>319428530.6312334</v>
      </c>
      <c r="V100" s="857"/>
      <c r="W100" s="858"/>
      <c r="X100" s="178"/>
      <c r="Y100" s="345"/>
      <c r="Z100" s="345"/>
      <c r="AA100" s="767"/>
      <c r="AB100" s="178"/>
      <c r="AC100" s="178"/>
      <c r="AD100" s="178"/>
      <c r="AE100" s="178"/>
      <c r="AF100" s="178"/>
      <c r="AG100" s="178"/>
      <c r="AH100" s="178"/>
      <c r="AI100" s="178"/>
      <c r="AJ100" s="178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  <c r="AX100" s="178"/>
      <c r="AY100" s="178"/>
      <c r="AZ100" s="178"/>
      <c r="BA100" s="178"/>
      <c r="BB100" s="178"/>
    </row>
    <row r="101" s="181" customFormat="1">
      <c r="A101" s="181" t="s">
        <v>87</v>
      </c>
      <c r="B101" s="1191"/>
      <c r="C101" s="188"/>
      <c r="D101" s="189"/>
      <c r="E101" s="189"/>
      <c r="F101" s="189"/>
      <c r="G101" s="190"/>
      <c r="H101" s="190"/>
      <c r="M101" s="190"/>
      <c r="N101" s="216"/>
      <c r="O101" s="216"/>
      <c r="P101" s="216"/>
      <c r="V101" s="188"/>
      <c r="W101" s="188"/>
      <c r="Y101" s="425"/>
      <c r="Z101" s="425"/>
      <c r="AA101" s="767"/>
    </row>
    <row r="102" s="178" customFormat="1">
      <c r="A102" s="213" t="s">
        <v>87</v>
      </c>
      <c r="B102" s="1178"/>
      <c r="C102" s="181"/>
      <c r="D102" s="189"/>
      <c r="E102" s="189"/>
      <c r="F102" s="189"/>
      <c r="G102" s="190"/>
      <c r="H102" s="190"/>
      <c r="N102" s="229"/>
      <c r="O102" s="229"/>
      <c r="P102" s="229"/>
      <c r="Q102" s="229"/>
      <c r="R102" s="229"/>
      <c r="T102" s="230"/>
      <c r="U102" s="229"/>
      <c r="V102" s="242"/>
      <c r="W102" s="242"/>
      <c r="Y102" s="345"/>
      <c r="Z102" s="345"/>
      <c r="AA102" s="767"/>
    </row>
    <row r="103" s="178" customFormat="1">
      <c r="A103" s="213" t="s">
        <v>87</v>
      </c>
      <c r="B103" s="1178"/>
      <c r="C103" s="181"/>
      <c r="D103" s="189"/>
      <c r="E103" s="189"/>
      <c r="F103" s="189"/>
      <c r="G103" s="190"/>
      <c r="H103" s="190"/>
      <c r="N103" s="229"/>
      <c r="O103" s="229"/>
      <c r="P103" s="229"/>
      <c r="Q103" s="229"/>
      <c r="R103" s="229"/>
      <c r="T103" s="230"/>
      <c r="U103" s="229"/>
      <c r="V103" s="242"/>
      <c r="W103" s="242"/>
      <c r="Y103" s="345"/>
      <c r="Z103" s="345"/>
      <c r="AA103" s="767"/>
    </row>
    <row r="104" s="178" customFormat="1">
      <c r="A104" s="178" t="s">
        <v>87</v>
      </c>
      <c r="B104" s="1178"/>
      <c r="C104" s="214" t="str">
        <f>+'BANJARMASIN '!C102</f>
        <v>Karawang,  16 Agustus 2020</v>
      </c>
      <c r="D104" s="189"/>
      <c r="E104" s="189"/>
      <c r="F104" s="189"/>
      <c r="G104" s="190"/>
      <c r="H104" s="190"/>
      <c r="M104" s="231"/>
      <c r="N104" s="231"/>
      <c r="O104" s="231"/>
      <c r="P104" s="231"/>
      <c r="Q104" s="231"/>
      <c r="R104" s="231"/>
      <c r="S104" s="231"/>
      <c r="T104" s="230"/>
      <c r="U104" s="229"/>
      <c r="V104" s="242"/>
      <c r="W104" s="242"/>
      <c r="Z104" s="345"/>
      <c r="AA104" s="767"/>
    </row>
    <row r="105" s="178" customFormat="1">
      <c r="A105" s="213" t="s">
        <v>87</v>
      </c>
      <c r="B105" s="1178"/>
      <c r="C105" s="189"/>
      <c r="D105" s="189"/>
      <c r="E105" s="189"/>
      <c r="F105" s="544"/>
      <c r="G105" s="190"/>
      <c r="H105" s="190"/>
      <c r="N105" s="229"/>
      <c r="O105" s="229"/>
      <c r="P105" s="229"/>
      <c r="Q105" s="229"/>
      <c r="R105" s="229"/>
      <c r="T105" s="230"/>
      <c r="U105" s="229"/>
      <c r="V105" s="242"/>
      <c r="W105" s="242"/>
      <c r="Z105" s="345"/>
      <c r="AA105" s="767"/>
    </row>
    <row r="106" s="178" customFormat="1">
      <c r="A106" s="178" t="s">
        <v>87</v>
      </c>
      <c r="B106" s="1178"/>
      <c r="C106" s="189" t="s">
        <v>232</v>
      </c>
      <c r="D106" s="189"/>
      <c r="F106" s="215"/>
      <c r="G106" s="190"/>
      <c r="H106" s="190"/>
      <c r="L106" s="229"/>
      <c r="M106" s="181" t="s">
        <v>233</v>
      </c>
      <c r="N106" s="231"/>
      <c r="O106" s="181"/>
      <c r="P106" s="181"/>
      <c r="Q106" s="181"/>
      <c r="R106" s="181"/>
      <c r="S106" s="544"/>
      <c r="V106" s="242"/>
      <c r="W106" s="242"/>
      <c r="Z106" s="345"/>
      <c r="AA106" s="767"/>
    </row>
    <row r="107" s="178" customFormat="1">
      <c r="A107" s="178" t="s">
        <v>87</v>
      </c>
      <c r="B107" s="1178"/>
      <c r="C107" s="189"/>
      <c r="D107" s="189"/>
      <c r="F107" s="215"/>
      <c r="G107" s="190"/>
      <c r="H107" s="190"/>
      <c r="I107" s="190"/>
      <c r="L107" s="229"/>
      <c r="S107" s="544"/>
      <c r="V107" s="242"/>
      <c r="W107" s="242"/>
      <c r="Z107" s="345"/>
      <c r="AA107" s="767"/>
    </row>
    <row r="108" s="178" customFormat="1">
      <c r="A108" s="178" t="s">
        <v>87</v>
      </c>
      <c r="B108" s="1178"/>
      <c r="C108" s="189"/>
      <c r="D108" s="189"/>
      <c r="F108" s="215"/>
      <c r="G108" s="190"/>
      <c r="H108" s="190"/>
      <c r="I108" s="190"/>
      <c r="L108" s="229"/>
      <c r="N108" s="230"/>
      <c r="S108" s="189"/>
      <c r="V108" s="242"/>
      <c r="W108" s="242"/>
      <c r="Z108" s="345"/>
      <c r="AA108" s="767"/>
    </row>
    <row r="109" ht="15" customHeight="1" s="178" customFormat="1">
      <c r="A109" s="178" t="s">
        <v>87</v>
      </c>
      <c r="B109" s="1178"/>
      <c r="C109" s="189"/>
      <c r="D109" s="189"/>
      <c r="F109" s="215"/>
      <c r="G109" s="190"/>
      <c r="H109" s="190"/>
      <c r="I109" s="190"/>
      <c r="L109" s="229"/>
      <c r="N109" s="231"/>
      <c r="S109" s="189"/>
      <c r="V109" s="242"/>
      <c r="W109" s="242"/>
      <c r="Z109" s="345"/>
      <c r="AA109" s="767"/>
    </row>
    <row r="110" ht="15" customHeight="1" s="178" customFormat="1">
      <c r="A110" s="178" t="s">
        <v>87</v>
      </c>
      <c r="B110" s="1178"/>
      <c r="C110" s="189"/>
      <c r="D110" s="189"/>
      <c r="F110" s="215"/>
      <c r="G110" s="190"/>
      <c r="H110" s="190"/>
      <c r="I110" s="190"/>
      <c r="L110" s="229"/>
      <c r="S110" s="189"/>
      <c r="V110" s="242"/>
      <c r="W110" s="242"/>
      <c r="Z110" s="345"/>
      <c r="AA110" s="767"/>
    </row>
    <row r="111" s="178" customFormat="1">
      <c r="A111" s="178" t="s">
        <v>87</v>
      </c>
      <c r="B111" s="1178"/>
      <c r="C111" s="189"/>
      <c r="D111" s="189"/>
      <c r="F111" s="215"/>
      <c r="G111" s="190"/>
      <c r="H111" s="190"/>
      <c r="I111" s="190"/>
      <c r="L111" s="229"/>
      <c r="S111" s="189"/>
      <c r="T111" s="189"/>
      <c r="V111" s="242"/>
      <c r="W111" s="243"/>
      <c r="Z111" s="345"/>
      <c r="AA111" s="767"/>
    </row>
    <row r="112" s="178" customFormat="1">
      <c r="A112" s="181" t="s">
        <v>87</v>
      </c>
      <c r="B112" s="1178"/>
      <c r="C112" s="189"/>
      <c r="D112" s="189"/>
      <c r="F112" s="189"/>
      <c r="G112" s="190"/>
      <c r="H112" s="190"/>
      <c r="I112" s="190"/>
      <c r="L112" s="229"/>
      <c r="S112" s="189"/>
      <c r="U112" s="181"/>
      <c r="V112" s="242"/>
      <c r="W112" s="243"/>
      <c r="Z112" s="345"/>
      <c r="AA112" s="767"/>
    </row>
    <row r="113" s="181" customFormat="1">
      <c r="A113" s="181" t="s">
        <v>87</v>
      </c>
      <c r="B113" s="1190"/>
      <c r="C113" s="214" t="s">
        <v>234</v>
      </c>
      <c r="D113" s="189"/>
      <c r="E113" s="189"/>
      <c r="F113" s="214"/>
      <c r="G113" s="190"/>
      <c r="H113" s="190"/>
      <c r="I113" s="190"/>
      <c r="J113" s="232" t="s">
        <v>235</v>
      </c>
      <c r="M113" s="213" t="s">
        <v>236</v>
      </c>
      <c r="O113" s="214" t="s">
        <v>237</v>
      </c>
      <c r="P113" s="214"/>
      <c r="S113" s="213" t="s">
        <v>238</v>
      </c>
      <c r="V113" s="188"/>
      <c r="W113" s="243"/>
      <c r="Z113" s="425"/>
      <c r="AA113" s="767"/>
    </row>
    <row r="114" s="181" customFormat="1">
      <c r="A114" s="181" t="s">
        <v>87</v>
      </c>
      <c r="B114" s="1191"/>
      <c r="C114" s="188"/>
      <c r="D114" s="189"/>
      <c r="E114" s="189"/>
      <c r="F114" s="189"/>
      <c r="G114" s="190"/>
      <c r="H114" s="190"/>
      <c r="M114" s="190"/>
      <c r="V114" s="188"/>
      <c r="W114" s="188"/>
      <c r="Z114" s="425"/>
      <c r="AA114" s="767"/>
    </row>
    <row r="115" s="181" customFormat="1">
      <c r="A115" s="181" t="s">
        <v>87</v>
      </c>
      <c r="B115" s="1191"/>
      <c r="C115" s="188"/>
      <c r="D115" s="189"/>
      <c r="E115" s="189"/>
      <c r="F115" s="189"/>
      <c r="G115" s="190"/>
      <c r="H115" s="190"/>
      <c r="M115" s="190"/>
      <c r="V115" s="188"/>
      <c r="W115" s="188"/>
      <c r="Z115" s="425"/>
      <c r="AA115" s="767"/>
    </row>
    <row r="116" s="181" customFormat="1">
      <c r="A116" s="181" t="s">
        <v>87</v>
      </c>
      <c r="B116" s="1191"/>
      <c r="C116" s="188"/>
      <c r="D116" s="189"/>
      <c r="E116" s="189"/>
      <c r="F116" s="189"/>
      <c r="G116" s="190"/>
      <c r="H116" s="190"/>
      <c r="M116" s="190"/>
      <c r="V116" s="188"/>
      <c r="W116" s="188"/>
      <c r="Z116" s="425"/>
      <c r="AA116" s="767"/>
    </row>
    <row r="117" s="181" customFormat="1">
      <c r="A117" s="181" t="s">
        <v>87</v>
      </c>
      <c r="B117" s="1191"/>
      <c r="C117" s="188"/>
      <c r="D117" s="189"/>
      <c r="E117" s="189"/>
      <c r="F117" s="189"/>
      <c r="G117" s="190"/>
      <c r="H117" s="190"/>
      <c r="M117" s="190"/>
      <c r="V117" s="188"/>
      <c r="W117" s="188"/>
      <c r="Z117" s="425"/>
      <c r="AA117" s="767"/>
    </row>
    <row r="118" s="181" customFormat="1">
      <c r="A118" s="181" t="s">
        <v>87</v>
      </c>
      <c r="B118" s="1191"/>
      <c r="C118" s="188"/>
      <c r="D118" s="189"/>
      <c r="E118" s="189"/>
      <c r="F118" s="189"/>
      <c r="G118" s="190"/>
      <c r="H118" s="190"/>
      <c r="M118" s="190"/>
      <c r="V118" s="188"/>
      <c r="W118" s="188"/>
      <c r="Z118" s="425"/>
      <c r="AA118" s="767"/>
    </row>
    <row r="119" s="181" customFormat="1">
      <c r="A119" s="181" t="s">
        <v>87</v>
      </c>
      <c r="B119" s="1191"/>
      <c r="C119" s="188"/>
      <c r="D119" s="189"/>
      <c r="E119" s="189"/>
      <c r="F119" s="189"/>
      <c r="G119" s="190"/>
      <c r="H119" s="190"/>
      <c r="M119" s="190"/>
      <c r="V119" s="188"/>
      <c r="W119" s="188"/>
      <c r="Z119" s="425"/>
      <c r="AA119" s="767"/>
    </row>
    <row r="120" s="181" customFormat="1">
      <c r="A120" s="181" t="s">
        <v>87</v>
      </c>
      <c r="B120" s="1191"/>
      <c r="C120" s="188"/>
      <c r="D120" s="189"/>
      <c r="E120" s="189"/>
      <c r="F120" s="189"/>
      <c r="G120" s="190"/>
      <c r="H120" s="190"/>
      <c r="M120" s="190"/>
      <c r="V120" s="188"/>
      <c r="W120" s="188"/>
      <c r="Z120" s="425"/>
      <c r="AA120" s="767"/>
    </row>
    <row r="121" s="181" customFormat="1">
      <c r="A121" s="181" t="s">
        <v>87</v>
      </c>
      <c r="B121" s="1191"/>
      <c r="C121" s="188"/>
      <c r="D121" s="189"/>
      <c r="E121" s="189"/>
      <c r="F121" s="189"/>
      <c r="G121" s="190"/>
      <c r="H121" s="190"/>
      <c r="M121" s="190"/>
      <c r="V121" s="188"/>
      <c r="W121" s="188"/>
      <c r="Z121" s="425"/>
      <c r="AA121" s="767"/>
    </row>
    <row r="122" s="181" customFormat="1">
      <c r="A122" s="181" t="s">
        <v>87</v>
      </c>
      <c r="B122" s="1191"/>
      <c r="C122" s="188"/>
      <c r="D122" s="189"/>
      <c r="E122" s="189"/>
      <c r="F122" s="189"/>
      <c r="G122" s="190"/>
      <c r="H122" s="190"/>
      <c r="M122" s="190"/>
      <c r="V122" s="188"/>
      <c r="W122" s="188"/>
      <c r="Z122" s="425"/>
      <c r="AA122" s="767"/>
    </row>
    <row r="123" s="181" customFormat="1">
      <c r="A123" s="181" t="s">
        <v>87</v>
      </c>
      <c r="B123" s="1191"/>
      <c r="C123" s="188"/>
      <c r="D123" s="189"/>
      <c r="E123" s="189"/>
      <c r="F123" s="189"/>
      <c r="G123" s="190"/>
      <c r="H123" s="190"/>
      <c r="M123" s="190"/>
      <c r="V123" s="188"/>
      <c r="W123" s="188"/>
      <c r="Z123" s="425"/>
      <c r="AA123" s="767"/>
    </row>
    <row r="124" s="181" customFormat="1">
      <c r="A124" s="181" t="s">
        <v>87</v>
      </c>
      <c r="B124" s="1191"/>
      <c r="C124" s="188"/>
      <c r="D124" s="189"/>
      <c r="E124" s="189"/>
      <c r="F124" s="189"/>
      <c r="G124" s="190"/>
      <c r="H124" s="190"/>
      <c r="M124" s="190"/>
      <c r="V124" s="188"/>
      <c r="W124" s="188"/>
      <c r="Z124" s="425"/>
      <c r="AA124" s="767"/>
    </row>
    <row r="125" s="181" customFormat="1">
      <c r="A125" s="181" t="s">
        <v>87</v>
      </c>
      <c r="B125" s="1191"/>
      <c r="C125" s="188"/>
      <c r="D125" s="189"/>
      <c r="E125" s="189"/>
      <c r="F125" s="189"/>
      <c r="G125" s="190"/>
      <c r="H125" s="190"/>
      <c r="M125" s="190"/>
      <c r="V125" s="188"/>
      <c r="W125" s="188"/>
      <c r="Z125" s="425"/>
      <c r="AA125" s="767"/>
    </row>
    <row r="126" s="181" customFormat="1">
      <c r="A126" s="181" t="s">
        <v>87</v>
      </c>
      <c r="B126" s="1191"/>
      <c r="C126" s="188"/>
      <c r="D126" s="189"/>
      <c r="E126" s="189"/>
      <c r="F126" s="189"/>
      <c r="G126" s="190"/>
      <c r="H126" s="190"/>
      <c r="M126" s="190"/>
      <c r="V126" s="188"/>
      <c r="W126" s="188"/>
      <c r="Z126" s="425"/>
      <c r="AA126" s="767"/>
    </row>
    <row r="127" s="181" customFormat="1">
      <c r="A127" s="181" t="s">
        <v>87</v>
      </c>
      <c r="B127" s="1191"/>
      <c r="C127" s="188"/>
      <c r="D127" s="189"/>
      <c r="E127" s="189"/>
      <c r="F127" s="189"/>
      <c r="G127" s="190"/>
      <c r="H127" s="190"/>
      <c r="M127" s="190"/>
      <c r="V127" s="188"/>
      <c r="W127" s="188"/>
      <c r="Z127" s="425"/>
      <c r="AA127" s="767"/>
    </row>
    <row r="128" s="181" customFormat="1">
      <c r="A128" s="181" t="s">
        <v>87</v>
      </c>
      <c r="B128" s="1191"/>
      <c r="C128" s="188"/>
      <c r="D128" s="189"/>
      <c r="E128" s="189"/>
      <c r="F128" s="189"/>
      <c r="G128" s="190"/>
      <c r="H128" s="190"/>
      <c r="M128" s="190"/>
      <c r="V128" s="188"/>
      <c r="W128" s="188"/>
      <c r="Z128" s="425"/>
      <c r="AA128" s="767"/>
    </row>
    <row r="129" s="181" customFormat="1">
      <c r="A129" s="181" t="s">
        <v>87</v>
      </c>
      <c r="B129" s="1191"/>
      <c r="C129" s="188"/>
      <c r="D129" s="189"/>
      <c r="E129" s="189"/>
      <c r="F129" s="189"/>
      <c r="G129" s="190"/>
      <c r="H129" s="190"/>
      <c r="M129" s="190"/>
      <c r="V129" s="188"/>
      <c r="W129" s="188"/>
      <c r="Z129" s="425"/>
      <c r="AA129" s="767"/>
    </row>
    <row r="130" s="181" customFormat="1">
      <c r="A130" s="181" t="s">
        <v>87</v>
      </c>
      <c r="B130" s="1191"/>
      <c r="C130" s="188"/>
      <c r="D130" s="189"/>
      <c r="E130" s="189"/>
      <c r="F130" s="189"/>
      <c r="G130" s="190"/>
      <c r="H130" s="190"/>
      <c r="M130" s="190"/>
      <c r="V130" s="188"/>
      <c r="W130" s="188"/>
      <c r="Z130" s="425"/>
      <c r="AA130" s="767"/>
    </row>
    <row r="131" s="181" customFormat="1">
      <c r="A131" s="181" t="s">
        <v>87</v>
      </c>
      <c r="B131" s="1191"/>
      <c r="C131" s="188"/>
      <c r="D131" s="189"/>
      <c r="E131" s="189"/>
      <c r="F131" s="189"/>
      <c r="G131" s="190"/>
      <c r="H131" s="190"/>
      <c r="M131" s="190"/>
      <c r="V131" s="188"/>
      <c r="W131" s="188"/>
      <c r="Z131" s="425"/>
      <c r="AA131" s="767"/>
    </row>
    <row r="132" s="181" customFormat="1">
      <c r="A132" s="181" t="s">
        <v>87</v>
      </c>
      <c r="B132" s="1191"/>
      <c r="C132" s="188"/>
      <c r="D132" s="189"/>
      <c r="E132" s="189"/>
      <c r="F132" s="189"/>
      <c r="G132" s="190"/>
      <c r="H132" s="190"/>
      <c r="M132" s="190"/>
      <c r="V132" s="188"/>
      <c r="W132" s="188"/>
      <c r="Z132" s="425"/>
      <c r="AA132" s="767"/>
    </row>
    <row r="133" s="181" customFormat="1">
      <c r="A133" s="181" t="s">
        <v>87</v>
      </c>
      <c r="B133" s="1191"/>
      <c r="C133" s="188"/>
      <c r="D133" s="189"/>
      <c r="E133" s="189"/>
      <c r="F133" s="189"/>
      <c r="G133" s="190"/>
      <c r="H133" s="190"/>
      <c r="M133" s="190"/>
      <c r="V133" s="188"/>
      <c r="W133" s="188"/>
      <c r="Z133" s="425"/>
      <c r="AA133" s="767"/>
    </row>
    <row r="134" s="181" customFormat="1">
      <c r="A134" s="181" t="s">
        <v>87</v>
      </c>
      <c r="B134" s="1191"/>
      <c r="C134" s="188"/>
      <c r="D134" s="189"/>
      <c r="E134" s="189"/>
      <c r="F134" s="189"/>
      <c r="G134" s="190"/>
      <c r="H134" s="190"/>
      <c r="M134" s="190"/>
      <c r="V134" s="188"/>
      <c r="W134" s="188"/>
      <c r="Z134" s="425"/>
      <c r="AA134" s="767"/>
    </row>
    <row r="135" s="181" customFormat="1">
      <c r="A135" s="181" t="s">
        <v>87</v>
      </c>
      <c r="B135" s="1191"/>
      <c r="C135" s="188"/>
      <c r="D135" s="189"/>
      <c r="E135" s="189"/>
      <c r="F135" s="189"/>
      <c r="G135" s="190"/>
      <c r="H135" s="190"/>
      <c r="M135" s="190"/>
      <c r="V135" s="188"/>
      <c r="W135" s="188"/>
      <c r="Z135" s="425"/>
      <c r="AA135" s="767"/>
    </row>
    <row r="136" s="181" customFormat="1">
      <c r="A136" s="181" t="s">
        <v>87</v>
      </c>
      <c r="B136" s="1191"/>
      <c r="C136" s="188"/>
      <c r="D136" s="189"/>
      <c r="E136" s="189"/>
      <c r="F136" s="189"/>
      <c r="G136" s="190"/>
      <c r="H136" s="190"/>
      <c r="M136" s="190"/>
      <c r="V136" s="188"/>
      <c r="W136" s="188"/>
      <c r="Z136" s="425"/>
      <c r="AA136" s="767"/>
    </row>
    <row r="137" s="181" customFormat="1">
      <c r="A137" s="181" t="s">
        <v>87</v>
      </c>
      <c r="B137" s="1191"/>
      <c r="C137" s="188"/>
      <c r="D137" s="189"/>
      <c r="E137" s="189"/>
      <c r="F137" s="189"/>
      <c r="G137" s="190"/>
      <c r="H137" s="190"/>
      <c r="M137" s="190"/>
      <c r="V137" s="188"/>
      <c r="W137" s="188"/>
      <c r="Z137" s="425"/>
      <c r="AA137" s="767"/>
    </row>
    <row r="138" s="181" customFormat="1">
      <c r="A138" s="181" t="s">
        <v>87</v>
      </c>
      <c r="B138" s="1191"/>
      <c r="C138" s="188"/>
      <c r="D138" s="189"/>
      <c r="E138" s="189"/>
      <c r="F138" s="189"/>
      <c r="G138" s="190"/>
      <c r="H138" s="190"/>
      <c r="M138" s="190"/>
      <c r="V138" s="188"/>
      <c r="W138" s="188"/>
      <c r="Z138" s="425"/>
      <c r="AA138" s="767"/>
    </row>
    <row r="139" s="181" customFormat="1">
      <c r="A139" s="181" t="s">
        <v>87</v>
      </c>
      <c r="B139" s="1191"/>
      <c r="C139" s="188"/>
      <c r="D139" s="189"/>
      <c r="E139" s="189"/>
      <c r="F139" s="189"/>
      <c r="G139" s="190"/>
      <c r="H139" s="190"/>
      <c r="M139" s="190"/>
      <c r="V139" s="188"/>
      <c r="W139" s="188"/>
      <c r="Z139" s="425"/>
      <c r="AA139" s="767"/>
    </row>
    <row r="140" s="181" customFormat="1">
      <c r="A140" s="181" t="s">
        <v>87</v>
      </c>
      <c r="B140" s="1191"/>
      <c r="C140" s="188"/>
      <c r="D140" s="189"/>
      <c r="E140" s="189"/>
      <c r="F140" s="189"/>
      <c r="G140" s="190"/>
      <c r="H140" s="190"/>
      <c r="M140" s="190"/>
      <c r="V140" s="188"/>
      <c r="W140" s="188"/>
      <c r="Z140" s="425"/>
      <c r="AA140" s="767"/>
    </row>
    <row r="141" s="181" customFormat="1">
      <c r="A141" s="181" t="s">
        <v>87</v>
      </c>
      <c r="B141" s="1191"/>
      <c r="C141" s="188"/>
      <c r="D141" s="189"/>
      <c r="E141" s="189"/>
      <c r="F141" s="189"/>
      <c r="G141" s="190"/>
      <c r="H141" s="190"/>
      <c r="M141" s="190"/>
      <c r="V141" s="188"/>
      <c r="W141" s="188"/>
      <c r="Z141" s="425"/>
      <c r="AA141" s="767"/>
    </row>
    <row r="142" s="181" customFormat="1">
      <c r="A142" s="181" t="s">
        <v>87</v>
      </c>
      <c r="B142" s="1191"/>
      <c r="C142" s="188"/>
      <c r="D142" s="189"/>
      <c r="E142" s="189"/>
      <c r="F142" s="189"/>
      <c r="G142" s="190"/>
      <c r="H142" s="190"/>
      <c r="M142" s="190"/>
      <c r="V142" s="188"/>
      <c r="W142" s="188"/>
      <c r="Z142" s="425"/>
      <c r="AA142" s="767"/>
    </row>
    <row r="143" s="181" customFormat="1">
      <c r="A143" s="181" t="s">
        <v>87</v>
      </c>
      <c r="B143" s="1191"/>
      <c r="C143" s="188"/>
      <c r="D143" s="189"/>
      <c r="E143" s="189"/>
      <c r="F143" s="189"/>
      <c r="G143" s="190"/>
      <c r="H143" s="190"/>
      <c r="M143" s="190"/>
      <c r="V143" s="188"/>
      <c r="W143" s="188"/>
      <c r="Z143" s="425"/>
      <c r="AA143" s="767"/>
    </row>
    <row r="144" s="181" customFormat="1">
      <c r="A144" s="181" t="s">
        <v>87</v>
      </c>
      <c r="B144" s="1191"/>
      <c r="C144" s="188"/>
      <c r="D144" s="189"/>
      <c r="E144" s="189"/>
      <c r="F144" s="189"/>
      <c r="G144" s="190"/>
      <c r="H144" s="190"/>
      <c r="M144" s="190"/>
      <c r="V144" s="188"/>
      <c r="W144" s="188"/>
      <c r="Z144" s="425"/>
      <c r="AA144" s="767"/>
    </row>
    <row r="145" s="181" customFormat="1">
      <c r="A145" s="181" t="s">
        <v>87</v>
      </c>
      <c r="B145" s="1191"/>
      <c r="C145" s="188"/>
      <c r="D145" s="189"/>
      <c r="E145" s="189"/>
      <c r="F145" s="189"/>
      <c r="G145" s="190"/>
      <c r="H145" s="190"/>
      <c r="M145" s="190"/>
      <c r="V145" s="188"/>
      <c r="W145" s="188"/>
      <c r="Z145" s="425"/>
      <c r="AA145" s="767"/>
    </row>
    <row r="146" s="181" customFormat="1">
      <c r="A146" s="181" t="s">
        <v>87</v>
      </c>
      <c r="B146" s="1191"/>
      <c r="C146" s="188"/>
      <c r="D146" s="189"/>
      <c r="E146" s="189"/>
      <c r="F146" s="189"/>
      <c r="G146" s="190"/>
      <c r="H146" s="190"/>
      <c r="M146" s="190"/>
      <c r="V146" s="188"/>
      <c r="W146" s="188"/>
      <c r="Z146" s="425"/>
      <c r="AA146" s="767"/>
    </row>
    <row r="147" s="181" customFormat="1">
      <c r="A147" s="181" t="s">
        <v>87</v>
      </c>
      <c r="B147" s="1191"/>
      <c r="C147" s="188"/>
      <c r="D147" s="189"/>
      <c r="E147" s="189"/>
      <c r="F147" s="189"/>
      <c r="G147" s="190"/>
      <c r="H147" s="190"/>
      <c r="M147" s="190"/>
      <c r="V147" s="188"/>
      <c r="W147" s="188"/>
      <c r="Z147" s="425"/>
      <c r="AA147" s="767"/>
    </row>
    <row r="148" s="181" customFormat="1">
      <c r="A148" s="181" t="s">
        <v>87</v>
      </c>
      <c r="B148" s="1191"/>
      <c r="C148" s="188"/>
      <c r="D148" s="189"/>
      <c r="E148" s="189"/>
      <c r="F148" s="189"/>
      <c r="G148" s="190"/>
      <c r="H148" s="190"/>
      <c r="M148" s="190"/>
      <c r="V148" s="188"/>
      <c r="W148" s="188"/>
      <c r="Z148" s="425"/>
      <c r="AA148" s="767"/>
    </row>
    <row r="149" s="181" customFormat="1">
      <c r="A149" s="181" t="s">
        <v>87</v>
      </c>
      <c r="B149" s="1191"/>
      <c r="C149" s="188"/>
      <c r="D149" s="189"/>
      <c r="E149" s="189"/>
      <c r="F149" s="189"/>
      <c r="G149" s="190"/>
      <c r="H149" s="190"/>
      <c r="M149" s="190"/>
      <c r="V149" s="188"/>
      <c r="W149" s="188"/>
      <c r="Z149" s="425"/>
      <c r="AA149" s="767"/>
    </row>
    <row r="150" s="181" customFormat="1">
      <c r="A150" s="181" t="s">
        <v>87</v>
      </c>
      <c r="B150" s="1191"/>
      <c r="C150" s="188"/>
      <c r="D150" s="189"/>
      <c r="E150" s="189"/>
      <c r="F150" s="189"/>
      <c r="G150" s="190"/>
      <c r="H150" s="190"/>
      <c r="M150" s="190"/>
      <c r="V150" s="188"/>
      <c r="W150" s="188"/>
      <c r="Z150" s="425"/>
      <c r="AA150" s="767"/>
    </row>
    <row r="151" s="181" customFormat="1">
      <c r="A151" s="181" t="s">
        <v>87</v>
      </c>
      <c r="B151" s="1191"/>
      <c r="C151" s="188"/>
      <c r="D151" s="189"/>
      <c r="E151" s="189"/>
      <c r="F151" s="189"/>
      <c r="G151" s="190"/>
      <c r="H151" s="190"/>
      <c r="M151" s="190"/>
      <c r="V151" s="188"/>
      <c r="W151" s="188"/>
      <c r="Z151" s="425"/>
      <c r="AA151" s="767"/>
    </row>
    <row r="152" s="181" customFormat="1">
      <c r="A152" s="181" t="s">
        <v>87</v>
      </c>
      <c r="B152" s="1191"/>
      <c r="C152" s="188"/>
      <c r="D152" s="189"/>
      <c r="E152" s="189"/>
      <c r="F152" s="189"/>
      <c r="G152" s="190"/>
      <c r="H152" s="190"/>
      <c r="M152" s="190"/>
      <c r="V152" s="188"/>
      <c r="W152" s="188"/>
      <c r="Z152" s="425"/>
      <c r="AA152" s="767"/>
    </row>
    <row r="153" s="181" customFormat="1">
      <c r="A153" s="181" t="s">
        <v>87</v>
      </c>
      <c r="B153" s="1191"/>
      <c r="C153" s="188"/>
      <c r="D153" s="189"/>
      <c r="E153" s="189"/>
      <c r="F153" s="189"/>
      <c r="G153" s="190"/>
      <c r="H153" s="190"/>
      <c r="M153" s="190"/>
      <c r="V153" s="188"/>
      <c r="W153" s="188"/>
      <c r="Z153" s="425"/>
      <c r="AA153" s="767"/>
    </row>
    <row r="154" s="181" customFormat="1">
      <c r="A154" s="181" t="s">
        <v>87</v>
      </c>
      <c r="B154" s="1191"/>
      <c r="C154" s="188"/>
      <c r="D154" s="189"/>
      <c r="E154" s="189"/>
      <c r="F154" s="189"/>
      <c r="G154" s="190"/>
      <c r="H154" s="190"/>
      <c r="M154" s="190"/>
      <c r="V154" s="188"/>
      <c r="W154" s="188"/>
      <c r="Z154" s="425"/>
      <c r="AA154" s="767"/>
    </row>
    <row r="155" s="181" customFormat="1">
      <c r="A155" s="181" t="s">
        <v>87</v>
      </c>
      <c r="B155" s="1191"/>
      <c r="C155" s="188"/>
      <c r="D155" s="189"/>
      <c r="E155" s="189"/>
      <c r="F155" s="189"/>
      <c r="G155" s="190"/>
      <c r="H155" s="190"/>
      <c r="M155" s="190"/>
      <c r="V155" s="188"/>
      <c r="W155" s="188"/>
      <c r="Z155" s="425"/>
      <c r="AA155" s="767"/>
    </row>
    <row r="156" s="181" customFormat="1">
      <c r="A156" s="181" t="s">
        <v>87</v>
      </c>
      <c r="B156" s="1191"/>
      <c r="C156" s="188"/>
      <c r="D156" s="189"/>
      <c r="E156" s="189"/>
      <c r="F156" s="189"/>
      <c r="G156" s="190"/>
      <c r="H156" s="190"/>
      <c r="M156" s="190"/>
      <c r="V156" s="188"/>
      <c r="W156" s="188"/>
      <c r="Z156" s="425"/>
      <c r="AA156" s="767"/>
    </row>
    <row r="157" s="181" customFormat="1">
      <c r="A157" s="181" t="s">
        <v>87</v>
      </c>
      <c r="B157" s="1191"/>
      <c r="C157" s="188"/>
      <c r="D157" s="189"/>
      <c r="E157" s="189"/>
      <c r="F157" s="189"/>
      <c r="G157" s="190"/>
      <c r="H157" s="190"/>
      <c r="M157" s="190"/>
      <c r="V157" s="188"/>
      <c r="W157" s="188"/>
      <c r="Z157" s="425"/>
      <c r="AA157" s="767"/>
    </row>
    <row r="158" s="181" customFormat="1">
      <c r="A158" s="181" t="s">
        <v>87</v>
      </c>
      <c r="B158" s="1191"/>
      <c r="C158" s="188"/>
      <c r="D158" s="189"/>
      <c r="E158" s="189"/>
      <c r="F158" s="189"/>
      <c r="G158" s="190"/>
      <c r="H158" s="190"/>
      <c r="M158" s="190"/>
      <c r="V158" s="188"/>
      <c r="W158" s="188"/>
      <c r="Z158" s="425"/>
      <c r="AA158" s="767"/>
    </row>
    <row r="159" s="181" customFormat="1">
      <c r="A159" s="181" t="s">
        <v>87</v>
      </c>
      <c r="B159" s="1191"/>
      <c r="C159" s="188"/>
      <c r="D159" s="189"/>
      <c r="E159" s="189"/>
      <c r="F159" s="189"/>
      <c r="G159" s="190"/>
      <c r="H159" s="190"/>
      <c r="M159" s="190"/>
      <c r="V159" s="188"/>
      <c r="W159" s="188"/>
      <c r="Z159" s="425"/>
      <c r="AA159" s="767"/>
    </row>
    <row r="160" s="181" customFormat="1">
      <c r="A160" s="181" t="s">
        <v>87</v>
      </c>
      <c r="B160" s="1191"/>
      <c r="C160" s="188"/>
      <c r="D160" s="189"/>
      <c r="E160" s="189"/>
      <c r="F160" s="189"/>
      <c r="G160" s="190"/>
      <c r="H160" s="190"/>
      <c r="M160" s="190"/>
      <c r="V160" s="188"/>
      <c r="W160" s="188"/>
      <c r="Z160" s="425"/>
      <c r="AA160" s="767"/>
    </row>
    <row r="161" s="181" customFormat="1">
      <c r="A161" s="181" t="s">
        <v>87</v>
      </c>
      <c r="B161" s="1191"/>
      <c r="C161" s="188"/>
      <c r="D161" s="189"/>
      <c r="E161" s="189"/>
      <c r="F161" s="189"/>
      <c r="G161" s="190"/>
      <c r="H161" s="190"/>
      <c r="M161" s="190"/>
      <c r="V161" s="188"/>
      <c r="W161" s="188"/>
      <c r="Z161" s="425"/>
      <c r="AA161" s="767"/>
    </row>
    <row r="162" s="181" customFormat="1">
      <c r="A162" s="181" t="s">
        <v>87</v>
      </c>
      <c r="B162" s="1191"/>
      <c r="C162" s="188"/>
      <c r="D162" s="189"/>
      <c r="E162" s="189"/>
      <c r="F162" s="189"/>
      <c r="G162" s="190"/>
      <c r="H162" s="190"/>
      <c r="M162" s="190"/>
      <c r="V162" s="188"/>
      <c r="W162" s="188"/>
      <c r="Z162" s="425"/>
      <c r="AA162" s="767"/>
    </row>
    <row r="163" s="181" customFormat="1">
      <c r="A163" s="181" t="s">
        <v>87</v>
      </c>
      <c r="B163" s="1191"/>
      <c r="C163" s="188"/>
      <c r="D163" s="189"/>
      <c r="E163" s="189"/>
      <c r="F163" s="189"/>
      <c r="G163" s="190"/>
      <c r="H163" s="190"/>
      <c r="M163" s="190"/>
      <c r="V163" s="188"/>
      <c r="W163" s="188"/>
      <c r="Z163" s="425"/>
      <c r="AA163" s="767"/>
    </row>
    <row r="164" s="181" customFormat="1">
      <c r="A164" s="181" t="s">
        <v>87</v>
      </c>
      <c r="B164" s="1191"/>
      <c r="C164" s="188"/>
      <c r="D164" s="189"/>
      <c r="E164" s="189"/>
      <c r="F164" s="189"/>
      <c r="G164" s="190"/>
      <c r="H164" s="190"/>
      <c r="M164" s="190"/>
      <c r="V164" s="188"/>
      <c r="W164" s="188"/>
      <c r="Z164" s="425"/>
      <c r="AA164" s="767"/>
    </row>
    <row r="165" s="181" customFormat="1">
      <c r="A165" s="181" t="s">
        <v>87</v>
      </c>
      <c r="B165" s="1191"/>
      <c r="C165" s="188"/>
      <c r="D165" s="189"/>
      <c r="E165" s="189"/>
      <c r="F165" s="189"/>
      <c r="G165" s="190"/>
      <c r="H165" s="190"/>
      <c r="M165" s="190"/>
      <c r="V165" s="188"/>
      <c r="W165" s="188"/>
      <c r="Z165" s="425"/>
      <c r="AA165" s="767"/>
    </row>
    <row r="166" s="181" customFormat="1">
      <c r="A166" s="181" t="s">
        <v>87</v>
      </c>
      <c r="B166" s="1191"/>
      <c r="C166" s="188"/>
      <c r="D166" s="189"/>
      <c r="E166" s="189"/>
      <c r="F166" s="189"/>
      <c r="G166" s="190"/>
      <c r="H166" s="190"/>
      <c r="M166" s="190"/>
      <c r="V166" s="188"/>
      <c r="W166" s="188"/>
      <c r="Z166" s="425"/>
      <c r="AA166" s="767"/>
    </row>
    <row r="167" s="181" customFormat="1">
      <c r="A167" s="181" t="s">
        <v>87</v>
      </c>
      <c r="B167" s="1191"/>
      <c r="C167" s="188"/>
      <c r="D167" s="189"/>
      <c r="E167" s="189"/>
      <c r="F167" s="189"/>
      <c r="G167" s="190"/>
      <c r="H167" s="190"/>
      <c r="M167" s="190"/>
      <c r="V167" s="188"/>
      <c r="W167" s="188"/>
      <c r="Z167" s="425"/>
      <c r="AA167" s="767"/>
    </row>
    <row r="168" s="181" customFormat="1">
      <c r="A168" s="181" t="s">
        <v>87</v>
      </c>
      <c r="B168" s="1191"/>
      <c r="C168" s="188"/>
      <c r="D168" s="189"/>
      <c r="E168" s="189"/>
      <c r="F168" s="189"/>
      <c r="G168" s="190"/>
      <c r="H168" s="190"/>
      <c r="M168" s="190"/>
      <c r="V168" s="188"/>
      <c r="W168" s="188"/>
      <c r="Z168" s="425"/>
      <c r="AA168" s="767"/>
    </row>
    <row r="169" s="181" customFormat="1">
      <c r="A169" s="181" t="s">
        <v>87</v>
      </c>
      <c r="B169" s="1191"/>
      <c r="C169" s="188"/>
      <c r="D169" s="189"/>
      <c r="E169" s="189"/>
      <c r="F169" s="189"/>
      <c r="G169" s="190"/>
      <c r="H169" s="190"/>
      <c r="M169" s="190"/>
      <c r="V169" s="188"/>
      <c r="W169" s="188"/>
      <c r="Z169" s="425"/>
      <c r="AA169" s="767"/>
    </row>
    <row r="170" s="181" customFormat="1">
      <c r="A170" s="181" t="s">
        <v>87</v>
      </c>
      <c r="B170" s="1191"/>
      <c r="C170" s="188"/>
      <c r="D170" s="189"/>
      <c r="E170" s="189"/>
      <c r="F170" s="189"/>
      <c r="G170" s="190"/>
      <c r="H170" s="190"/>
      <c r="M170" s="190"/>
      <c r="V170" s="188"/>
      <c r="W170" s="188"/>
      <c r="Z170" s="425"/>
      <c r="AA170" s="767"/>
    </row>
    <row r="171" s="181" customFormat="1">
      <c r="A171" s="181" t="s">
        <v>87</v>
      </c>
      <c r="B171" s="1191"/>
      <c r="C171" s="188"/>
      <c r="D171" s="189"/>
      <c r="E171" s="189"/>
      <c r="F171" s="189"/>
      <c r="G171" s="190"/>
      <c r="H171" s="190"/>
      <c r="M171" s="190"/>
      <c r="V171" s="188"/>
      <c r="W171" s="188"/>
      <c r="Z171" s="425"/>
      <c r="AA171" s="767"/>
    </row>
    <row r="172" s="181" customFormat="1">
      <c r="A172" s="181" t="s">
        <v>87</v>
      </c>
      <c r="B172" s="1191"/>
      <c r="C172" s="188"/>
      <c r="D172" s="189"/>
      <c r="E172" s="189"/>
      <c r="F172" s="189"/>
      <c r="G172" s="190"/>
      <c r="H172" s="190"/>
      <c r="M172" s="190"/>
      <c r="V172" s="188"/>
      <c r="W172" s="188"/>
      <c r="Z172" s="425"/>
      <c r="AA172" s="767"/>
    </row>
    <row r="173" s="181" customFormat="1">
      <c r="A173" s="181" t="s">
        <v>87</v>
      </c>
      <c r="B173" s="1191"/>
      <c r="C173" s="188"/>
      <c r="D173" s="189"/>
      <c r="E173" s="189"/>
      <c r="F173" s="189"/>
      <c r="G173" s="190"/>
      <c r="H173" s="190"/>
      <c r="M173" s="190"/>
      <c r="V173" s="188"/>
      <c r="W173" s="188"/>
      <c r="Z173" s="425"/>
      <c r="AA173" s="767"/>
    </row>
    <row r="174" s="181" customFormat="1">
      <c r="A174" s="181" t="s">
        <v>87</v>
      </c>
      <c r="B174" s="1191"/>
      <c r="C174" s="188"/>
      <c r="D174" s="189"/>
      <c r="E174" s="189"/>
      <c r="F174" s="189"/>
      <c r="G174" s="190"/>
      <c r="H174" s="190"/>
      <c r="M174" s="190"/>
      <c r="V174" s="188"/>
      <c r="W174" s="188"/>
      <c r="Z174" s="425"/>
      <c r="AA174" s="767"/>
    </row>
    <row r="175" s="181" customFormat="1">
      <c r="A175" s="181" t="s">
        <v>87</v>
      </c>
      <c r="B175" s="1191"/>
      <c r="C175" s="188"/>
      <c r="D175" s="189"/>
      <c r="E175" s="189"/>
      <c r="F175" s="189"/>
      <c r="G175" s="190"/>
      <c r="H175" s="190"/>
      <c r="M175" s="190"/>
      <c r="V175" s="188"/>
      <c r="W175" s="188"/>
      <c r="Z175" s="425"/>
      <c r="AA175" s="767"/>
    </row>
    <row r="176" s="181" customFormat="1">
      <c r="A176" s="181" t="s">
        <v>87</v>
      </c>
      <c r="B176" s="1191"/>
      <c r="C176" s="188"/>
      <c r="D176" s="189"/>
      <c r="E176" s="189"/>
      <c r="F176" s="189"/>
      <c r="G176" s="190"/>
      <c r="H176" s="190"/>
      <c r="M176" s="190"/>
      <c r="V176" s="188"/>
      <c r="W176" s="188"/>
      <c r="Z176" s="425"/>
      <c r="AA176" s="767"/>
    </row>
    <row r="177" s="181" customFormat="1">
      <c r="A177" s="181" t="s">
        <v>87</v>
      </c>
      <c r="B177" s="1191"/>
      <c r="C177" s="188"/>
      <c r="D177" s="189"/>
      <c r="E177" s="189"/>
      <c r="F177" s="189"/>
      <c r="G177" s="190"/>
      <c r="H177" s="190"/>
      <c r="M177" s="190"/>
      <c r="V177" s="188"/>
      <c r="W177" s="188"/>
      <c r="Z177" s="425"/>
      <c r="AA177" s="767"/>
    </row>
    <row r="178" s="181" customFormat="1">
      <c r="A178" s="181" t="s">
        <v>87</v>
      </c>
      <c r="B178" s="1191"/>
      <c r="C178" s="188"/>
      <c r="D178" s="189"/>
      <c r="E178" s="189"/>
      <c r="F178" s="189"/>
      <c r="G178" s="190"/>
      <c r="H178" s="190"/>
      <c r="M178" s="190"/>
      <c r="V178" s="188"/>
      <c r="W178" s="188"/>
      <c r="Z178" s="425"/>
      <c r="AA178" s="767"/>
    </row>
    <row r="179" s="181" customFormat="1">
      <c r="A179" s="181" t="s">
        <v>87</v>
      </c>
      <c r="B179" s="1191"/>
      <c r="C179" s="188"/>
      <c r="D179" s="189"/>
      <c r="E179" s="189"/>
      <c r="F179" s="189"/>
      <c r="G179" s="190"/>
      <c r="H179" s="190"/>
      <c r="M179" s="190"/>
      <c r="V179" s="188"/>
      <c r="W179" s="188"/>
      <c r="Z179" s="425"/>
      <c r="AA179" s="767"/>
    </row>
    <row r="180" s="181" customFormat="1">
      <c r="A180" s="181" t="s">
        <v>87</v>
      </c>
      <c r="B180" s="1191"/>
      <c r="C180" s="188"/>
      <c r="D180" s="189"/>
      <c r="E180" s="189"/>
      <c r="F180" s="189"/>
      <c r="G180" s="190"/>
      <c r="H180" s="190"/>
      <c r="M180" s="190"/>
      <c r="V180" s="188"/>
      <c r="W180" s="188"/>
      <c r="Z180" s="425"/>
      <c r="AA180" s="767"/>
    </row>
    <row r="181" s="181" customFormat="1">
      <c r="A181" s="181" t="s">
        <v>87</v>
      </c>
      <c r="B181" s="1191"/>
      <c r="C181" s="188"/>
      <c r="D181" s="189"/>
      <c r="E181" s="189"/>
      <c r="F181" s="189"/>
      <c r="G181" s="190"/>
      <c r="H181" s="190"/>
      <c r="M181" s="190"/>
      <c r="V181" s="188"/>
      <c r="W181" s="188"/>
      <c r="Z181" s="425"/>
      <c r="AA181" s="767"/>
    </row>
    <row r="182" s="181" customFormat="1">
      <c r="A182" s="181" t="s">
        <v>87</v>
      </c>
      <c r="B182" s="1191"/>
      <c r="C182" s="188"/>
      <c r="D182" s="189"/>
      <c r="E182" s="189"/>
      <c r="F182" s="189"/>
      <c r="G182" s="190"/>
      <c r="H182" s="190"/>
      <c r="M182" s="190"/>
      <c r="V182" s="188"/>
      <c r="W182" s="188"/>
      <c r="Z182" s="425"/>
      <c r="AA182" s="767"/>
    </row>
    <row r="183" s="181" customFormat="1">
      <c r="A183" s="181" t="s">
        <v>87</v>
      </c>
      <c r="B183" s="1191"/>
      <c r="C183" s="188"/>
      <c r="D183" s="189"/>
      <c r="E183" s="189"/>
      <c r="F183" s="189"/>
      <c r="G183" s="190"/>
      <c r="H183" s="190"/>
      <c r="M183" s="190"/>
      <c r="V183" s="188"/>
      <c r="W183" s="188"/>
      <c r="Z183" s="425"/>
      <c r="AA183" s="767"/>
    </row>
    <row r="184" s="181" customFormat="1">
      <c r="A184" s="181" t="s">
        <v>87</v>
      </c>
      <c r="B184" s="1191"/>
      <c r="C184" s="188"/>
      <c r="D184" s="189"/>
      <c r="E184" s="189"/>
      <c r="F184" s="189"/>
      <c r="G184" s="190"/>
      <c r="H184" s="190"/>
      <c r="M184" s="190"/>
      <c r="V184" s="188"/>
      <c r="W184" s="188"/>
      <c r="Z184" s="425"/>
      <c r="AA184" s="767"/>
    </row>
    <row r="185" s="181" customFormat="1">
      <c r="A185" s="181" t="s">
        <v>87</v>
      </c>
      <c r="B185" s="1191"/>
      <c r="C185" s="188"/>
      <c r="D185" s="189"/>
      <c r="E185" s="189"/>
      <c r="F185" s="189"/>
      <c r="G185" s="190"/>
      <c r="H185" s="190"/>
      <c r="M185" s="190"/>
      <c r="V185" s="188"/>
      <c r="W185" s="188"/>
      <c r="Z185" s="425"/>
      <c r="AA185" s="767"/>
    </row>
    <row r="186" s="181" customFormat="1">
      <c r="A186" s="181" t="s">
        <v>87</v>
      </c>
      <c r="B186" s="1191"/>
      <c r="C186" s="188"/>
      <c r="D186" s="189"/>
      <c r="E186" s="189"/>
      <c r="F186" s="189"/>
      <c r="G186" s="190"/>
      <c r="H186" s="190"/>
      <c r="M186" s="190"/>
      <c r="V186" s="188"/>
      <c r="W186" s="188"/>
      <c r="Z186" s="425"/>
      <c r="AA186" s="767"/>
    </row>
    <row r="187" s="181" customFormat="1">
      <c r="A187" s="181" t="s">
        <v>87</v>
      </c>
      <c r="B187" s="1191"/>
      <c r="C187" s="188"/>
      <c r="D187" s="189"/>
      <c r="E187" s="189"/>
      <c r="F187" s="189"/>
      <c r="G187" s="190"/>
      <c r="H187" s="190"/>
      <c r="M187" s="190"/>
      <c r="V187" s="188"/>
      <c r="W187" s="188"/>
      <c r="Z187" s="425"/>
      <c r="AA187" s="767"/>
    </row>
    <row r="188" s="181" customFormat="1">
      <c r="A188" s="181" t="s">
        <v>87</v>
      </c>
      <c r="B188" s="1191"/>
      <c r="C188" s="188"/>
      <c r="D188" s="189"/>
      <c r="E188" s="189"/>
      <c r="F188" s="189"/>
      <c r="G188" s="190"/>
      <c r="H188" s="190"/>
      <c r="M188" s="190"/>
      <c r="V188" s="188"/>
      <c r="W188" s="188"/>
      <c r="Z188" s="425"/>
      <c r="AA188" s="767"/>
    </row>
    <row r="189" s="181" customFormat="1">
      <c r="A189" s="181" t="s">
        <v>87</v>
      </c>
      <c r="B189" s="1191"/>
      <c r="C189" s="188"/>
      <c r="D189" s="189"/>
      <c r="E189" s="189"/>
      <c r="F189" s="189"/>
      <c r="G189" s="190"/>
      <c r="H189" s="190"/>
      <c r="M189" s="190"/>
      <c r="V189" s="188"/>
      <c r="W189" s="188"/>
      <c r="Z189" s="425"/>
      <c r="AA189" s="767"/>
    </row>
    <row r="190" s="181" customFormat="1">
      <c r="A190" s="181" t="s">
        <v>87</v>
      </c>
      <c r="B190" s="1191"/>
      <c r="C190" s="188"/>
      <c r="D190" s="189"/>
      <c r="E190" s="189"/>
      <c r="F190" s="189"/>
      <c r="G190" s="190"/>
      <c r="H190" s="190"/>
      <c r="M190" s="190"/>
      <c r="V190" s="188"/>
      <c r="W190" s="188"/>
      <c r="Z190" s="425"/>
      <c r="AA190" s="767"/>
    </row>
    <row r="191" s="181" customFormat="1">
      <c r="A191" s="181" t="s">
        <v>87</v>
      </c>
      <c r="B191" s="1191"/>
      <c r="C191" s="188"/>
      <c r="D191" s="189"/>
      <c r="E191" s="189"/>
      <c r="F191" s="189"/>
      <c r="G191" s="190"/>
      <c r="H191" s="190"/>
      <c r="M191" s="190"/>
      <c r="V191" s="188"/>
      <c r="W191" s="188"/>
      <c r="Z191" s="425"/>
      <c r="AA191" s="767"/>
    </row>
    <row r="192" s="181" customFormat="1">
      <c r="A192" s="181" t="s">
        <v>87</v>
      </c>
      <c r="B192" s="1191"/>
      <c r="C192" s="188"/>
      <c r="D192" s="189"/>
      <c r="E192" s="189"/>
      <c r="F192" s="189"/>
      <c r="G192" s="190"/>
      <c r="H192" s="190"/>
      <c r="M192" s="190"/>
      <c r="V192" s="188"/>
      <c r="W192" s="188"/>
      <c r="Z192" s="425"/>
      <c r="AA192" s="767"/>
    </row>
    <row r="193" s="181" customFormat="1">
      <c r="A193" s="181" t="s">
        <v>87</v>
      </c>
      <c r="B193" s="1191"/>
      <c r="C193" s="188"/>
      <c r="D193" s="189"/>
      <c r="E193" s="189"/>
      <c r="F193" s="189"/>
      <c r="G193" s="190"/>
      <c r="H193" s="190"/>
      <c r="M193" s="190"/>
      <c r="V193" s="188"/>
      <c r="W193" s="188"/>
      <c r="Z193" s="425"/>
      <c r="AA193" s="767"/>
    </row>
    <row r="194" s="181" customFormat="1">
      <c r="A194" s="181" t="s">
        <v>87</v>
      </c>
      <c r="B194" s="1191"/>
      <c r="C194" s="188"/>
      <c r="D194" s="189"/>
      <c r="E194" s="189"/>
      <c r="F194" s="189"/>
      <c r="G194" s="190"/>
      <c r="H194" s="190"/>
      <c r="M194" s="190"/>
      <c r="V194" s="188"/>
      <c r="W194" s="188"/>
      <c r="Z194" s="425"/>
      <c r="AA194" s="767"/>
    </row>
    <row r="195" s="181" customFormat="1">
      <c r="A195" s="181" t="s">
        <v>87</v>
      </c>
      <c r="B195" s="1191"/>
      <c r="C195" s="188"/>
      <c r="D195" s="189"/>
      <c r="E195" s="189"/>
      <c r="F195" s="189"/>
      <c r="G195" s="190"/>
      <c r="H195" s="190"/>
      <c r="M195" s="190"/>
      <c r="V195" s="188"/>
      <c r="W195" s="188"/>
      <c r="Z195" s="425"/>
      <c r="AA195" s="767"/>
    </row>
    <row r="196" s="181" customFormat="1">
      <c r="A196" s="181" t="s">
        <v>87</v>
      </c>
      <c r="B196" s="1191"/>
      <c r="C196" s="188"/>
      <c r="D196" s="189"/>
      <c r="E196" s="189"/>
      <c r="F196" s="189"/>
      <c r="G196" s="190"/>
      <c r="H196" s="190"/>
      <c r="M196" s="190"/>
      <c r="V196" s="188"/>
      <c r="W196" s="188"/>
      <c r="Z196" s="425"/>
      <c r="AA196" s="767"/>
    </row>
    <row r="197" s="181" customFormat="1">
      <c r="A197" s="181" t="s">
        <v>87</v>
      </c>
      <c r="B197" s="1191"/>
      <c r="C197" s="188"/>
      <c r="D197" s="189"/>
      <c r="E197" s="189"/>
      <c r="F197" s="189"/>
      <c r="G197" s="190"/>
      <c r="H197" s="190"/>
      <c r="M197" s="190"/>
      <c r="V197" s="188"/>
      <c r="W197" s="188"/>
      <c r="Z197" s="425"/>
      <c r="AA197" s="767"/>
    </row>
    <row r="198" s="181" customFormat="1">
      <c r="A198" s="181" t="s">
        <v>87</v>
      </c>
      <c r="B198" s="1191"/>
      <c r="C198" s="188"/>
      <c r="D198" s="189"/>
      <c r="E198" s="189"/>
      <c r="F198" s="189"/>
      <c r="G198" s="190"/>
      <c r="H198" s="190"/>
      <c r="M198" s="190"/>
      <c r="V198" s="188"/>
      <c r="W198" s="188"/>
      <c r="Z198" s="425"/>
      <c r="AA198" s="767"/>
    </row>
    <row r="199" s="181" customFormat="1">
      <c r="A199" s="181" t="s">
        <v>87</v>
      </c>
      <c r="B199" s="1191"/>
      <c r="C199" s="188"/>
      <c r="D199" s="189"/>
      <c r="E199" s="189"/>
      <c r="F199" s="189"/>
      <c r="G199" s="190"/>
      <c r="H199" s="190"/>
      <c r="M199" s="190"/>
      <c r="V199" s="188"/>
      <c r="W199" s="188"/>
      <c r="Z199" s="425"/>
      <c r="AA199" s="767"/>
    </row>
    <row r="200" s="181" customFormat="1">
      <c r="A200" s="181" t="s">
        <v>87</v>
      </c>
      <c r="B200" s="1191"/>
      <c r="C200" s="188"/>
      <c r="D200" s="189"/>
      <c r="E200" s="189"/>
      <c r="F200" s="189"/>
      <c r="G200" s="190"/>
      <c r="H200" s="190"/>
      <c r="M200" s="190"/>
      <c r="V200" s="188"/>
      <c r="W200" s="188"/>
      <c r="Z200" s="425"/>
      <c r="AA200" s="767"/>
    </row>
    <row r="201" s="181" customFormat="1">
      <c r="A201" s="181" t="s">
        <v>87</v>
      </c>
      <c r="B201" s="1191"/>
      <c r="C201" s="188"/>
      <c r="D201" s="189"/>
      <c r="E201" s="189"/>
      <c r="F201" s="189"/>
      <c r="G201" s="190"/>
      <c r="H201" s="190"/>
      <c r="M201" s="190"/>
      <c r="V201" s="188"/>
      <c r="W201" s="188"/>
      <c r="Z201" s="425"/>
      <c r="AA201" s="767"/>
    </row>
    <row r="202" s="181" customFormat="1">
      <c r="A202" s="181" t="s">
        <v>87</v>
      </c>
      <c r="B202" s="1191"/>
      <c r="C202" s="188"/>
      <c r="D202" s="189"/>
      <c r="E202" s="189"/>
      <c r="F202" s="189"/>
      <c r="G202" s="190"/>
      <c r="H202" s="190"/>
      <c r="M202" s="190"/>
      <c r="V202" s="188"/>
      <c r="W202" s="188"/>
      <c r="Z202" s="425"/>
      <c r="AA202" s="767"/>
    </row>
    <row r="203" s="181" customFormat="1">
      <c r="A203" s="181" t="s">
        <v>87</v>
      </c>
      <c r="B203" s="1191"/>
      <c r="C203" s="188"/>
      <c r="D203" s="189"/>
      <c r="E203" s="189"/>
      <c r="F203" s="189"/>
      <c r="G203" s="190"/>
      <c r="H203" s="190"/>
      <c r="M203" s="190"/>
      <c r="V203" s="188"/>
      <c r="W203" s="188"/>
      <c r="Z203" s="425"/>
      <c r="AA203" s="767"/>
    </row>
    <row r="204" s="181" customFormat="1">
      <c r="A204" s="181" t="s">
        <v>87</v>
      </c>
      <c r="B204" s="1191"/>
      <c r="C204" s="188"/>
      <c r="D204" s="189"/>
      <c r="E204" s="189"/>
      <c r="F204" s="189"/>
      <c r="G204" s="190"/>
      <c r="H204" s="190"/>
      <c r="M204" s="190"/>
      <c r="V204" s="188"/>
      <c r="W204" s="188"/>
      <c r="Z204" s="425"/>
      <c r="AA204" s="767"/>
    </row>
    <row r="205" s="181" customFormat="1">
      <c r="A205" s="181" t="s">
        <v>87</v>
      </c>
      <c r="B205" s="1191"/>
      <c r="C205" s="188"/>
      <c r="D205" s="189"/>
      <c r="E205" s="189"/>
      <c r="F205" s="189"/>
      <c r="G205" s="190"/>
      <c r="H205" s="190"/>
      <c r="M205" s="190"/>
      <c r="V205" s="188"/>
      <c r="W205" s="188"/>
      <c r="Z205" s="425"/>
      <c r="AA205" s="767"/>
    </row>
    <row r="206" s="181" customFormat="1">
      <c r="A206" s="181" t="s">
        <v>87</v>
      </c>
      <c r="B206" s="1191"/>
      <c r="C206" s="188"/>
      <c r="D206" s="189"/>
      <c r="E206" s="189"/>
      <c r="F206" s="189"/>
      <c r="G206" s="190"/>
      <c r="H206" s="190"/>
      <c r="M206" s="190"/>
      <c r="V206" s="188"/>
      <c r="W206" s="188"/>
      <c r="Z206" s="425"/>
      <c r="AA206" s="767"/>
    </row>
    <row r="207" s="181" customFormat="1">
      <c r="A207" s="181" t="s">
        <v>87</v>
      </c>
      <c r="B207" s="1191"/>
      <c r="C207" s="188"/>
      <c r="D207" s="189"/>
      <c r="E207" s="189"/>
      <c r="F207" s="189"/>
      <c r="G207" s="190"/>
      <c r="H207" s="190"/>
      <c r="M207" s="190"/>
      <c r="V207" s="188"/>
      <c r="W207" s="188"/>
      <c r="Z207" s="425"/>
      <c r="AA207" s="767"/>
    </row>
    <row r="208" s="181" customFormat="1">
      <c r="A208" s="181" t="s">
        <v>87</v>
      </c>
      <c r="B208" s="1191"/>
      <c r="C208" s="188"/>
      <c r="D208" s="189"/>
      <c r="E208" s="189"/>
      <c r="F208" s="189"/>
      <c r="G208" s="190"/>
      <c r="H208" s="190"/>
      <c r="M208" s="190"/>
      <c r="V208" s="188"/>
      <c r="W208" s="188"/>
      <c r="Z208" s="425"/>
      <c r="AA208" s="767"/>
    </row>
    <row r="209" s="181" customFormat="1">
      <c r="A209" s="181" t="s">
        <v>87</v>
      </c>
      <c r="B209" s="1191"/>
      <c r="C209" s="188"/>
      <c r="D209" s="189"/>
      <c r="E209" s="189"/>
      <c r="F209" s="189"/>
      <c r="G209" s="190"/>
      <c r="H209" s="190"/>
      <c r="M209" s="190"/>
      <c r="V209" s="188"/>
      <c r="W209" s="188"/>
      <c r="Z209" s="425"/>
      <c r="AA209" s="767"/>
    </row>
    <row r="210" s="181" customFormat="1">
      <c r="A210" s="181" t="s">
        <v>87</v>
      </c>
      <c r="B210" s="1191"/>
      <c r="C210" s="188"/>
      <c r="D210" s="189"/>
      <c r="E210" s="189"/>
      <c r="F210" s="189"/>
      <c r="G210" s="190"/>
      <c r="H210" s="190"/>
      <c r="M210" s="190"/>
      <c r="V210" s="188"/>
      <c r="W210" s="188"/>
      <c r="Z210" s="425"/>
      <c r="AA210" s="767"/>
    </row>
    <row r="211" s="181" customFormat="1">
      <c r="A211" s="181" t="s">
        <v>87</v>
      </c>
      <c r="B211" s="1191"/>
      <c r="C211" s="188"/>
      <c r="D211" s="189"/>
      <c r="E211" s="189"/>
      <c r="F211" s="189"/>
      <c r="G211" s="190"/>
      <c r="H211" s="190"/>
      <c r="M211" s="190"/>
      <c r="V211" s="188"/>
      <c r="W211" s="188"/>
      <c r="Z211" s="425"/>
      <c r="AA211" s="767"/>
    </row>
    <row r="212" s="181" customFormat="1">
      <c r="A212" s="181" t="s">
        <v>87</v>
      </c>
      <c r="B212" s="1191"/>
      <c r="C212" s="188"/>
      <c r="D212" s="189"/>
      <c r="E212" s="189"/>
      <c r="F212" s="189"/>
      <c r="G212" s="190"/>
      <c r="H212" s="190"/>
      <c r="M212" s="190"/>
      <c r="V212" s="188"/>
      <c r="W212" s="188"/>
      <c r="Z212" s="425"/>
      <c r="AA212" s="767"/>
    </row>
    <row r="213" s="181" customFormat="1">
      <c r="A213" s="181" t="s">
        <v>87</v>
      </c>
      <c r="B213" s="1191"/>
      <c r="C213" s="188"/>
      <c r="D213" s="189"/>
      <c r="E213" s="189"/>
      <c r="F213" s="189"/>
      <c r="G213" s="190"/>
      <c r="H213" s="190"/>
      <c r="M213" s="190"/>
      <c r="V213" s="188"/>
      <c r="W213" s="188"/>
      <c r="Z213" s="425"/>
      <c r="AA213" s="767"/>
    </row>
    <row r="214" s="181" customFormat="1">
      <c r="A214" s="181" t="s">
        <v>87</v>
      </c>
      <c r="B214" s="1191"/>
      <c r="C214" s="188"/>
      <c r="D214" s="189"/>
      <c r="E214" s="189"/>
      <c r="F214" s="189"/>
      <c r="G214" s="190"/>
      <c r="H214" s="190"/>
      <c r="M214" s="190"/>
      <c r="V214" s="188"/>
      <c r="W214" s="188"/>
      <c r="Z214" s="425"/>
      <c r="AA214" s="767"/>
    </row>
    <row r="215" s="181" customFormat="1">
      <c r="A215" s="181" t="s">
        <v>87</v>
      </c>
      <c r="B215" s="1191"/>
      <c r="C215" s="188"/>
      <c r="D215" s="189"/>
      <c r="E215" s="189"/>
      <c r="F215" s="189"/>
      <c r="G215" s="190"/>
      <c r="H215" s="190"/>
      <c r="M215" s="190"/>
      <c r="V215" s="188"/>
      <c r="W215" s="188"/>
      <c r="Z215" s="425"/>
      <c r="AA215" s="767"/>
    </row>
    <row r="216" s="181" customFormat="1">
      <c r="A216" s="181" t="s">
        <v>87</v>
      </c>
      <c r="B216" s="1191"/>
      <c r="C216" s="188"/>
      <c r="D216" s="189"/>
      <c r="E216" s="189"/>
      <c r="F216" s="189"/>
      <c r="G216" s="190"/>
      <c r="H216" s="190"/>
      <c r="M216" s="190"/>
      <c r="V216" s="188"/>
      <c r="W216" s="188"/>
      <c r="Z216" s="425"/>
      <c r="AA216" s="767"/>
    </row>
    <row r="217" s="181" customFormat="1">
      <c r="A217" s="181" t="s">
        <v>87</v>
      </c>
      <c r="B217" s="1191"/>
      <c r="C217" s="188"/>
      <c r="D217" s="189"/>
      <c r="E217" s="189"/>
      <c r="F217" s="189"/>
      <c r="G217" s="190"/>
      <c r="H217" s="190"/>
      <c r="M217" s="190"/>
      <c r="V217" s="188"/>
      <c r="W217" s="188"/>
      <c r="Z217" s="425"/>
      <c r="AA217" s="767"/>
    </row>
    <row r="218" s="181" customFormat="1">
      <c r="A218" s="181" t="s">
        <v>87</v>
      </c>
      <c r="B218" s="1191"/>
      <c r="C218" s="188"/>
      <c r="D218" s="189"/>
      <c r="E218" s="189"/>
      <c r="F218" s="189"/>
      <c r="G218" s="190"/>
      <c r="H218" s="190"/>
      <c r="M218" s="190"/>
      <c r="V218" s="188"/>
      <c r="W218" s="188"/>
      <c r="Z218" s="425"/>
      <c r="AA218" s="767"/>
    </row>
    <row r="219" s="181" customFormat="1">
      <c r="A219" s="181" t="s">
        <v>87</v>
      </c>
      <c r="B219" s="1191"/>
      <c r="C219" s="188"/>
      <c r="D219" s="189"/>
      <c r="E219" s="189"/>
      <c r="F219" s="189"/>
      <c r="G219" s="190"/>
      <c r="H219" s="190"/>
      <c r="M219" s="190"/>
      <c r="V219" s="188"/>
      <c r="W219" s="188"/>
      <c r="Z219" s="425"/>
      <c r="AA219" s="767"/>
    </row>
    <row r="220" s="181" customFormat="1">
      <c r="A220" s="181" t="s">
        <v>87</v>
      </c>
      <c r="B220" s="1191"/>
      <c r="C220" s="188"/>
      <c r="D220" s="189"/>
      <c r="E220" s="189"/>
      <c r="F220" s="189"/>
      <c r="G220" s="190"/>
      <c r="H220" s="190"/>
      <c r="M220" s="190"/>
      <c r="V220" s="188"/>
      <c r="W220" s="188"/>
      <c r="Z220" s="425"/>
      <c r="AA220" s="767"/>
    </row>
    <row r="221" s="181" customFormat="1">
      <c r="A221" s="181" t="s">
        <v>87</v>
      </c>
      <c r="B221" s="1191"/>
      <c r="C221" s="188"/>
      <c r="D221" s="189"/>
      <c r="E221" s="189"/>
      <c r="F221" s="189"/>
      <c r="G221" s="190"/>
      <c r="H221" s="190"/>
      <c r="M221" s="190"/>
      <c r="V221" s="188"/>
      <c r="W221" s="188"/>
      <c r="Z221" s="425"/>
      <c r="AA221" s="767"/>
    </row>
    <row r="222" s="181" customFormat="1">
      <c r="A222" s="181" t="s">
        <v>87</v>
      </c>
      <c r="B222" s="1191"/>
      <c r="C222" s="188"/>
      <c r="D222" s="189"/>
      <c r="E222" s="189"/>
      <c r="F222" s="189"/>
      <c r="G222" s="190"/>
      <c r="H222" s="190"/>
      <c r="M222" s="190"/>
      <c r="V222" s="188"/>
      <c r="W222" s="188"/>
      <c r="Z222" s="425"/>
      <c r="AA222" s="767"/>
    </row>
    <row r="223" s="181" customFormat="1">
      <c r="A223" s="181" t="s">
        <v>87</v>
      </c>
      <c r="B223" s="1191"/>
      <c r="C223" s="188"/>
      <c r="D223" s="189"/>
      <c r="E223" s="189"/>
      <c r="F223" s="189"/>
      <c r="G223" s="190"/>
      <c r="H223" s="190"/>
      <c r="M223" s="190"/>
      <c r="V223" s="188"/>
      <c r="W223" s="188"/>
      <c r="Z223" s="425"/>
      <c r="AA223" s="767"/>
    </row>
    <row r="224" s="181" customFormat="1">
      <c r="A224" s="181" t="s">
        <v>87</v>
      </c>
      <c r="B224" s="1191"/>
      <c r="C224" s="188"/>
      <c r="D224" s="189"/>
      <c r="E224" s="189"/>
      <c r="F224" s="189"/>
      <c r="G224" s="190"/>
      <c r="H224" s="190"/>
      <c r="M224" s="190"/>
      <c r="V224" s="188"/>
      <c r="W224" s="188"/>
      <c r="Z224" s="425"/>
      <c r="AA224" s="767"/>
    </row>
    <row r="225" s="181" customFormat="1">
      <c r="A225" s="181" t="s">
        <v>87</v>
      </c>
      <c r="B225" s="1191"/>
      <c r="C225" s="188"/>
      <c r="D225" s="189"/>
      <c r="E225" s="189"/>
      <c r="F225" s="189"/>
      <c r="G225" s="190"/>
      <c r="H225" s="190"/>
      <c r="M225" s="190"/>
      <c r="V225" s="188"/>
      <c r="W225" s="188"/>
      <c r="Z225" s="425"/>
      <c r="AA225" s="767"/>
    </row>
    <row r="226" s="181" customFormat="1">
      <c r="A226" s="181" t="s">
        <v>87</v>
      </c>
      <c r="B226" s="1191"/>
      <c r="C226" s="188"/>
      <c r="D226" s="189"/>
      <c r="E226" s="189"/>
      <c r="F226" s="189"/>
      <c r="G226" s="190"/>
      <c r="H226" s="190"/>
      <c r="M226" s="190"/>
      <c r="V226" s="188"/>
      <c r="W226" s="188"/>
      <c r="Z226" s="425"/>
      <c r="AA226" s="767"/>
    </row>
    <row r="227" s="181" customFormat="1">
      <c r="A227" s="181" t="s">
        <v>87</v>
      </c>
      <c r="B227" s="1191"/>
      <c r="C227" s="188"/>
      <c r="D227" s="189"/>
      <c r="E227" s="189"/>
      <c r="F227" s="189"/>
      <c r="G227" s="190"/>
      <c r="H227" s="190"/>
      <c r="M227" s="190"/>
      <c r="V227" s="188"/>
      <c r="W227" s="188"/>
      <c r="Z227" s="425"/>
      <c r="AA227" s="767"/>
    </row>
    <row r="228" s="181" customFormat="1">
      <c r="A228" s="181" t="s">
        <v>87</v>
      </c>
      <c r="B228" s="1191"/>
      <c r="C228" s="188"/>
      <c r="D228" s="189"/>
      <c r="E228" s="189"/>
      <c r="F228" s="189"/>
      <c r="G228" s="190"/>
      <c r="H228" s="190"/>
      <c r="M228" s="190"/>
      <c r="V228" s="188"/>
      <c r="W228" s="188"/>
      <c r="Z228" s="425"/>
      <c r="AA228" s="767"/>
    </row>
    <row r="229" s="181" customFormat="1">
      <c r="A229" s="181" t="s">
        <v>87</v>
      </c>
      <c r="B229" s="1191"/>
      <c r="C229" s="188"/>
      <c r="D229" s="189"/>
      <c r="E229" s="189"/>
      <c r="F229" s="189"/>
      <c r="G229" s="190"/>
      <c r="H229" s="190"/>
      <c r="M229" s="190"/>
      <c r="V229" s="188"/>
      <c r="W229" s="188"/>
      <c r="Z229" s="425"/>
      <c r="AA229" s="767"/>
    </row>
    <row r="230" s="181" customFormat="1">
      <c r="A230" s="181" t="s">
        <v>87</v>
      </c>
      <c r="B230" s="1191"/>
      <c r="C230" s="188"/>
      <c r="D230" s="189"/>
      <c r="E230" s="189"/>
      <c r="F230" s="189"/>
      <c r="G230" s="190"/>
      <c r="H230" s="190"/>
      <c r="M230" s="190"/>
      <c r="V230" s="188"/>
      <c r="W230" s="188"/>
      <c r="Z230" s="425"/>
      <c r="AA230" s="767"/>
    </row>
    <row r="231" s="181" customFormat="1">
      <c r="A231" s="181" t="s">
        <v>87</v>
      </c>
      <c r="B231" s="1191"/>
      <c r="C231" s="188"/>
      <c r="D231" s="189"/>
      <c r="E231" s="189"/>
      <c r="F231" s="189"/>
      <c r="G231" s="190"/>
      <c r="H231" s="190"/>
      <c r="M231" s="190"/>
      <c r="V231" s="188"/>
      <c r="W231" s="188"/>
      <c r="Z231" s="425"/>
      <c r="AA231" s="767"/>
    </row>
    <row r="232" s="181" customFormat="1">
      <c r="A232" s="181" t="s">
        <v>87</v>
      </c>
      <c r="B232" s="1191"/>
      <c r="C232" s="188"/>
      <c r="D232" s="189"/>
      <c r="E232" s="189"/>
      <c r="F232" s="189"/>
      <c r="G232" s="190"/>
      <c r="H232" s="190"/>
      <c r="M232" s="190"/>
      <c r="V232" s="188"/>
      <c r="W232" s="188"/>
      <c r="Z232" s="425"/>
      <c r="AA232" s="767"/>
    </row>
    <row r="233" s="181" customFormat="1">
      <c r="A233" s="181" t="s">
        <v>87</v>
      </c>
      <c r="B233" s="1191"/>
      <c r="C233" s="188"/>
      <c r="D233" s="189"/>
      <c r="E233" s="189"/>
      <c r="F233" s="189"/>
      <c r="G233" s="190"/>
      <c r="H233" s="190"/>
      <c r="M233" s="190"/>
      <c r="V233" s="188"/>
      <c r="W233" s="188"/>
      <c r="Z233" s="425"/>
      <c r="AA233" s="767"/>
    </row>
    <row r="234" s="181" customFormat="1">
      <c r="A234" s="181" t="s">
        <v>87</v>
      </c>
      <c r="B234" s="1191"/>
      <c r="C234" s="188"/>
      <c r="D234" s="189"/>
      <c r="E234" s="189"/>
      <c r="F234" s="189"/>
      <c r="G234" s="190"/>
      <c r="H234" s="190"/>
      <c r="M234" s="190"/>
      <c r="V234" s="188"/>
      <c r="W234" s="188"/>
      <c r="Z234" s="425"/>
      <c r="AA234" s="767"/>
    </row>
    <row r="235" s="181" customFormat="1">
      <c r="A235" s="181" t="s">
        <v>87</v>
      </c>
      <c r="B235" s="1191"/>
      <c r="C235" s="188"/>
      <c r="D235" s="189"/>
      <c r="E235" s="189"/>
      <c r="F235" s="189"/>
      <c r="G235" s="190"/>
      <c r="H235" s="190"/>
      <c r="M235" s="190"/>
      <c r="V235" s="188"/>
      <c r="W235" s="188"/>
      <c r="Z235" s="425"/>
      <c r="AA235" s="767"/>
    </row>
    <row r="236" s="181" customFormat="1">
      <c r="A236" s="181" t="s">
        <v>87</v>
      </c>
      <c r="B236" s="1191"/>
      <c r="C236" s="188"/>
      <c r="D236" s="189"/>
      <c r="E236" s="189"/>
      <c r="F236" s="189"/>
      <c r="G236" s="190"/>
      <c r="H236" s="190"/>
      <c r="M236" s="190"/>
      <c r="V236" s="188"/>
      <c r="W236" s="188"/>
      <c r="Z236" s="425"/>
      <c r="AA236" s="767"/>
    </row>
    <row r="237" s="181" customFormat="1">
      <c r="A237" s="181" t="s">
        <v>87</v>
      </c>
      <c r="B237" s="1191"/>
      <c r="C237" s="188"/>
      <c r="D237" s="189"/>
      <c r="E237" s="189"/>
      <c r="F237" s="189"/>
      <c r="G237" s="190"/>
      <c r="H237" s="190"/>
      <c r="M237" s="190"/>
      <c r="V237" s="188"/>
      <c r="W237" s="188"/>
      <c r="Z237" s="425"/>
      <c r="AA237" s="767"/>
    </row>
    <row r="238" s="181" customFormat="1">
      <c r="A238" s="181" t="s">
        <v>87</v>
      </c>
      <c r="B238" s="1191"/>
      <c r="C238" s="188"/>
      <c r="D238" s="189"/>
      <c r="E238" s="189"/>
      <c r="F238" s="189"/>
      <c r="G238" s="190"/>
      <c r="H238" s="190"/>
      <c r="M238" s="190"/>
      <c r="V238" s="188"/>
      <c r="W238" s="188"/>
      <c r="Z238" s="425"/>
      <c r="AA238" s="767"/>
    </row>
    <row r="239" s="181" customFormat="1">
      <c r="A239" s="181" t="s">
        <v>87</v>
      </c>
      <c r="B239" s="1191"/>
      <c r="C239" s="188"/>
      <c r="D239" s="189"/>
      <c r="E239" s="189"/>
      <c r="F239" s="189"/>
      <c r="G239" s="190"/>
      <c r="H239" s="190"/>
      <c r="M239" s="190"/>
      <c r="V239" s="188"/>
      <c r="W239" s="188"/>
      <c r="Z239" s="425"/>
      <c r="AA239" s="767"/>
    </row>
    <row r="240" s="181" customFormat="1">
      <c r="A240" s="181" t="s">
        <v>87</v>
      </c>
      <c r="B240" s="1191"/>
      <c r="C240" s="188"/>
      <c r="D240" s="189"/>
      <c r="E240" s="189"/>
      <c r="F240" s="189"/>
      <c r="G240" s="190"/>
      <c r="H240" s="190"/>
      <c r="M240" s="190"/>
      <c r="V240" s="188"/>
      <c r="W240" s="188"/>
      <c r="Z240" s="425"/>
      <c r="AA240" s="767"/>
    </row>
    <row r="241" s="181" customFormat="1">
      <c r="A241" s="181" t="s">
        <v>87</v>
      </c>
      <c r="B241" s="1191"/>
      <c r="C241" s="188"/>
      <c r="D241" s="189"/>
      <c r="E241" s="189"/>
      <c r="F241" s="189"/>
      <c r="G241" s="190"/>
      <c r="H241" s="190"/>
      <c r="M241" s="190"/>
      <c r="V241" s="188"/>
      <c r="W241" s="188"/>
      <c r="Z241" s="425"/>
      <c r="AA241" s="767"/>
    </row>
    <row r="242" s="181" customFormat="1">
      <c r="A242" s="181" t="s">
        <v>87</v>
      </c>
      <c r="B242" s="1191"/>
      <c r="C242" s="188"/>
      <c r="D242" s="189"/>
      <c r="E242" s="189"/>
      <c r="F242" s="189"/>
      <c r="G242" s="190"/>
      <c r="H242" s="190"/>
      <c r="M242" s="190"/>
      <c r="V242" s="188"/>
      <c r="W242" s="188"/>
      <c r="Z242" s="425"/>
      <c r="AA242" s="767"/>
    </row>
    <row r="243" s="181" customFormat="1">
      <c r="A243" s="181" t="s">
        <v>87</v>
      </c>
      <c r="B243" s="1191"/>
      <c r="C243" s="188"/>
      <c r="D243" s="189"/>
      <c r="E243" s="189"/>
      <c r="F243" s="189"/>
      <c r="G243" s="190"/>
      <c r="H243" s="190"/>
      <c r="M243" s="190"/>
      <c r="V243" s="188"/>
      <c r="W243" s="188"/>
      <c r="Z243" s="425"/>
      <c r="AA243" s="767"/>
    </row>
    <row r="244" s="181" customFormat="1">
      <c r="A244" s="181" t="s">
        <v>87</v>
      </c>
      <c r="B244" s="1191"/>
      <c r="C244" s="188"/>
      <c r="D244" s="189"/>
      <c r="E244" s="189"/>
      <c r="F244" s="189"/>
      <c r="G244" s="190"/>
      <c r="H244" s="190"/>
      <c r="M244" s="190"/>
      <c r="V244" s="188"/>
      <c r="W244" s="188"/>
      <c r="Z244" s="425"/>
      <c r="AA244" s="767"/>
    </row>
    <row r="245" s="181" customFormat="1">
      <c r="A245" s="181" t="s">
        <v>87</v>
      </c>
      <c r="B245" s="1191"/>
      <c r="C245" s="188"/>
      <c r="D245" s="189"/>
      <c r="E245" s="189"/>
      <c r="F245" s="189"/>
      <c r="G245" s="190"/>
      <c r="H245" s="190"/>
      <c r="M245" s="190"/>
      <c r="V245" s="188"/>
      <c r="W245" s="188"/>
      <c r="Z245" s="425"/>
      <c r="AA245" s="767"/>
    </row>
    <row r="246" s="181" customFormat="1">
      <c r="A246" s="181" t="s">
        <v>87</v>
      </c>
      <c r="B246" s="1191"/>
      <c r="C246" s="188"/>
      <c r="D246" s="189"/>
      <c r="E246" s="189"/>
      <c r="F246" s="189"/>
      <c r="G246" s="190"/>
      <c r="H246" s="190"/>
      <c r="M246" s="190"/>
      <c r="V246" s="188"/>
      <c r="W246" s="188"/>
      <c r="Z246" s="425"/>
      <c r="AA246" s="767"/>
    </row>
    <row r="247" s="181" customFormat="1">
      <c r="A247" s="181" t="s">
        <v>87</v>
      </c>
      <c r="B247" s="1191"/>
      <c r="C247" s="188"/>
      <c r="D247" s="189"/>
      <c r="E247" s="189"/>
      <c r="F247" s="189"/>
      <c r="G247" s="190"/>
      <c r="H247" s="190"/>
      <c r="M247" s="190"/>
      <c r="V247" s="188"/>
      <c r="W247" s="188"/>
      <c r="Z247" s="425"/>
      <c r="AA247" s="767"/>
    </row>
    <row r="248" s="181" customFormat="1">
      <c r="A248" s="181" t="s">
        <v>87</v>
      </c>
      <c r="B248" s="1191"/>
      <c r="C248" s="188"/>
      <c r="D248" s="189"/>
      <c r="E248" s="189"/>
      <c r="F248" s="189"/>
      <c r="G248" s="190"/>
      <c r="H248" s="190"/>
      <c r="M248" s="190"/>
      <c r="V248" s="188"/>
      <c r="W248" s="188"/>
      <c r="Z248" s="425"/>
      <c r="AA248" s="767"/>
    </row>
    <row r="249" s="181" customFormat="1">
      <c r="A249" s="181" t="s">
        <v>87</v>
      </c>
      <c r="B249" s="1191"/>
      <c r="C249" s="188"/>
      <c r="D249" s="189"/>
      <c r="E249" s="189"/>
      <c r="F249" s="189"/>
      <c r="G249" s="190"/>
      <c r="H249" s="190"/>
      <c r="M249" s="190"/>
      <c r="V249" s="188"/>
      <c r="W249" s="188"/>
      <c r="Z249" s="425"/>
      <c r="AA249" s="767"/>
    </row>
    <row r="250" s="181" customFormat="1">
      <c r="A250" s="181" t="s">
        <v>87</v>
      </c>
      <c r="B250" s="1191"/>
      <c r="C250" s="188"/>
      <c r="D250" s="189"/>
      <c r="E250" s="189"/>
      <c r="F250" s="189"/>
      <c r="G250" s="190"/>
      <c r="H250" s="190"/>
      <c r="M250" s="190"/>
      <c r="V250" s="188"/>
      <c r="W250" s="188"/>
      <c r="Z250" s="425"/>
      <c r="AA250" s="767"/>
    </row>
    <row r="251" s="181" customFormat="1">
      <c r="A251" s="181" t="s">
        <v>87</v>
      </c>
      <c r="B251" s="1191"/>
      <c r="C251" s="188"/>
      <c r="D251" s="189"/>
      <c r="E251" s="189"/>
      <c r="F251" s="189"/>
      <c r="G251" s="190"/>
      <c r="H251" s="190"/>
      <c r="M251" s="190"/>
      <c r="V251" s="188"/>
      <c r="W251" s="188"/>
      <c r="Z251" s="425"/>
      <c r="AA251" s="767"/>
    </row>
    <row r="252" s="181" customFormat="1">
      <c r="A252" s="181" t="s">
        <v>87</v>
      </c>
      <c r="B252" s="1191"/>
      <c r="C252" s="188"/>
      <c r="D252" s="189"/>
      <c r="E252" s="189"/>
      <c r="F252" s="189"/>
      <c r="G252" s="190"/>
      <c r="H252" s="190"/>
      <c r="M252" s="190"/>
      <c r="V252" s="188"/>
      <c r="W252" s="188"/>
      <c r="Z252" s="425"/>
      <c r="AA252" s="767"/>
    </row>
    <row r="253" s="181" customFormat="1">
      <c r="A253" s="181" t="s">
        <v>87</v>
      </c>
      <c r="B253" s="1191"/>
      <c r="C253" s="188"/>
      <c r="D253" s="189"/>
      <c r="E253" s="189"/>
      <c r="F253" s="189"/>
      <c r="G253" s="190"/>
      <c r="H253" s="190"/>
      <c r="M253" s="190"/>
      <c r="V253" s="188"/>
      <c r="W253" s="188"/>
      <c r="Z253" s="425"/>
      <c r="AA253" s="767"/>
    </row>
    <row r="254" s="181" customFormat="1">
      <c r="A254" s="181" t="s">
        <v>87</v>
      </c>
      <c r="B254" s="1191"/>
      <c r="C254" s="188"/>
      <c r="D254" s="189"/>
      <c r="E254" s="189"/>
      <c r="F254" s="189"/>
      <c r="G254" s="190"/>
      <c r="H254" s="190"/>
      <c r="M254" s="190"/>
      <c r="V254" s="188"/>
      <c r="W254" s="188"/>
      <c r="Z254" s="425"/>
      <c r="AA254" s="767"/>
    </row>
    <row r="255" s="181" customFormat="1">
      <c r="A255" s="181" t="s">
        <v>87</v>
      </c>
      <c r="B255" s="1191"/>
      <c r="C255" s="188"/>
      <c r="D255" s="189"/>
      <c r="E255" s="189"/>
      <c r="F255" s="189"/>
      <c r="G255" s="190"/>
      <c r="H255" s="190"/>
      <c r="M255" s="190"/>
      <c r="V255" s="188"/>
      <c r="W255" s="188"/>
      <c r="Z255" s="425"/>
      <c r="AA255" s="767"/>
    </row>
    <row r="256" s="181" customFormat="1">
      <c r="A256" s="181" t="s">
        <v>87</v>
      </c>
      <c r="B256" s="1191"/>
      <c r="C256" s="188"/>
      <c r="D256" s="189"/>
      <c r="E256" s="189"/>
      <c r="F256" s="189"/>
      <c r="G256" s="190"/>
      <c r="H256" s="190"/>
      <c r="M256" s="190"/>
      <c r="V256" s="188"/>
      <c r="W256" s="188"/>
      <c r="Z256" s="425"/>
      <c r="AA256" s="767"/>
    </row>
    <row r="257" s="181" customFormat="1">
      <c r="A257" s="181" t="s">
        <v>87</v>
      </c>
      <c r="B257" s="1191"/>
      <c r="C257" s="188"/>
      <c r="D257" s="189"/>
      <c r="E257" s="189"/>
      <c r="F257" s="189"/>
      <c r="G257" s="190"/>
      <c r="H257" s="190"/>
      <c r="M257" s="190"/>
      <c r="V257" s="188"/>
      <c r="W257" s="188"/>
      <c r="Z257" s="425"/>
      <c r="AA257" s="767"/>
    </row>
    <row r="258" s="181" customFormat="1">
      <c r="A258" s="181" t="s">
        <v>87</v>
      </c>
      <c r="B258" s="1191"/>
      <c r="C258" s="188"/>
      <c r="D258" s="189"/>
      <c r="E258" s="189"/>
      <c r="F258" s="189"/>
      <c r="G258" s="190"/>
      <c r="H258" s="190"/>
      <c r="M258" s="190"/>
      <c r="V258" s="188"/>
      <c r="W258" s="188"/>
      <c r="Z258" s="425"/>
      <c r="AA258" s="767"/>
    </row>
    <row r="259" s="181" customFormat="1">
      <c r="A259" s="181" t="s">
        <v>87</v>
      </c>
      <c r="B259" s="1191"/>
      <c r="C259" s="188"/>
      <c r="D259" s="189"/>
      <c r="E259" s="189"/>
      <c r="F259" s="189"/>
      <c r="G259" s="190"/>
      <c r="H259" s="190"/>
      <c r="M259" s="190"/>
      <c r="V259" s="188"/>
      <c r="W259" s="188"/>
      <c r="Z259" s="425"/>
      <c r="AA259" s="767"/>
    </row>
    <row r="260" s="181" customFormat="1">
      <c r="A260" s="181" t="s">
        <v>87</v>
      </c>
      <c r="B260" s="1191"/>
      <c r="C260" s="188"/>
      <c r="D260" s="189"/>
      <c r="E260" s="189"/>
      <c r="F260" s="189"/>
      <c r="G260" s="190"/>
      <c r="H260" s="190"/>
      <c r="M260" s="190"/>
      <c r="V260" s="188"/>
      <c r="W260" s="188"/>
      <c r="Z260" s="425"/>
      <c r="AA260" s="767"/>
    </row>
    <row r="261" s="181" customFormat="1">
      <c r="A261" s="181" t="s">
        <v>87</v>
      </c>
      <c r="B261" s="1191"/>
      <c r="C261" s="188"/>
      <c r="D261" s="189"/>
      <c r="E261" s="189"/>
      <c r="F261" s="189"/>
      <c r="G261" s="190"/>
      <c r="H261" s="190"/>
      <c r="M261" s="190"/>
      <c r="V261" s="188"/>
      <c r="W261" s="188"/>
      <c r="Z261" s="425"/>
      <c r="AA261" s="767"/>
    </row>
    <row r="262" s="181" customFormat="1">
      <c r="A262" s="181" t="s">
        <v>87</v>
      </c>
      <c r="B262" s="1191"/>
      <c r="C262" s="188"/>
      <c r="D262" s="189"/>
      <c r="E262" s="189"/>
      <c r="F262" s="189"/>
      <c r="G262" s="190"/>
      <c r="H262" s="190"/>
      <c r="M262" s="190"/>
      <c r="V262" s="188"/>
      <c r="W262" s="188"/>
      <c r="Z262" s="425"/>
      <c r="AA262" s="767"/>
    </row>
    <row r="263" s="181" customFormat="1">
      <c r="A263" s="181" t="s">
        <v>87</v>
      </c>
      <c r="B263" s="1191"/>
      <c r="C263" s="188"/>
      <c r="D263" s="189"/>
      <c r="E263" s="189"/>
      <c r="F263" s="189"/>
      <c r="G263" s="190"/>
      <c r="H263" s="190"/>
      <c r="M263" s="190"/>
      <c r="V263" s="188"/>
      <c r="W263" s="188"/>
      <c r="Z263" s="425"/>
      <c r="AA263" s="767"/>
    </row>
    <row r="264" s="181" customFormat="1">
      <c r="A264" s="181" t="s">
        <v>87</v>
      </c>
      <c r="B264" s="1191"/>
      <c r="C264" s="188"/>
      <c r="D264" s="189"/>
      <c r="E264" s="189"/>
      <c r="F264" s="189"/>
      <c r="G264" s="190"/>
      <c r="H264" s="190"/>
      <c r="M264" s="190"/>
      <c r="V264" s="188"/>
      <c r="W264" s="188"/>
      <c r="Z264" s="425"/>
      <c r="AA264" s="767"/>
    </row>
    <row r="265" s="181" customFormat="1">
      <c r="A265" s="181" t="s">
        <v>87</v>
      </c>
      <c r="B265" s="1191"/>
      <c r="C265" s="188"/>
      <c r="D265" s="189"/>
      <c r="E265" s="189"/>
      <c r="F265" s="189"/>
      <c r="G265" s="190"/>
      <c r="H265" s="190"/>
      <c r="M265" s="190"/>
      <c r="V265" s="188"/>
      <c r="W265" s="188"/>
      <c r="Z265" s="425"/>
      <c r="AA265" s="767"/>
    </row>
    <row r="266" s="181" customFormat="1">
      <c r="A266" s="181" t="s">
        <v>87</v>
      </c>
      <c r="B266" s="1191"/>
      <c r="C266" s="188"/>
      <c r="D266" s="189"/>
      <c r="E266" s="189"/>
      <c r="F266" s="189"/>
      <c r="G266" s="190"/>
      <c r="H266" s="190"/>
      <c r="M266" s="190"/>
      <c r="V266" s="188"/>
      <c r="W266" s="188"/>
      <c r="Z266" s="425"/>
      <c r="AA266" s="767"/>
    </row>
    <row r="267" s="181" customFormat="1">
      <c r="A267" s="181" t="s">
        <v>87</v>
      </c>
      <c r="B267" s="1191"/>
      <c r="C267" s="188"/>
      <c r="D267" s="189"/>
      <c r="E267" s="189"/>
      <c r="F267" s="189"/>
      <c r="G267" s="190"/>
      <c r="H267" s="190"/>
      <c r="M267" s="190"/>
      <c r="V267" s="188"/>
      <c r="W267" s="188"/>
      <c r="Z267" s="425"/>
      <c r="AA267" s="767"/>
    </row>
    <row r="268" s="181" customFormat="1">
      <c r="A268" s="181" t="s">
        <v>87</v>
      </c>
      <c r="B268" s="1191"/>
      <c r="C268" s="188"/>
      <c r="D268" s="189"/>
      <c r="E268" s="189"/>
      <c r="F268" s="189"/>
      <c r="G268" s="190"/>
      <c r="H268" s="190"/>
      <c r="M268" s="190"/>
      <c r="V268" s="188"/>
      <c r="W268" s="188"/>
      <c r="Z268" s="425"/>
      <c r="AA268" s="767"/>
    </row>
    <row r="269" s="181" customFormat="1">
      <c r="A269" s="181" t="s">
        <v>87</v>
      </c>
      <c r="B269" s="1191"/>
      <c r="C269" s="188"/>
      <c r="D269" s="189"/>
      <c r="E269" s="189"/>
      <c r="F269" s="189"/>
      <c r="G269" s="190"/>
      <c r="H269" s="190"/>
      <c r="M269" s="190"/>
      <c r="V269" s="188"/>
      <c r="W269" s="188"/>
      <c r="Z269" s="425"/>
      <c r="AA269" s="767"/>
    </row>
    <row r="270" s="181" customFormat="1">
      <c r="A270" s="181" t="s">
        <v>87</v>
      </c>
      <c r="B270" s="1191"/>
      <c r="C270" s="188"/>
      <c r="D270" s="189"/>
      <c r="E270" s="189"/>
      <c r="F270" s="189"/>
      <c r="G270" s="190"/>
      <c r="H270" s="190"/>
      <c r="M270" s="190"/>
      <c r="V270" s="188"/>
      <c r="W270" s="188"/>
      <c r="Z270" s="425"/>
      <c r="AA270" s="767"/>
    </row>
    <row r="271" s="181" customFormat="1">
      <c r="A271" s="181" t="s">
        <v>87</v>
      </c>
      <c r="B271" s="1191"/>
      <c r="C271" s="188"/>
      <c r="D271" s="189"/>
      <c r="E271" s="189"/>
      <c r="F271" s="189"/>
      <c r="G271" s="190"/>
      <c r="H271" s="190"/>
      <c r="M271" s="190"/>
      <c r="V271" s="188"/>
      <c r="W271" s="188"/>
      <c r="Z271" s="425"/>
      <c r="AA271" s="767"/>
    </row>
    <row r="272" s="181" customFormat="1">
      <c r="A272" s="181" t="s">
        <v>87</v>
      </c>
      <c r="B272" s="1191"/>
      <c r="C272" s="188"/>
      <c r="D272" s="189"/>
      <c r="E272" s="189"/>
      <c r="F272" s="189"/>
      <c r="G272" s="190"/>
      <c r="H272" s="190"/>
      <c r="M272" s="190"/>
      <c r="V272" s="188"/>
      <c r="W272" s="188"/>
      <c r="Z272" s="425"/>
      <c r="AA272" s="767"/>
    </row>
    <row r="273" s="181" customFormat="1">
      <c r="A273" s="181" t="s">
        <v>87</v>
      </c>
      <c r="B273" s="1191"/>
      <c r="C273" s="188"/>
      <c r="D273" s="189"/>
      <c r="E273" s="189"/>
      <c r="F273" s="189"/>
      <c r="G273" s="190"/>
      <c r="H273" s="190"/>
      <c r="M273" s="190"/>
      <c r="V273" s="188"/>
      <c r="W273" s="188"/>
      <c r="Z273" s="425"/>
      <c r="AA273" s="767"/>
    </row>
    <row r="274" s="181" customFormat="1">
      <c r="A274" s="181" t="s">
        <v>87</v>
      </c>
      <c r="B274" s="1191"/>
      <c r="C274" s="188"/>
      <c r="D274" s="189"/>
      <c r="E274" s="189"/>
      <c r="F274" s="189"/>
      <c r="G274" s="190"/>
      <c r="H274" s="190"/>
      <c r="M274" s="190"/>
      <c r="V274" s="188"/>
      <c r="W274" s="188"/>
      <c r="Z274" s="425"/>
      <c r="AA274" s="767"/>
    </row>
    <row r="275" s="181" customFormat="1">
      <c r="A275" s="181" t="s">
        <v>87</v>
      </c>
      <c r="B275" s="1191"/>
      <c r="C275" s="188"/>
      <c r="D275" s="189"/>
      <c r="E275" s="189"/>
      <c r="F275" s="189"/>
      <c r="G275" s="190"/>
      <c r="H275" s="190"/>
      <c r="M275" s="190"/>
      <c r="V275" s="188"/>
      <c r="W275" s="188"/>
      <c r="Z275" s="425"/>
      <c r="AA275" s="767"/>
    </row>
    <row r="276" s="181" customFormat="1">
      <c r="A276" s="181" t="s">
        <v>87</v>
      </c>
      <c r="B276" s="1191"/>
      <c r="C276" s="188"/>
      <c r="D276" s="189"/>
      <c r="E276" s="189"/>
      <c r="F276" s="189"/>
      <c r="G276" s="190"/>
      <c r="H276" s="190"/>
      <c r="M276" s="190"/>
      <c r="V276" s="188"/>
      <c r="W276" s="188"/>
      <c r="Z276" s="425"/>
      <c r="AA276" s="767"/>
    </row>
    <row r="277" s="181" customFormat="1">
      <c r="A277" s="181" t="s">
        <v>87</v>
      </c>
      <c r="B277" s="1191"/>
      <c r="C277" s="188"/>
      <c r="D277" s="189"/>
      <c r="E277" s="189"/>
      <c r="F277" s="189"/>
      <c r="G277" s="190"/>
      <c r="H277" s="190"/>
      <c r="M277" s="190"/>
      <c r="V277" s="188"/>
      <c r="W277" s="188"/>
      <c r="Z277" s="425"/>
      <c r="AA277" s="767"/>
    </row>
    <row r="278" s="181" customFormat="1">
      <c r="A278" s="181" t="s">
        <v>87</v>
      </c>
      <c r="B278" s="1191"/>
      <c r="C278" s="188"/>
      <c r="D278" s="189"/>
      <c r="E278" s="189"/>
      <c r="F278" s="189"/>
      <c r="G278" s="190"/>
      <c r="H278" s="190"/>
      <c r="M278" s="190"/>
      <c r="V278" s="188"/>
      <c r="W278" s="188"/>
      <c r="Z278" s="425"/>
      <c r="AA278" s="767"/>
    </row>
    <row r="279" s="181" customFormat="1">
      <c r="A279" s="181" t="s">
        <v>87</v>
      </c>
      <c r="B279" s="1191"/>
      <c r="C279" s="188"/>
      <c r="D279" s="189"/>
      <c r="E279" s="189"/>
      <c r="F279" s="189"/>
      <c r="G279" s="190"/>
      <c r="H279" s="190"/>
      <c r="M279" s="190"/>
      <c r="V279" s="188"/>
      <c r="W279" s="188"/>
      <c r="Z279" s="425"/>
      <c r="AA279" s="767"/>
    </row>
    <row r="280" s="181" customFormat="1">
      <c r="A280" s="181" t="s">
        <v>87</v>
      </c>
      <c r="B280" s="1191"/>
      <c r="C280" s="188"/>
      <c r="D280" s="189"/>
      <c r="E280" s="189"/>
      <c r="F280" s="189"/>
      <c r="G280" s="190"/>
      <c r="H280" s="190"/>
      <c r="M280" s="190"/>
      <c r="V280" s="188"/>
      <c r="W280" s="188"/>
      <c r="Z280" s="425"/>
      <c r="AA280" s="767"/>
    </row>
    <row r="281" s="181" customFormat="1">
      <c r="A281" s="181" t="s">
        <v>87</v>
      </c>
      <c r="B281" s="1191"/>
      <c r="C281" s="188"/>
      <c r="D281" s="189"/>
      <c r="E281" s="189"/>
      <c r="F281" s="189"/>
      <c r="G281" s="190"/>
      <c r="H281" s="190"/>
      <c r="M281" s="190"/>
      <c r="V281" s="188"/>
      <c r="W281" s="188"/>
      <c r="Z281" s="425"/>
      <c r="AA281" s="767"/>
    </row>
    <row r="282" s="181" customFormat="1">
      <c r="A282" s="181" t="s">
        <v>87</v>
      </c>
      <c r="B282" s="1191"/>
      <c r="C282" s="188"/>
      <c r="D282" s="189"/>
      <c r="E282" s="189"/>
      <c r="F282" s="189"/>
      <c r="G282" s="190"/>
      <c r="H282" s="190"/>
      <c r="M282" s="190"/>
      <c r="V282" s="188"/>
      <c r="W282" s="188"/>
      <c r="Z282" s="425"/>
      <c r="AA282" s="767"/>
    </row>
    <row r="283" s="181" customFormat="1">
      <c r="A283" s="181" t="s">
        <v>87</v>
      </c>
      <c r="B283" s="1191"/>
      <c r="C283" s="188"/>
      <c r="D283" s="189"/>
      <c r="E283" s="189"/>
      <c r="F283" s="189"/>
      <c r="G283" s="190"/>
      <c r="H283" s="190"/>
      <c r="M283" s="190"/>
      <c r="V283" s="188"/>
      <c r="W283" s="188"/>
      <c r="Z283" s="425"/>
      <c r="AA283" s="767"/>
    </row>
    <row r="284" s="181" customFormat="1">
      <c r="A284" s="181" t="s">
        <v>87</v>
      </c>
      <c r="B284" s="1191"/>
      <c r="C284" s="188"/>
      <c r="D284" s="189"/>
      <c r="E284" s="189"/>
      <c r="F284" s="189"/>
      <c r="G284" s="190"/>
      <c r="H284" s="190"/>
      <c r="M284" s="190"/>
      <c r="V284" s="188"/>
      <c r="W284" s="188"/>
      <c r="Z284" s="425"/>
      <c r="AA284" s="767"/>
    </row>
    <row r="285" s="181" customFormat="1">
      <c r="B285" s="189"/>
      <c r="C285" s="188"/>
      <c r="D285" s="189"/>
      <c r="E285" s="189"/>
      <c r="F285" s="189"/>
      <c r="G285" s="190"/>
      <c r="H285" s="190"/>
      <c r="M285" s="190"/>
      <c r="V285" s="188"/>
      <c r="W285" s="188"/>
      <c r="Z285" s="425"/>
      <c r="AA285" s="767"/>
    </row>
  </sheetData>
  <sortState ref="A20:BA77">
    <sortCondition ref="B20:B77"/>
  </sortState>
  <mergeCells>
    <mergeCell ref="A98:E98"/>
    <mergeCell ref="A100:E100"/>
  </mergeCells>
  <conditionalFormatting sqref="B76">
    <cfRule type="duplicateValues" dxfId="7" priority="7"/>
  </conditionalFormatting>
  <conditionalFormatting sqref="C79:C81">
    <cfRule type="duplicateValues" dxfId="7" priority="5"/>
    <cfRule type="duplicateValues" dxfId="7" priority="6"/>
  </conditionalFormatting>
  <conditionalFormatting sqref="C82:C83">
    <cfRule type="duplicateValues" dxfId="7" priority="3"/>
    <cfRule type="duplicateValues" dxfId="7" priority="4"/>
  </conditionalFormatting>
  <conditionalFormatting sqref="C84:C86 C15">
    <cfRule type="duplicateValues" dxfId="7" priority="8"/>
    <cfRule type="duplicateValues" dxfId="7" priority="9"/>
  </conditionalFormatting>
  <printOptions horizontalCentered="1"/>
  <pageMargins left="0" right="0" top="0.25" bottom="0" header="0.3" footer="0.12"/>
  <pageSetup paperSize="9" scale="58" fitToHeight="0" orientation="landscape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5"/>
  <sheetViews>
    <sheetView workbookViewId="0">
      <pane xSplit="7" ySplit="6" topLeftCell="L7" activePane="bottomRight" state="frozen"/>
      <selection pane="topRight"/>
      <selection pane="bottomLeft"/>
      <selection pane="bottomRight" activeCell="L36" sqref="L36"/>
    </sheetView>
  </sheetViews>
  <sheetFormatPr defaultColWidth="9.140625" defaultRowHeight="12"/>
  <cols>
    <col min="1" max="1" width="4.7109375" customWidth="1" style="182"/>
    <col min="2" max="2" width="4.7109375" customWidth="1" style="183"/>
    <col min="3" max="3" width="21" customWidth="1" style="184"/>
    <col min="4" max="4" width="8.85546875" customWidth="1" style="183"/>
    <col min="5" max="5" hidden="1" width="16" customWidth="1" style="183"/>
    <col min="6" max="6" hidden="1" width="10.5703125" customWidth="1" style="183"/>
    <col min="7" max="7" width="13.140625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444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3230023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297" customFormat="1">
      <c r="A7" s="319" t="s">
        <v>64</v>
      </c>
      <c r="B7" s="1251" t="s">
        <v>445</v>
      </c>
      <c r="C7" s="1249" t="s">
        <v>446</v>
      </c>
      <c r="D7" s="321" t="s">
        <v>84</v>
      </c>
      <c r="E7" s="321" t="s">
        <v>447</v>
      </c>
      <c r="F7" s="321" t="s">
        <v>421</v>
      </c>
      <c r="G7" s="322">
        <f>3230023/31*23</f>
        <v>2396468.67741936</v>
      </c>
      <c r="H7" s="326">
        <f>+$G$4*4.89%</f>
        <v>157948.1247</v>
      </c>
      <c r="I7" s="323">
        <f>+$G$4*4%</f>
        <v>129200.92</v>
      </c>
      <c r="J7" s="323">
        <f>+$G$4*2%</f>
        <v>64600.46</v>
      </c>
      <c r="K7" s="323">
        <v>15000</v>
      </c>
      <c r="L7" s="306">
        <f>SUM(G7:K7)</f>
        <v>2763218.18211936</v>
      </c>
      <c r="M7" s="306">
        <f>+L7*8%</f>
        <v>221057.454569548</v>
      </c>
      <c r="N7" s="327"/>
      <c r="O7" s="324"/>
      <c r="P7" s="306"/>
      <c r="Q7" s="313">
        <f>SUM(L7:P7)</f>
        <v>2984275.6366889</v>
      </c>
      <c r="R7" s="313">
        <f>M7*0.1</f>
        <v>22105.7454569548</v>
      </c>
      <c r="S7" s="314">
        <f>Q7+R7</f>
        <v>3006381.38214586</v>
      </c>
      <c r="T7" s="315">
        <v>44400</v>
      </c>
      <c r="U7" s="316">
        <v>44500</v>
      </c>
      <c r="V7" s="317" t="s">
        <v>448</v>
      </c>
    </row>
    <row r="8" ht="18" customHeight="1" s="180" customFormat="1">
      <c r="A8" s="1061" t="s">
        <v>87</v>
      </c>
      <c r="B8" s="1188"/>
      <c r="C8" s="1062"/>
      <c r="D8" s="1062"/>
      <c r="E8" s="1062"/>
      <c r="F8" s="1087"/>
      <c r="G8" s="209">
        <f ref="G8:S8" t="shared" si="0">SUM(G7:G7)</f>
        <v>2396468.67741936</v>
      </c>
      <c r="H8" s="209">
        <f t="shared" si="0"/>
        <v>157948.1247</v>
      </c>
      <c r="I8" s="209">
        <f t="shared" si="0"/>
        <v>129200.92</v>
      </c>
      <c r="J8" s="209">
        <f t="shared" si="0"/>
        <v>64600.46</v>
      </c>
      <c r="K8" s="209">
        <f t="shared" si="0"/>
        <v>15000</v>
      </c>
      <c r="L8" s="209">
        <f t="shared" si="0"/>
        <v>2763218.18211936</v>
      </c>
      <c r="M8" s="209">
        <f t="shared" si="0"/>
        <v>221057.454569548</v>
      </c>
      <c r="N8" s="209">
        <f t="shared" si="0"/>
        <v>0</v>
      </c>
      <c r="O8" s="209">
        <f t="shared" si="0"/>
        <v>0</v>
      </c>
      <c r="P8" s="209">
        <f t="shared" si="0"/>
        <v>0</v>
      </c>
      <c r="Q8" s="328">
        <f t="shared" si="0"/>
        <v>2984275.6366889</v>
      </c>
      <c r="R8" s="209">
        <f t="shared" si="0"/>
        <v>22105.7454569548</v>
      </c>
      <c r="S8" s="328">
        <f t="shared" si="0"/>
        <v>3006381.38214586</v>
      </c>
      <c r="T8" s="240"/>
      <c r="U8" s="241"/>
    </row>
    <row r="9" ht="14.25" customHeight="1" s="180" customFormat="1">
      <c r="A9" s="210" t="s">
        <v>87</v>
      </c>
      <c r="B9" s="1178"/>
      <c r="C9" s="184"/>
      <c r="D9" s="212"/>
      <c r="E9" s="212"/>
      <c r="F9" s="212"/>
      <c r="G9" s="185"/>
      <c r="L9" s="228"/>
      <c r="T9" s="212"/>
      <c r="U9" s="211"/>
    </row>
    <row r="10" s="178" customFormat="1">
      <c r="A10" s="213" t="s">
        <v>87</v>
      </c>
      <c r="B10" s="1178"/>
      <c r="C10" s="181"/>
      <c r="D10" s="189"/>
      <c r="E10" s="189"/>
      <c r="F10" s="189"/>
      <c r="G10" s="190"/>
      <c r="M10" s="229"/>
      <c r="N10" s="229"/>
      <c r="O10" s="229"/>
      <c r="P10" s="230"/>
      <c r="Q10" s="187"/>
    </row>
    <row r="11" s="178" customFormat="1">
      <c r="A11" s="178" t="s">
        <v>87</v>
      </c>
      <c r="B11" s="1178"/>
      <c r="C11" s="214" t="str">
        <f>+'BANJARMASIN '!C102</f>
        <v>Karawang,  16 Agustus 2020</v>
      </c>
      <c r="D11" s="189"/>
      <c r="E11" s="189"/>
      <c r="F11" s="189"/>
      <c r="G11" s="190"/>
      <c r="L11" s="231"/>
      <c r="M11" s="231"/>
      <c r="N11" s="231"/>
      <c r="O11" s="231"/>
      <c r="P11" s="230"/>
      <c r="Q11" s="242"/>
    </row>
    <row r="12" s="178" customFormat="1">
      <c r="A12" s="213" t="s">
        <v>87</v>
      </c>
      <c r="B12" s="1178"/>
      <c r="C12" s="189"/>
      <c r="D12" s="189"/>
      <c r="E12" s="189"/>
      <c r="F12" s="189"/>
      <c r="G12" s="190"/>
      <c r="M12" s="229"/>
      <c r="N12" s="229"/>
      <c r="O12" s="229"/>
      <c r="P12" s="230"/>
      <c r="Q12" s="242"/>
    </row>
    <row r="13" s="178" customFormat="1">
      <c r="A13" s="178" t="s">
        <v>87</v>
      </c>
      <c r="B13" s="1178"/>
      <c r="C13" s="189" t="s">
        <v>232</v>
      </c>
      <c r="D13" s="189"/>
      <c r="F13" s="215"/>
      <c r="G13" s="190"/>
      <c r="K13" s="229"/>
      <c r="L13" s="181" t="s">
        <v>233</v>
      </c>
      <c r="M13" s="231"/>
      <c r="N13" s="181"/>
      <c r="O13" s="190"/>
      <c r="Q13" s="242"/>
    </row>
    <row r="14" s="178" customFormat="1">
      <c r="A14" s="178" t="s">
        <v>87</v>
      </c>
      <c r="B14" s="1178"/>
      <c r="C14" s="189"/>
      <c r="D14" s="189"/>
      <c r="F14" s="215"/>
      <c r="G14" s="190"/>
      <c r="H14" s="190"/>
      <c r="K14" s="229"/>
      <c r="Q14" s="242"/>
    </row>
    <row r="15" s="178" customFormat="1">
      <c r="A15" s="178" t="s">
        <v>87</v>
      </c>
      <c r="B15" s="1178"/>
      <c r="C15" s="189"/>
      <c r="D15" s="189"/>
      <c r="F15" s="215"/>
      <c r="G15" s="190"/>
      <c r="H15" s="190"/>
      <c r="K15" s="229"/>
      <c r="M15" s="230"/>
      <c r="Q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M16" s="231"/>
      <c r="Q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P18" s="189"/>
      <c r="Q18" s="243"/>
    </row>
    <row r="19" s="178" customFormat="1">
      <c r="A19" s="181" t="s">
        <v>87</v>
      </c>
      <c r="B19" s="1178"/>
      <c r="C19" s="189"/>
      <c r="D19" s="189"/>
      <c r="F19" s="189"/>
      <c r="G19" s="190"/>
      <c r="H19" s="190"/>
      <c r="K19" s="229"/>
      <c r="Q19" s="243"/>
    </row>
    <row r="20" s="181" customFormat="1">
      <c r="A20" s="181" t="s">
        <v>87</v>
      </c>
      <c r="B20" s="1190"/>
      <c r="C20" s="214" t="s">
        <v>234</v>
      </c>
      <c r="D20" s="189"/>
      <c r="E20" s="189"/>
      <c r="F20" s="214"/>
      <c r="G20" s="190"/>
      <c r="H20" s="190"/>
      <c r="I20" s="232" t="s">
        <v>235</v>
      </c>
      <c r="L20" s="213" t="s">
        <v>236</v>
      </c>
      <c r="N20" s="214" t="s">
        <v>237</v>
      </c>
      <c r="Q20" s="243"/>
      <c r="R20" s="213" t="s">
        <v>238</v>
      </c>
    </row>
    <row r="21" s="181" customFormat="1">
      <c r="A21" s="181" t="s">
        <v>87</v>
      </c>
      <c r="B21" s="1191"/>
      <c r="C21" s="188"/>
      <c r="D21" s="189"/>
      <c r="E21" s="189"/>
      <c r="F21" s="189"/>
      <c r="G21" s="190"/>
      <c r="L21" s="190"/>
      <c r="Q21" s="189"/>
    </row>
    <row r="22" s="181" customFormat="1">
      <c r="A22" s="181" t="s">
        <v>87</v>
      </c>
      <c r="B22" s="1191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H24" s="216"/>
      <c r="L24" s="190"/>
      <c r="T24" s="189"/>
      <c r="U24" s="189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1"/>
      <c r="F26" s="215"/>
      <c r="G26" s="190"/>
      <c r="H26" s="216"/>
    </row>
    <row r="27" s="181" customFormat="1">
      <c r="A27" s="181" t="s">
        <v>87</v>
      </c>
      <c r="B27" s="1191"/>
      <c r="F27" s="215"/>
    </row>
    <row r="28" s="181" customFormat="1">
      <c r="A28" s="181" t="s">
        <v>87</v>
      </c>
      <c r="B28" s="1191"/>
      <c r="F28" s="215"/>
    </row>
    <row r="29" s="181" customFormat="1">
      <c r="A29" s="181" t="s">
        <v>87</v>
      </c>
      <c r="B29" s="1191"/>
      <c r="F29" s="215"/>
    </row>
    <row r="30" s="181" customFormat="1">
      <c r="A30" s="181" t="s">
        <v>87</v>
      </c>
      <c r="B30" s="1191"/>
      <c r="F30" s="215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>
      <c r="A34" s="182" t="s">
        <v>87</v>
      </c>
      <c r="B34" s="1191"/>
      <c r="C34" s="182"/>
      <c r="D34" s="182"/>
      <c r="E34" s="182"/>
      <c r="F34" s="217"/>
      <c r="G34" s="182"/>
      <c r="L34" s="182"/>
      <c r="T34" s="182"/>
      <c r="U34" s="182"/>
    </row>
    <row r="35">
      <c r="C35" s="182"/>
      <c r="D35" s="182"/>
      <c r="E35" s="182"/>
      <c r="F35" s="217"/>
      <c r="G35" s="182"/>
      <c r="L35" s="182"/>
      <c r="T35" s="182"/>
      <c r="U35" s="182"/>
    </row>
  </sheetData>
  <mergeCells>
    <mergeCell ref="A8:F8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7">
    <tabColor theme="4" tint="-0.499984740745262"/>
  </sheetPr>
  <dimension ref="A1:X39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11" sqref="N11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4.140625" customWidth="1" style="183"/>
    <col min="6" max="6" hidden="1" width="8.42578125" customWidth="1" style="183"/>
    <col min="7" max="7" width="12" customWidth="1" style="185"/>
    <col min="8" max="11" width="12" customWidth="1" style="182"/>
    <col min="12" max="12" width="12" customWidth="1" style="185"/>
    <col min="13" max="13" width="12" customWidth="1" style="182"/>
    <col min="14" max="14" width="10.28515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432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2877448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64</v>
      </c>
      <c r="B7" s="1252" t="s">
        <v>433</v>
      </c>
      <c r="C7" s="1247" t="s">
        <v>434</v>
      </c>
      <c r="D7" s="205" t="s">
        <v>84</v>
      </c>
      <c r="E7" s="205" t="s">
        <v>435</v>
      </c>
      <c r="F7" s="205" t="s">
        <v>421</v>
      </c>
      <c r="G7" s="112">
        <v>2877448</v>
      </c>
      <c r="H7" s="224">
        <f>+$G$4*4.89%</f>
        <v>140707.2072</v>
      </c>
      <c r="I7" s="224">
        <f>+$G$4*4%</f>
        <v>115097.92</v>
      </c>
      <c r="J7" s="224">
        <f>+$G$4*2%</f>
        <v>57548.96</v>
      </c>
      <c r="K7" s="224">
        <v>15000</v>
      </c>
      <c r="L7" s="225">
        <f>SUM(G7:K7)</f>
        <v>3205802.0872</v>
      </c>
      <c r="M7" s="225">
        <f>+L7*8%</f>
        <v>256464.166976</v>
      </c>
      <c r="N7" s="226">
        <f>23*20000</f>
        <v>460000</v>
      </c>
      <c r="O7" s="227"/>
      <c r="P7" s="225"/>
      <c r="Q7" s="236">
        <f>SUM(L7:P7)</f>
        <v>3922266.254176</v>
      </c>
      <c r="R7" s="236">
        <f>M7*0.1</f>
        <v>25646.4166976</v>
      </c>
      <c r="S7" s="237">
        <f>Q7+R7</f>
        <v>3947912.6708736</v>
      </c>
      <c r="T7" s="238">
        <v>44409</v>
      </c>
      <c r="U7" s="239">
        <v>44500</v>
      </c>
      <c r="V7" s="231"/>
    </row>
    <row r="8" ht="18" customHeight="1" s="178" customFormat="1">
      <c r="A8" s="202" t="s">
        <v>59</v>
      </c>
      <c r="B8" s="203" t="s">
        <v>436</v>
      </c>
      <c r="C8" s="204" t="s">
        <v>437</v>
      </c>
      <c r="D8" s="205" t="s">
        <v>84</v>
      </c>
      <c r="E8" s="205" t="s">
        <v>435</v>
      </c>
      <c r="F8" s="205" t="s">
        <v>421</v>
      </c>
      <c r="G8" s="112">
        <v>2877448</v>
      </c>
      <c r="H8" s="224">
        <f>+$G$4*4.89%</f>
        <v>140707.2072</v>
      </c>
      <c r="I8" s="224">
        <f>+$G$4*4%</f>
        <v>115097.92</v>
      </c>
      <c r="J8" s="224">
        <f>+$G$4*2%</f>
        <v>57548.96</v>
      </c>
      <c r="K8" s="224">
        <v>15000</v>
      </c>
      <c r="L8" s="225">
        <f>SUM(G8:K8)</f>
        <v>3205802.0872</v>
      </c>
      <c r="M8" s="225">
        <f>+L8*8%</f>
        <v>256464.166976</v>
      </c>
      <c r="N8" s="226">
        <f>23*20000</f>
        <v>460000</v>
      </c>
      <c r="O8" s="227"/>
      <c r="P8" s="225"/>
      <c r="Q8" s="236">
        <f>SUM(L8:P8)</f>
        <v>3922266.254176</v>
      </c>
      <c r="R8" s="236">
        <f>M8*0.1</f>
        <v>25646.4166976</v>
      </c>
      <c r="S8" s="237">
        <f>Q8+R8</f>
        <v>3947912.6708736</v>
      </c>
      <c r="T8" s="238">
        <v>44409</v>
      </c>
      <c r="U8" s="239">
        <v>44500</v>
      </c>
      <c r="V8" s="231"/>
    </row>
    <row r="9" ht="18" customHeight="1" s="178" customFormat="1">
      <c r="A9" s="202" t="s">
        <v>59</v>
      </c>
      <c r="B9" s="203" t="s">
        <v>438</v>
      </c>
      <c r="C9" s="204" t="s">
        <v>439</v>
      </c>
      <c r="D9" s="205" t="s">
        <v>84</v>
      </c>
      <c r="E9" s="205" t="s">
        <v>435</v>
      </c>
      <c r="F9" s="205" t="s">
        <v>421</v>
      </c>
      <c r="G9" s="112">
        <v>2877448</v>
      </c>
      <c r="H9" s="224">
        <f>+$G$4*4.89%</f>
        <v>140707.2072</v>
      </c>
      <c r="I9" s="224">
        <f>+$G$4*4%</f>
        <v>115097.92</v>
      </c>
      <c r="J9" s="224">
        <f>+$G$4*2%</f>
        <v>57548.96</v>
      </c>
      <c r="K9" s="224">
        <v>15000</v>
      </c>
      <c r="L9" s="225">
        <f>SUM(G9:K9)</f>
        <v>3205802.0872</v>
      </c>
      <c r="M9" s="225">
        <f>+L9*8%</f>
        <v>256464.166976</v>
      </c>
      <c r="N9" s="226">
        <f>23*20000</f>
        <v>460000</v>
      </c>
      <c r="O9" s="227"/>
      <c r="P9" s="225"/>
      <c r="Q9" s="236">
        <f>SUM(L9:P9)</f>
        <v>3922266.254176</v>
      </c>
      <c r="R9" s="236">
        <f>M9*0.1</f>
        <v>25646.4166976</v>
      </c>
      <c r="S9" s="237">
        <f>Q9+R9</f>
        <v>3947912.6708736</v>
      </c>
      <c r="T9" s="238">
        <v>44335</v>
      </c>
      <c r="U9" s="239">
        <v>44439</v>
      </c>
      <c r="V9" s="231"/>
    </row>
    <row r="10" ht="18" customHeight="1" s="178" customFormat="1">
      <c r="A10" s="202" t="s">
        <v>64</v>
      </c>
      <c r="B10" s="1252" t="s">
        <v>440</v>
      </c>
      <c r="C10" s="1247" t="s">
        <v>441</v>
      </c>
      <c r="D10" s="205" t="s">
        <v>84</v>
      </c>
      <c r="E10" s="205" t="s">
        <v>435</v>
      </c>
      <c r="F10" s="205" t="s">
        <v>421</v>
      </c>
      <c r="G10" s="112">
        <v>2877448</v>
      </c>
      <c r="H10" s="224">
        <f>+$G$4*4.89%</f>
        <v>140707.2072</v>
      </c>
      <c r="I10" s="224">
        <f>+$G$4*4%</f>
        <v>115097.92</v>
      </c>
      <c r="J10" s="224">
        <f>+$G$4*2%</f>
        <v>57548.96</v>
      </c>
      <c r="K10" s="224">
        <v>15000</v>
      </c>
      <c r="L10" s="225">
        <f>SUM(G10:K10)</f>
        <v>3205802.0872</v>
      </c>
      <c r="M10" s="225">
        <f>+L10*8%</f>
        <v>256464.166976</v>
      </c>
      <c r="N10" s="226">
        <f>24*20000</f>
        <v>480000</v>
      </c>
      <c r="O10" s="227"/>
      <c r="P10" s="225"/>
      <c r="Q10" s="236">
        <f>SUM(L10:P10)</f>
        <v>3942266.254176</v>
      </c>
      <c r="R10" s="236">
        <f>M10*0.1</f>
        <v>25646.4166976</v>
      </c>
      <c r="S10" s="237">
        <f>Q10+R10</f>
        <v>3967912.6708736</v>
      </c>
      <c r="T10" s="238">
        <v>44375</v>
      </c>
      <c r="U10" s="239">
        <v>44469</v>
      </c>
      <c r="V10" s="231"/>
    </row>
    <row r="11" ht="18" customHeight="1" s="297" customFormat="1">
      <c r="A11" s="202" t="s">
        <v>64</v>
      </c>
      <c r="B11" s="1251" t="s">
        <v>442</v>
      </c>
      <c r="C11" s="1249" t="s">
        <v>443</v>
      </c>
      <c r="D11" s="321" t="s">
        <v>84</v>
      </c>
      <c r="E11" s="321" t="s">
        <v>435</v>
      </c>
      <c r="F11" s="321" t="s">
        <v>421</v>
      </c>
      <c r="G11" s="322">
        <f>2877448/31*28</f>
        <v>2598985.29032258</v>
      </c>
      <c r="H11" s="323">
        <f>+$G$4*4.89%</f>
        <v>140707.2072</v>
      </c>
      <c r="I11" s="323">
        <f>+$G$4*4%</f>
        <v>115097.92</v>
      </c>
      <c r="J11" s="323">
        <f>+$G$4*2%</f>
        <v>57548.96</v>
      </c>
      <c r="K11" s="323">
        <v>15000</v>
      </c>
      <c r="L11" s="306">
        <f>SUM(G11:K11)</f>
        <v>2927339.37752258</v>
      </c>
      <c r="M11" s="306">
        <f>+L11*8%</f>
        <v>234187.150201806</v>
      </c>
      <c r="N11" s="327">
        <f>13*20000</f>
        <v>260000</v>
      </c>
      <c r="O11" s="324"/>
      <c r="P11" s="306"/>
      <c r="Q11" s="313">
        <f>SUM(L11:P11)</f>
        <v>3421526.52772439</v>
      </c>
      <c r="R11" s="313">
        <f>M11*0.1</f>
        <v>23418.7150201807</v>
      </c>
      <c r="S11" s="314">
        <f>Q11+R11</f>
        <v>3444945.24274457</v>
      </c>
      <c r="T11" s="315">
        <v>44396</v>
      </c>
      <c r="U11" s="316">
        <v>44500</v>
      </c>
      <c r="V11" s="317"/>
      <c r="W11" s="178"/>
      <c r="X11" s="178"/>
    </row>
    <row r="12" ht="18" customHeight="1" s="180" customFormat="1">
      <c r="A12" s="1061" t="s">
        <v>87</v>
      </c>
      <c r="B12" s="1188"/>
      <c r="C12" s="1062"/>
      <c r="D12" s="1062"/>
      <c r="E12" s="1062"/>
      <c r="F12" s="1087"/>
      <c r="G12" s="209">
        <f>SUM(G7:G11)</f>
        <v>14108777.2903226</v>
      </c>
      <c r="H12" s="325">
        <f ref="H12:S12" t="shared" si="1">SUM(H7:H11)</f>
        <v>703536.036</v>
      </c>
      <c r="I12" s="209">
        <f t="shared" si="1"/>
        <v>575489.6</v>
      </c>
      <c r="J12" s="209">
        <f t="shared" si="1"/>
        <v>287744.8</v>
      </c>
      <c r="K12" s="209">
        <f t="shared" si="1"/>
        <v>75000</v>
      </c>
      <c r="L12" s="209">
        <f t="shared" si="1"/>
        <v>15750547.7263226</v>
      </c>
      <c r="M12" s="209">
        <f t="shared" si="1"/>
        <v>1260043.81810581</v>
      </c>
      <c r="N12" s="209">
        <f t="shared" si="1"/>
        <v>2120000</v>
      </c>
      <c r="O12" s="209">
        <f t="shared" si="1"/>
        <v>0</v>
      </c>
      <c r="P12" s="209">
        <f t="shared" si="1"/>
        <v>0</v>
      </c>
      <c r="Q12" s="209">
        <f t="shared" si="1"/>
        <v>19130591.5444284</v>
      </c>
      <c r="R12" s="209">
        <f t="shared" si="1"/>
        <v>126004.381810581</v>
      </c>
      <c r="S12" s="209">
        <f t="shared" si="1"/>
        <v>19256595.926239</v>
      </c>
      <c r="T12" s="240"/>
      <c r="U12" s="241"/>
    </row>
    <row r="13" s="180" customFormat="1">
      <c r="A13" s="210" t="s">
        <v>87</v>
      </c>
      <c r="B13" s="1178"/>
      <c r="C13" s="184"/>
      <c r="D13" s="212"/>
      <c r="E13" s="212"/>
      <c r="F13" s="212"/>
      <c r="G13" s="185"/>
      <c r="L13" s="228"/>
      <c r="T13" s="212"/>
      <c r="U13" s="211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30"/>
      <c r="Q14" s="187"/>
    </row>
    <row r="15" s="178" customFormat="1">
      <c r="A15" s="178" t="s">
        <v>87</v>
      </c>
      <c r="B15" s="1178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0"/>
      <c r="Q15" s="242"/>
    </row>
    <row r="16" s="178" customFormat="1">
      <c r="A16" s="213" t="s">
        <v>87</v>
      </c>
      <c r="B16" s="1178"/>
      <c r="C16" s="189"/>
      <c r="D16" s="189"/>
      <c r="E16" s="189"/>
      <c r="F16" s="189"/>
      <c r="G16" s="190"/>
      <c r="M16" s="229"/>
      <c r="N16" s="229"/>
      <c r="O16" s="229"/>
      <c r="P16" s="230"/>
      <c r="Q16" s="242"/>
    </row>
    <row r="17" s="178" customFormat="1">
      <c r="A17" s="178" t="s">
        <v>87</v>
      </c>
      <c r="B17" s="1178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90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M19" s="230"/>
      <c r="Q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1"/>
      <c r="Q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Q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P22" s="189"/>
      <c r="Q22" s="243"/>
    </row>
    <row r="23" s="178" customFormat="1">
      <c r="A23" s="181" t="s">
        <v>87</v>
      </c>
      <c r="B23" s="1178"/>
      <c r="C23" s="189"/>
      <c r="D23" s="189"/>
      <c r="F23" s="189"/>
      <c r="G23" s="190"/>
      <c r="H23" s="190"/>
      <c r="K23" s="229"/>
      <c r="Q23" s="243"/>
    </row>
    <row r="24" s="181" customFormat="1">
      <c r="A24" s="181" t="s">
        <v>87</v>
      </c>
      <c r="B24" s="1190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Q24" s="243"/>
      <c r="R24" s="213" t="s">
        <v>238</v>
      </c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Q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Q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Q27" s="189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H28" s="216"/>
      <c r="L28" s="190"/>
      <c r="T28" s="189"/>
      <c r="U28" s="189"/>
    </row>
    <row r="29" s="181" customFormat="1">
      <c r="A29" s="181" t="s">
        <v>87</v>
      </c>
      <c r="B29" s="1191"/>
      <c r="C29" s="188"/>
      <c r="D29" s="189"/>
      <c r="E29" s="189"/>
      <c r="F29" s="189"/>
      <c r="G29" s="190"/>
      <c r="H29" s="216"/>
      <c r="L29" s="190"/>
      <c r="T29" s="189"/>
      <c r="U29" s="189"/>
    </row>
    <row r="30" s="181" customFormat="1">
      <c r="A30" s="181" t="s">
        <v>87</v>
      </c>
      <c r="B30" s="1191"/>
      <c r="F30" s="215"/>
      <c r="G30" s="190"/>
      <c r="H30" s="216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 s="181" customFormat="1">
      <c r="A36" s="181" t="s">
        <v>87</v>
      </c>
      <c r="B36" s="1191"/>
      <c r="F36" s="215"/>
    </row>
    <row r="37" s="181" customFormat="1">
      <c r="A37" s="181" t="s">
        <v>87</v>
      </c>
      <c r="B37" s="1191"/>
      <c r="F37" s="215"/>
    </row>
    <row r="38">
      <c r="A38" s="182" t="s">
        <v>87</v>
      </c>
      <c r="B38" s="1191"/>
      <c r="C38" s="182"/>
      <c r="D38" s="182"/>
      <c r="E38" s="182"/>
      <c r="F38" s="217"/>
      <c r="G38" s="182"/>
      <c r="L38" s="182"/>
      <c r="T38" s="182"/>
      <c r="U38" s="182"/>
    </row>
    <row r="39">
      <c r="C39" s="182"/>
      <c r="D39" s="182"/>
      <c r="E39" s="182"/>
      <c r="F39" s="217"/>
      <c r="G39" s="182"/>
      <c r="L39" s="182"/>
      <c r="T39" s="182"/>
      <c r="U39" s="182"/>
    </row>
  </sheetData>
  <mergeCells>
    <mergeCell ref="A12:F12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7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M9" sqref="M9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3.140625" customWidth="1" style="183"/>
    <col min="6" max="6" hidden="1" width="4.85546875" customWidth="1" style="183"/>
    <col min="7" max="7" width="10" customWidth="1" style="185"/>
    <col min="8" max="11" width="12" customWidth="1" style="182"/>
    <col min="12" max="12" width="12" customWidth="1" style="185"/>
    <col min="13" max="13" width="12" customWidth="1" style="182"/>
    <col min="14" max="14" width="9.140625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424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2931674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203" t="s">
        <v>425</v>
      </c>
      <c r="C7" s="204" t="s">
        <v>426</v>
      </c>
      <c r="D7" s="205" t="s">
        <v>84</v>
      </c>
      <c r="E7" s="205" t="s">
        <v>427</v>
      </c>
      <c r="F7" s="205" t="s">
        <v>421</v>
      </c>
      <c r="G7" s="112">
        <v>2931674</v>
      </c>
      <c r="H7" s="318">
        <f>+$G$4*4.89%</f>
        <v>143358.8586</v>
      </c>
      <c r="I7" s="224">
        <f>+$G$4*4%</f>
        <v>117266.96</v>
      </c>
      <c r="J7" s="224">
        <f>+$G$4*2%</f>
        <v>58633.48</v>
      </c>
      <c r="K7" s="224">
        <v>15000</v>
      </c>
      <c r="L7" s="225">
        <f>SUM(G7:K7)</f>
        <v>3265933.2986</v>
      </c>
      <c r="M7" s="225">
        <f>+L7*8%</f>
        <v>261274.663888</v>
      </c>
      <c r="N7" s="226">
        <f>17*20000</f>
        <v>340000</v>
      </c>
      <c r="O7" s="227"/>
      <c r="P7" s="225"/>
      <c r="Q7" s="236">
        <f>SUM(L7:P7)</f>
        <v>3867207.962488</v>
      </c>
      <c r="R7" s="236">
        <f>M7*0.1</f>
        <v>26127.4663888</v>
      </c>
      <c r="S7" s="237">
        <f>Q7+R7</f>
        <v>3893335.4288768</v>
      </c>
      <c r="T7" s="238">
        <v>44355</v>
      </c>
      <c r="U7" s="239">
        <v>44439</v>
      </c>
      <c r="V7" s="231"/>
    </row>
    <row r="8" ht="18" customHeight="1" s="178" customFormat="1">
      <c r="A8" s="202" t="s">
        <v>59</v>
      </c>
      <c r="B8" s="203" t="s">
        <v>428</v>
      </c>
      <c r="C8" s="204" t="s">
        <v>429</v>
      </c>
      <c r="D8" s="205" t="s">
        <v>84</v>
      </c>
      <c r="E8" s="205" t="s">
        <v>427</v>
      </c>
      <c r="F8" s="205" t="s">
        <v>421</v>
      </c>
      <c r="G8" s="112">
        <v>2931674</v>
      </c>
      <c r="H8" s="224">
        <f>+$G$4*4.89%</f>
        <v>143358.8586</v>
      </c>
      <c r="I8" s="224">
        <f>+$G$4*4%</f>
        <v>117266.96</v>
      </c>
      <c r="J8" s="224">
        <f>+$G$4*2%</f>
        <v>58633.48</v>
      </c>
      <c r="K8" s="224">
        <v>15000</v>
      </c>
      <c r="L8" s="225">
        <f>SUM(G8:K8)</f>
        <v>3265933.2986</v>
      </c>
      <c r="M8" s="225">
        <f>+L8*8%</f>
        <v>261274.663888</v>
      </c>
      <c r="N8" s="226">
        <f>17*20000</f>
        <v>340000</v>
      </c>
      <c r="O8" s="227"/>
      <c r="P8" s="225"/>
      <c r="Q8" s="236">
        <f>SUM(L8:P8)</f>
        <v>3867207.962488</v>
      </c>
      <c r="R8" s="236">
        <f>M8*0.1</f>
        <v>26127.4663888</v>
      </c>
      <c r="S8" s="237">
        <f>Q8+R8</f>
        <v>3893335.4288768</v>
      </c>
      <c r="T8" s="238">
        <v>44363</v>
      </c>
      <c r="U8" s="239">
        <v>44439</v>
      </c>
      <c r="V8" s="231"/>
    </row>
    <row r="9" ht="18" customHeight="1" s="297" customFormat="1">
      <c r="A9" s="319" t="s">
        <v>64</v>
      </c>
      <c r="B9" s="1251" t="s">
        <v>430</v>
      </c>
      <c r="C9" s="1249" t="s">
        <v>431</v>
      </c>
      <c r="D9" s="321" t="s">
        <v>84</v>
      </c>
      <c r="E9" s="321" t="s">
        <v>427</v>
      </c>
      <c r="F9" s="321" t="s">
        <v>421</v>
      </c>
      <c r="G9" s="322">
        <f>2931674/31*25</f>
        <v>2364253.22580645</v>
      </c>
      <c r="H9" s="303">
        <f>+$G$4*4.89%</f>
        <v>143358.8586</v>
      </c>
      <c r="I9" s="323">
        <f>+$G$4*4%</f>
        <v>117266.96</v>
      </c>
      <c r="J9" s="323">
        <f>+$G$4*2%</f>
        <v>58633.48</v>
      </c>
      <c r="K9" s="323">
        <v>15000</v>
      </c>
      <c r="L9" s="306">
        <f>SUM(G9:K9)</f>
        <v>2698512.52440645</v>
      </c>
      <c r="M9" s="306">
        <f>+L9*8%</f>
        <v>215881.001952516</v>
      </c>
      <c r="N9" s="327">
        <f>20000*7</f>
        <v>140000</v>
      </c>
      <c r="O9" s="324"/>
      <c r="P9" s="306"/>
      <c r="Q9" s="313">
        <f>SUM(L9:P9)</f>
        <v>3054393.52635897</v>
      </c>
      <c r="R9" s="313">
        <f>M9*0.1</f>
        <v>21588.1001952516</v>
      </c>
      <c r="S9" s="314">
        <f>Q9+R9</f>
        <v>3075981.62655422</v>
      </c>
      <c r="T9" s="315">
        <v>44399</v>
      </c>
      <c r="U9" s="316">
        <v>44500</v>
      </c>
      <c r="V9" s="317"/>
    </row>
    <row r="10" ht="18" customHeight="1" s="180" customFormat="1">
      <c r="A10" s="1061" t="s">
        <v>87</v>
      </c>
      <c r="B10" s="1188"/>
      <c r="C10" s="1062"/>
      <c r="D10" s="1062"/>
      <c r="E10" s="1062"/>
      <c r="F10" s="1087"/>
      <c r="G10" s="209">
        <f>SUM(G7:G9)</f>
        <v>8227601.22580645</v>
      </c>
      <c r="H10" s="209">
        <f ref="H10:S10" t="shared" si="0">SUM(H7:H9)</f>
        <v>430076.5758</v>
      </c>
      <c r="I10" s="209">
        <f t="shared" si="0"/>
        <v>351800.88</v>
      </c>
      <c r="J10" s="209">
        <f t="shared" si="0"/>
        <v>175900.44</v>
      </c>
      <c r="K10" s="209">
        <f t="shared" si="0"/>
        <v>45000</v>
      </c>
      <c r="L10" s="209">
        <f t="shared" si="0"/>
        <v>9230379.12160645</v>
      </c>
      <c r="M10" s="209">
        <f t="shared" si="0"/>
        <v>738430.329728516</v>
      </c>
      <c r="N10" s="209">
        <f t="shared" si="0"/>
        <v>820000</v>
      </c>
      <c r="O10" s="209">
        <f t="shared" si="0"/>
        <v>0</v>
      </c>
      <c r="P10" s="209">
        <f t="shared" si="0"/>
        <v>0</v>
      </c>
      <c r="Q10" s="209">
        <f t="shared" si="0"/>
        <v>10788809.451335</v>
      </c>
      <c r="R10" s="209">
        <f t="shared" si="0"/>
        <v>73843.0329728516</v>
      </c>
      <c r="S10" s="209">
        <f t="shared" si="0"/>
        <v>10862652.4843078</v>
      </c>
      <c r="T10" s="240"/>
      <c r="U10" s="241"/>
    </row>
    <row r="11" s="180" customFormat="1">
      <c r="A11" s="210" t="s">
        <v>87</v>
      </c>
      <c r="B11" s="1178"/>
      <c r="C11" s="184"/>
      <c r="D11" s="212"/>
      <c r="E11" s="212"/>
      <c r="F11" s="212"/>
      <c r="G11" s="185"/>
      <c r="L11" s="228"/>
      <c r="T11" s="212"/>
      <c r="U11" s="211"/>
    </row>
    <row r="12" s="178" customFormat="1">
      <c r="A12" s="213" t="s">
        <v>87</v>
      </c>
      <c r="B12" s="1178"/>
      <c r="C12" s="181"/>
      <c r="D12" s="189"/>
      <c r="E12" s="189"/>
      <c r="F12" s="189"/>
      <c r="G12" s="190"/>
      <c r="M12" s="229"/>
      <c r="N12" s="229"/>
      <c r="O12" s="229"/>
      <c r="P12" s="230"/>
      <c r="Q12" s="187"/>
    </row>
    <row r="13" s="178" customFormat="1">
      <c r="A13" s="178" t="s">
        <v>87</v>
      </c>
      <c r="B13" s="1178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0"/>
      <c r="Q13" s="242"/>
    </row>
    <row r="14" s="178" customFormat="1">
      <c r="A14" s="213" t="s">
        <v>87</v>
      </c>
      <c r="B14" s="1178"/>
      <c r="C14" s="189"/>
      <c r="D14" s="189"/>
      <c r="E14" s="189"/>
      <c r="F14" s="189"/>
      <c r="G14" s="190"/>
      <c r="M14" s="229"/>
      <c r="N14" s="229"/>
      <c r="O14" s="229"/>
      <c r="P14" s="230"/>
      <c r="Q14" s="242"/>
    </row>
    <row r="15" s="178" customFormat="1">
      <c r="A15" s="178" t="s">
        <v>87</v>
      </c>
      <c r="B15" s="1178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90"/>
      <c r="Q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Q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0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M18" s="231"/>
      <c r="Q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P20" s="189"/>
      <c r="Q20" s="243"/>
    </row>
    <row r="21" s="178" customFormat="1">
      <c r="A21" s="181" t="s">
        <v>87</v>
      </c>
      <c r="B21" s="1178"/>
      <c r="C21" s="189"/>
      <c r="D21" s="189"/>
      <c r="F21" s="189"/>
      <c r="G21" s="190"/>
      <c r="H21" s="190"/>
      <c r="K21" s="229"/>
      <c r="Q21" s="243"/>
    </row>
    <row r="22" s="181" customFormat="1">
      <c r="A22" s="181" t="s">
        <v>87</v>
      </c>
      <c r="B22" s="1190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Q22" s="243"/>
      <c r="R22" s="213" t="s">
        <v>238</v>
      </c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Q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H27" s="216"/>
      <c r="L27" s="190"/>
      <c r="T27" s="189"/>
      <c r="U27" s="189"/>
    </row>
    <row r="28" s="181" customFormat="1">
      <c r="A28" s="181" t="s">
        <v>87</v>
      </c>
      <c r="B28" s="1191"/>
      <c r="F28" s="215"/>
      <c r="G28" s="190"/>
      <c r="H28" s="216"/>
    </row>
    <row r="29" s="181" customFormat="1">
      <c r="A29" s="181" t="s">
        <v>87</v>
      </c>
      <c r="B29" s="1191"/>
      <c r="F29" s="215"/>
    </row>
    <row r="30" s="181" customFormat="1">
      <c r="A30" s="181" t="s">
        <v>87</v>
      </c>
      <c r="B30" s="1191"/>
      <c r="F30" s="215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 s="181" customFormat="1">
      <c r="A35" s="181" t="s">
        <v>87</v>
      </c>
      <c r="B35" s="1191"/>
      <c r="F35" s="215"/>
    </row>
    <row r="36">
      <c r="A36" s="182" t="s">
        <v>87</v>
      </c>
      <c r="B36" s="1191"/>
      <c r="C36" s="182"/>
      <c r="D36" s="182"/>
      <c r="E36" s="182"/>
      <c r="F36" s="217"/>
      <c r="G36" s="182"/>
      <c r="L36" s="182"/>
      <c r="T36" s="182"/>
      <c r="U36" s="182"/>
    </row>
    <row r="37">
      <c r="C37" s="182"/>
      <c r="D37" s="182"/>
      <c r="E37" s="182"/>
      <c r="F37" s="217"/>
      <c r="G37" s="182"/>
      <c r="L37" s="182"/>
      <c r="T37" s="182"/>
      <c r="U37" s="182"/>
    </row>
  </sheetData>
  <mergeCells>
    <mergeCell ref="A10:F10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29">
    <tabColor theme="4" tint="-0.499984740745262"/>
  </sheetPr>
  <dimension ref="A1:V36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N7" sqref="N7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1.7109375" customWidth="1" style="183"/>
    <col min="6" max="6" hidden="1" width="8.42578125" customWidth="1" style="183"/>
    <col min="7" max="7" width="9.7109375" customWidth="1" style="185"/>
    <col min="8" max="11" width="12" customWidth="1" style="182"/>
    <col min="12" max="12" width="12" customWidth="1" style="185"/>
    <col min="13" max="13" width="12" customWidth="1" style="182"/>
    <col min="14" max="14" width="10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417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3069315.66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59</v>
      </c>
      <c r="B7" s="985" t="s">
        <v>418</v>
      </c>
      <c r="C7" s="204" t="s">
        <v>419</v>
      </c>
      <c r="D7" s="205" t="s">
        <v>84</v>
      </c>
      <c r="E7" s="205" t="s">
        <v>420</v>
      </c>
      <c r="F7" s="205" t="s">
        <v>421</v>
      </c>
      <c r="G7" s="112">
        <v>3069315.66</v>
      </c>
      <c r="H7" s="298">
        <f>+$G$4*4.89%</f>
        <v>150089.535774</v>
      </c>
      <c r="I7" s="224">
        <f>+$G$4*4%</f>
        <v>122772.6264</v>
      </c>
      <c r="J7" s="224">
        <f>+$G$4*2%</f>
        <v>61386.3132</v>
      </c>
      <c r="K7" s="224">
        <v>15000</v>
      </c>
      <c r="L7" s="304">
        <f>SUM(G7:K7)</f>
        <v>3418564.135374</v>
      </c>
      <c r="M7" s="304">
        <f>+L7*8%</f>
        <v>273485.13082992</v>
      </c>
      <c r="N7" s="226">
        <f>30*20000</f>
        <v>600000</v>
      </c>
      <c r="O7" s="227"/>
      <c r="P7" s="304"/>
      <c r="Q7" s="309">
        <f>SUM(L7:P7)</f>
        <v>4292049.26620392</v>
      </c>
      <c r="R7" s="309">
        <f>M7*0.1</f>
        <v>27348.513082992</v>
      </c>
      <c r="S7" s="310">
        <f>Q7+R7</f>
        <v>4319397.77928691</v>
      </c>
      <c r="T7" s="311">
        <v>44409</v>
      </c>
      <c r="U7" s="312">
        <v>44500</v>
      </c>
      <c r="V7" s="231"/>
    </row>
    <row r="8" ht="18" customHeight="1" s="297" customFormat="1">
      <c r="A8" s="299" t="s">
        <v>59</v>
      </c>
      <c r="B8" s="986" t="s">
        <v>422</v>
      </c>
      <c r="C8" s="300" t="s">
        <v>423</v>
      </c>
      <c r="D8" s="301" t="s">
        <v>84</v>
      </c>
      <c r="E8" s="301" t="s">
        <v>420</v>
      </c>
      <c r="F8" s="301" t="s">
        <v>421</v>
      </c>
      <c r="G8" s="302">
        <f>3069315.66/31*20</f>
        <v>1980203.6516129</v>
      </c>
      <c r="H8" s="303">
        <f>+$G$4*4.89%</f>
        <v>150089.535774</v>
      </c>
      <c r="I8" s="305">
        <f>+$G$4*4%</f>
        <v>122772.6264</v>
      </c>
      <c r="J8" s="305">
        <f>+$G$4*2%</f>
        <v>61386.3132</v>
      </c>
      <c r="K8" s="305">
        <v>15000</v>
      </c>
      <c r="L8" s="306">
        <f>SUM(G8:K8)</f>
        <v>2329452.1269869</v>
      </c>
      <c r="M8" s="306">
        <f>+L8*8%</f>
        <v>186356.170158952</v>
      </c>
      <c r="N8" s="307"/>
      <c r="O8" s="308"/>
      <c r="P8" s="306"/>
      <c r="Q8" s="313">
        <f>SUM(L8:P8)</f>
        <v>2515808.29714586</v>
      </c>
      <c r="R8" s="313">
        <f>M8*0.1</f>
        <v>18635.6170158952</v>
      </c>
      <c r="S8" s="314">
        <f>Q8+R8</f>
        <v>2534443.91416175</v>
      </c>
      <c r="T8" s="315">
        <v>44404</v>
      </c>
      <c r="U8" s="316">
        <v>44500</v>
      </c>
      <c r="V8" s="317"/>
    </row>
    <row r="9" ht="18" customHeight="1" s="180" customFormat="1">
      <c r="A9" s="1061" t="s">
        <v>87</v>
      </c>
      <c r="B9" s="1188"/>
      <c r="C9" s="1062"/>
      <c r="D9" s="1062"/>
      <c r="E9" s="1062"/>
      <c r="F9" s="1087"/>
      <c r="G9" s="209">
        <f>SUM(G7:G8)</f>
        <v>5049519.3116129</v>
      </c>
      <c r="H9" s="209">
        <f ref="H9:S9" t="shared" si="0">SUM(H7:H8)</f>
        <v>300179.071548</v>
      </c>
      <c r="I9" s="209">
        <f t="shared" si="0"/>
        <v>245545.2528</v>
      </c>
      <c r="J9" s="209">
        <f t="shared" si="0"/>
        <v>122772.6264</v>
      </c>
      <c r="K9" s="209">
        <f t="shared" si="0"/>
        <v>30000</v>
      </c>
      <c r="L9" s="209">
        <f t="shared" si="0"/>
        <v>5748016.2623609</v>
      </c>
      <c r="M9" s="209">
        <f t="shared" si="0"/>
        <v>459841.300988872</v>
      </c>
      <c r="N9" s="209">
        <f t="shared" si="0"/>
        <v>600000</v>
      </c>
      <c r="O9" s="209">
        <f t="shared" si="0"/>
        <v>0</v>
      </c>
      <c r="P9" s="209">
        <f t="shared" si="0"/>
        <v>0</v>
      </c>
      <c r="Q9" s="209">
        <f t="shared" si="0"/>
        <v>6807857.56334978</v>
      </c>
      <c r="R9" s="209">
        <f t="shared" si="0"/>
        <v>45984.1300988872</v>
      </c>
      <c r="S9" s="209">
        <f t="shared" si="0"/>
        <v>6853841.69344866</v>
      </c>
      <c r="T9" s="240"/>
      <c r="U9" s="241"/>
    </row>
    <row r="10" s="180" customFormat="1">
      <c r="A10" s="210" t="s">
        <v>87</v>
      </c>
      <c r="B10" s="1178"/>
      <c r="C10" s="184"/>
      <c r="D10" s="212"/>
      <c r="E10" s="212"/>
      <c r="F10" s="212"/>
      <c r="G10" s="185"/>
      <c r="L10" s="228"/>
      <c r="T10" s="212"/>
      <c r="U10" s="211"/>
    </row>
    <row r="11" s="178" customFormat="1">
      <c r="A11" s="213" t="s">
        <v>87</v>
      </c>
      <c r="B11" s="1178"/>
      <c r="C11" s="181"/>
      <c r="D11" s="189"/>
      <c r="E11" s="189"/>
      <c r="F11" s="189"/>
      <c r="G11" s="190"/>
      <c r="M11" s="229"/>
      <c r="N11" s="229"/>
      <c r="O11" s="229"/>
      <c r="P11" s="230"/>
      <c r="Q11" s="187"/>
    </row>
    <row r="12" s="178" customFormat="1">
      <c r="A12" s="178" t="s">
        <v>87</v>
      </c>
      <c r="B12" s="1178"/>
      <c r="C12" s="214" t="str">
        <f>+'BANJARMASIN '!C102</f>
        <v>Karawang,  16 Agustus 2020</v>
      </c>
      <c r="D12" s="189"/>
      <c r="E12" s="189"/>
      <c r="F12" s="189"/>
      <c r="G12" s="190"/>
      <c r="L12" s="231"/>
      <c r="M12" s="231"/>
      <c r="N12" s="231"/>
      <c r="O12" s="231"/>
      <c r="P12" s="230"/>
      <c r="Q12" s="242"/>
    </row>
    <row r="13" s="178" customFormat="1">
      <c r="A13" s="213" t="s">
        <v>87</v>
      </c>
      <c r="B13" s="1178"/>
      <c r="C13" s="189"/>
      <c r="D13" s="189"/>
      <c r="E13" s="189"/>
      <c r="F13" s="189"/>
      <c r="G13" s="190"/>
      <c r="M13" s="229"/>
      <c r="N13" s="229"/>
      <c r="O13" s="229"/>
      <c r="P13" s="230"/>
      <c r="Q13" s="242"/>
    </row>
    <row r="14" s="178" customFormat="1">
      <c r="A14" s="178" t="s">
        <v>87</v>
      </c>
      <c r="B14" s="1178"/>
      <c r="C14" s="189" t="s">
        <v>232</v>
      </c>
      <c r="D14" s="189"/>
      <c r="F14" s="215"/>
      <c r="G14" s="190"/>
      <c r="K14" s="229"/>
      <c r="L14" s="181" t="s">
        <v>233</v>
      </c>
      <c r="M14" s="231"/>
      <c r="N14" s="181"/>
      <c r="O14" s="190"/>
      <c r="Q14" s="242"/>
    </row>
    <row r="15" s="178" customFormat="1">
      <c r="A15" s="178" t="s">
        <v>87</v>
      </c>
      <c r="B15" s="1178"/>
      <c r="C15" s="189"/>
      <c r="D15" s="189"/>
      <c r="F15" s="215"/>
      <c r="G15" s="190"/>
      <c r="H15" s="190"/>
      <c r="K15" s="229"/>
      <c r="Q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M16" s="230"/>
      <c r="Q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1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P19" s="189"/>
      <c r="Q19" s="243"/>
    </row>
    <row r="20" s="178" customFormat="1">
      <c r="A20" s="181" t="s">
        <v>87</v>
      </c>
      <c r="B20" s="1178"/>
      <c r="C20" s="189"/>
      <c r="D20" s="189"/>
      <c r="F20" s="189"/>
      <c r="G20" s="190"/>
      <c r="H20" s="190"/>
      <c r="K20" s="229"/>
      <c r="Q20" s="243"/>
    </row>
    <row r="21" s="181" customFormat="1">
      <c r="A21" s="181" t="s">
        <v>87</v>
      </c>
      <c r="B21" s="1190"/>
      <c r="C21" s="214" t="s">
        <v>234</v>
      </c>
      <c r="D21" s="189"/>
      <c r="E21" s="189"/>
      <c r="F21" s="214"/>
      <c r="G21" s="190"/>
      <c r="H21" s="190"/>
      <c r="I21" s="232" t="s">
        <v>235</v>
      </c>
      <c r="L21" s="213" t="s">
        <v>236</v>
      </c>
      <c r="N21" s="214" t="s">
        <v>237</v>
      </c>
      <c r="Q21" s="243"/>
      <c r="R21" s="213" t="s">
        <v>238</v>
      </c>
    </row>
    <row r="22" s="181" customFormat="1">
      <c r="A22" s="181" t="s">
        <v>87</v>
      </c>
      <c r="B22" s="1191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Q24" s="189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H26" s="216"/>
      <c r="L26" s="190"/>
      <c r="T26" s="189"/>
      <c r="U26" s="189"/>
    </row>
    <row r="27" s="181" customFormat="1">
      <c r="A27" s="181" t="s">
        <v>87</v>
      </c>
      <c r="B27" s="1191"/>
      <c r="F27" s="215"/>
      <c r="G27" s="190"/>
      <c r="H27" s="216"/>
    </row>
    <row r="28" s="181" customFormat="1">
      <c r="A28" s="181" t="s">
        <v>87</v>
      </c>
      <c r="B28" s="1191"/>
      <c r="F28" s="215"/>
    </row>
    <row r="29" s="181" customFormat="1">
      <c r="A29" s="181" t="s">
        <v>87</v>
      </c>
      <c r="B29" s="1191"/>
      <c r="F29" s="215"/>
    </row>
    <row r="30" s="181" customFormat="1">
      <c r="A30" s="181" t="s">
        <v>87</v>
      </c>
      <c r="B30" s="1191"/>
      <c r="F30" s="215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 s="181" customFormat="1">
      <c r="A34" s="181" t="s">
        <v>87</v>
      </c>
      <c r="B34" s="1191"/>
      <c r="F34" s="215"/>
    </row>
    <row r="35">
      <c r="A35" s="182" t="s">
        <v>87</v>
      </c>
      <c r="B35" s="1191"/>
      <c r="C35" s="182"/>
      <c r="D35" s="182"/>
      <c r="E35" s="182"/>
      <c r="F35" s="217"/>
      <c r="G35" s="182"/>
      <c r="L35" s="182"/>
      <c r="T35" s="182"/>
      <c r="U35" s="182"/>
    </row>
    <row r="36">
      <c r="C36" s="182"/>
      <c r="D36" s="182"/>
      <c r="E36" s="182"/>
      <c r="F36" s="217"/>
      <c r="G36" s="182"/>
      <c r="L36" s="182"/>
      <c r="T36" s="182"/>
      <c r="U36" s="182"/>
    </row>
  </sheetData>
  <mergeCells>
    <mergeCell ref="A9:F9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0">
    <tabColor rgb="FFFF0000"/>
  </sheetPr>
  <dimension ref="A1:Q625"/>
  <sheetViews>
    <sheetView zoomScale="55" zoomScaleNormal="55" workbookViewId="0">
      <pane ySplit="7" topLeftCell="A533" activePane="bottomLeft" state="frozen"/>
      <selection pane="bottomLeft" activeCell="K539" sqref="K539"/>
    </sheetView>
  </sheetViews>
  <sheetFormatPr defaultColWidth="9" defaultRowHeight="18.75"/>
  <cols>
    <col min="1" max="1" width="4.140625" customWidth="1" style="248"/>
    <col min="2" max="2" width="7.7109375" customWidth="1" style="248"/>
    <col min="3" max="3" width="11" customWidth="1" style="249"/>
    <col min="4" max="4" width="44.5703125" customWidth="1" style="249"/>
    <col min="5" max="5" width="18.42578125" customWidth="1" style="249"/>
    <col min="6" max="6" width="15.28515625" customWidth="1" style="248"/>
    <col min="7" max="7" width="21.42578125" customWidth="1" style="248"/>
    <col min="8" max="8" width="18.5703125" customWidth="1" style="248"/>
    <col min="9" max="9" width="22.42578125" customWidth="1" style="248"/>
    <col min="10" max="10" width="16.7109375" customWidth="1" style="248"/>
    <col min="11" max="11" width="14.5703125" customWidth="1" style="248"/>
    <col min="12" max="12" width="8.85546875" customWidth="1" style="248"/>
    <col min="13" max="14" width="13.140625" customWidth="1" style="250"/>
    <col min="15" max="15" width="13.140625" customWidth="1" style="248"/>
    <col min="16" max="16" width="27.140625" customWidth="1" style="248"/>
    <col min="17" max="17" width="18.42578125" customWidth="1" style="248"/>
    <col min="18" max="18" width="11.7109375" customWidth="1" style="248"/>
    <col min="19" max="235" width="9" customWidth="1" style="248"/>
    <col min="236" max="236" width="4.140625" customWidth="1" style="248"/>
    <col min="237" max="237" width="8.140625" customWidth="1" style="248"/>
    <col min="238" max="238" width="9.140625" customWidth="1" style="248"/>
    <col min="239" max="240" width="16" customWidth="1" style="248"/>
    <col min="241" max="241" width="40.28515625" customWidth="1" style="248"/>
    <col min="242" max="242" width="21.7109375" customWidth="1" style="248"/>
    <col min="243" max="243" width="28.7109375" customWidth="1" style="248"/>
    <col min="244" max="244" width="12" customWidth="1" style="248"/>
    <col min="245" max="245" width="13.7109375" customWidth="1" style="248"/>
    <col min="246" max="246" width="23.5703125" customWidth="1" style="248"/>
    <col min="247" max="247" width="19.5703125" customWidth="1" style="248"/>
    <col min="248" max="248" width="15.85546875" customWidth="1" style="248"/>
    <col min="249" max="249" width="15.28515625" customWidth="1" style="248"/>
    <col min="250" max="250" width="13" customWidth="1" style="248"/>
    <col min="251" max="251" width="27.85546875" customWidth="1" style="248"/>
    <col min="252" max="252" width="27.5703125" customWidth="1" style="248"/>
    <col min="253" max="253" width="31.140625" customWidth="1" style="248"/>
    <col min="254" max="254" width="38.28515625" customWidth="1" style="248"/>
    <col min="255" max="255" width="45.28515625" customWidth="1" style="248"/>
    <col min="256" max="256" width="35.42578125" customWidth="1" style="248"/>
    <col min="257" max="257" width="28.28515625" customWidth="1" style="248"/>
    <col min="258" max="258" width="14" customWidth="1" style="248"/>
    <col min="259" max="259" width="18" customWidth="1" style="248"/>
    <col min="260" max="260" width="21.7109375" customWidth="1" style="248"/>
    <col min="261" max="261" width="30.28515625" customWidth="1" style="248"/>
    <col min="262" max="262" width="17.42578125" customWidth="1" style="248"/>
    <col min="263" max="263" width="36.28515625" customWidth="1" style="248"/>
    <col min="264" max="264" width="45.140625" customWidth="1" style="248"/>
    <col min="265" max="265" width="19.5703125" customWidth="1" style="248"/>
    <col min="266" max="266" width="24.140625" customWidth="1" style="248"/>
    <col min="267" max="267" width="36.140625" customWidth="1" style="248"/>
    <col min="268" max="268" width="8.85546875" customWidth="1" style="248"/>
    <col min="269" max="269" width="22" customWidth="1" style="248"/>
    <col min="270" max="270" width="21.42578125" customWidth="1" style="248"/>
    <col min="271" max="271" width="23" customWidth="1" style="248"/>
    <col min="272" max="272" width="13.42578125" customWidth="1" style="248"/>
    <col min="273" max="491" width="9" customWidth="1" style="248"/>
    <col min="492" max="492" width="4.140625" customWidth="1" style="248"/>
    <col min="493" max="493" width="8.140625" customWidth="1" style="248"/>
    <col min="494" max="494" width="9.140625" customWidth="1" style="248"/>
    <col min="495" max="496" width="16" customWidth="1" style="248"/>
    <col min="497" max="497" width="40.28515625" customWidth="1" style="248"/>
    <col min="498" max="498" width="21.7109375" customWidth="1" style="248"/>
    <col min="499" max="499" width="28.7109375" customWidth="1" style="248"/>
    <col min="500" max="500" width="12" customWidth="1" style="248"/>
    <col min="501" max="501" width="13.7109375" customWidth="1" style="248"/>
    <col min="502" max="502" width="23.5703125" customWidth="1" style="248"/>
    <col min="503" max="503" width="19.5703125" customWidth="1" style="248"/>
    <col min="504" max="504" width="15.85546875" customWidth="1" style="248"/>
    <col min="505" max="505" width="15.28515625" customWidth="1" style="248"/>
    <col min="506" max="506" width="13" customWidth="1" style="248"/>
    <col min="507" max="507" width="27.85546875" customWidth="1" style="248"/>
    <col min="508" max="508" width="27.5703125" customWidth="1" style="248"/>
    <col min="509" max="509" width="31.140625" customWidth="1" style="248"/>
    <col min="510" max="510" width="38.28515625" customWidth="1" style="248"/>
    <col min="511" max="511" width="45.28515625" customWidth="1" style="248"/>
    <col min="512" max="512" width="35.42578125" customWidth="1" style="248"/>
    <col min="513" max="513" width="28.28515625" customWidth="1" style="248"/>
    <col min="514" max="514" width="14" customWidth="1" style="248"/>
    <col min="515" max="515" width="18" customWidth="1" style="248"/>
    <col min="516" max="516" width="21.7109375" customWidth="1" style="248"/>
    <col min="517" max="517" width="30.28515625" customWidth="1" style="248"/>
    <col min="518" max="518" width="17.42578125" customWidth="1" style="248"/>
    <col min="519" max="519" width="36.28515625" customWidth="1" style="248"/>
    <col min="520" max="520" width="45.140625" customWidth="1" style="248"/>
    <col min="521" max="521" width="19.5703125" customWidth="1" style="248"/>
    <col min="522" max="522" width="24.140625" customWidth="1" style="248"/>
    <col min="523" max="523" width="36.140625" customWidth="1" style="248"/>
    <col min="524" max="524" width="8.85546875" customWidth="1" style="248"/>
    <col min="525" max="525" width="22" customWidth="1" style="248"/>
    <col min="526" max="526" width="21.42578125" customWidth="1" style="248"/>
    <col min="527" max="527" width="23" customWidth="1" style="248"/>
    <col min="528" max="528" width="13.42578125" customWidth="1" style="248"/>
    <col min="529" max="747" width="9" customWidth="1" style="248"/>
    <col min="748" max="748" width="4.140625" customWidth="1" style="248"/>
    <col min="749" max="749" width="8.140625" customWidth="1" style="248"/>
    <col min="750" max="750" width="9.140625" customWidth="1" style="248"/>
    <col min="751" max="752" width="16" customWidth="1" style="248"/>
    <col min="753" max="753" width="40.28515625" customWidth="1" style="248"/>
    <col min="754" max="754" width="21.7109375" customWidth="1" style="248"/>
    <col min="755" max="755" width="28.7109375" customWidth="1" style="248"/>
    <col min="756" max="756" width="12" customWidth="1" style="248"/>
    <col min="757" max="757" width="13.7109375" customWidth="1" style="248"/>
    <col min="758" max="758" width="23.5703125" customWidth="1" style="248"/>
    <col min="759" max="759" width="19.5703125" customWidth="1" style="248"/>
    <col min="760" max="760" width="15.85546875" customWidth="1" style="248"/>
    <col min="761" max="761" width="15.28515625" customWidth="1" style="248"/>
    <col min="762" max="762" width="13" customWidth="1" style="248"/>
    <col min="763" max="763" width="27.85546875" customWidth="1" style="248"/>
    <col min="764" max="764" width="27.5703125" customWidth="1" style="248"/>
    <col min="765" max="765" width="31.140625" customWidth="1" style="248"/>
    <col min="766" max="766" width="38.28515625" customWidth="1" style="248"/>
    <col min="767" max="767" width="45.28515625" customWidth="1" style="248"/>
    <col min="768" max="768" width="35.42578125" customWidth="1" style="248"/>
    <col min="769" max="769" width="28.28515625" customWidth="1" style="248"/>
    <col min="770" max="770" width="14" customWidth="1" style="248"/>
    <col min="771" max="771" width="18" customWidth="1" style="248"/>
    <col min="772" max="772" width="21.7109375" customWidth="1" style="248"/>
    <col min="773" max="773" width="30.28515625" customWidth="1" style="248"/>
    <col min="774" max="774" width="17.42578125" customWidth="1" style="248"/>
    <col min="775" max="775" width="36.28515625" customWidth="1" style="248"/>
    <col min="776" max="776" width="45.140625" customWidth="1" style="248"/>
    <col min="777" max="777" width="19.5703125" customWidth="1" style="248"/>
    <col min="778" max="778" width="24.140625" customWidth="1" style="248"/>
    <col min="779" max="779" width="36.140625" customWidth="1" style="248"/>
    <col min="780" max="780" width="8.85546875" customWidth="1" style="248"/>
    <col min="781" max="781" width="22" customWidth="1" style="248"/>
    <col min="782" max="782" width="21.42578125" customWidth="1" style="248"/>
    <col min="783" max="783" width="23" customWidth="1" style="248"/>
    <col min="784" max="784" width="13.42578125" customWidth="1" style="248"/>
    <col min="785" max="1003" width="9" customWidth="1" style="248"/>
    <col min="1004" max="1004" width="4.140625" customWidth="1" style="248"/>
    <col min="1005" max="1005" width="8.140625" customWidth="1" style="248"/>
    <col min="1006" max="1006" width="9.140625" customWidth="1" style="248"/>
    <col min="1007" max="1008" width="16" customWidth="1" style="248"/>
    <col min="1009" max="1009" width="40.28515625" customWidth="1" style="248"/>
    <col min="1010" max="1010" width="21.7109375" customWidth="1" style="248"/>
    <col min="1011" max="1011" width="28.7109375" customWidth="1" style="248"/>
    <col min="1012" max="1012" width="12" customWidth="1" style="248"/>
    <col min="1013" max="1013" width="13.7109375" customWidth="1" style="248"/>
    <col min="1014" max="1014" width="23.5703125" customWidth="1" style="248"/>
    <col min="1015" max="1015" width="19.5703125" customWidth="1" style="248"/>
    <col min="1016" max="1016" width="15.85546875" customWidth="1" style="248"/>
    <col min="1017" max="1017" width="15.28515625" customWidth="1" style="248"/>
    <col min="1018" max="1018" width="13" customWidth="1" style="248"/>
    <col min="1019" max="1019" width="27.85546875" customWidth="1" style="248"/>
    <col min="1020" max="1020" width="27.5703125" customWidth="1" style="248"/>
    <col min="1021" max="1021" width="31.140625" customWidth="1" style="248"/>
    <col min="1022" max="1022" width="38.28515625" customWidth="1" style="248"/>
    <col min="1023" max="1023" width="45.28515625" customWidth="1" style="248"/>
    <col min="1024" max="1024" width="35.42578125" customWidth="1" style="248"/>
    <col min="1025" max="1025" width="28.28515625" customWidth="1" style="248"/>
    <col min="1026" max="1026" width="14" customWidth="1" style="248"/>
    <col min="1027" max="1027" width="18" customWidth="1" style="248"/>
    <col min="1028" max="1028" width="21.7109375" customWidth="1" style="248"/>
    <col min="1029" max="1029" width="30.28515625" customWidth="1" style="248"/>
    <col min="1030" max="1030" width="17.42578125" customWidth="1" style="248"/>
    <col min="1031" max="1031" width="36.28515625" customWidth="1" style="248"/>
    <col min="1032" max="1032" width="45.140625" customWidth="1" style="248"/>
    <col min="1033" max="1033" width="19.5703125" customWidth="1" style="248"/>
    <col min="1034" max="1034" width="24.140625" customWidth="1" style="248"/>
    <col min="1035" max="1035" width="36.140625" customWidth="1" style="248"/>
    <col min="1036" max="1036" width="8.85546875" customWidth="1" style="248"/>
    <col min="1037" max="1037" width="22" customWidth="1" style="248"/>
    <col min="1038" max="1038" width="21.42578125" customWidth="1" style="248"/>
    <col min="1039" max="1039" width="23" customWidth="1" style="248"/>
    <col min="1040" max="1040" width="13.42578125" customWidth="1" style="248"/>
    <col min="1041" max="1259" width="9" customWidth="1" style="248"/>
    <col min="1260" max="1260" width="4.140625" customWidth="1" style="248"/>
    <col min="1261" max="1261" width="8.140625" customWidth="1" style="248"/>
    <col min="1262" max="1262" width="9.140625" customWidth="1" style="248"/>
    <col min="1263" max="1264" width="16" customWidth="1" style="248"/>
    <col min="1265" max="1265" width="40.28515625" customWidth="1" style="248"/>
    <col min="1266" max="1266" width="21.7109375" customWidth="1" style="248"/>
    <col min="1267" max="1267" width="28.7109375" customWidth="1" style="248"/>
    <col min="1268" max="1268" width="12" customWidth="1" style="248"/>
    <col min="1269" max="1269" width="13.7109375" customWidth="1" style="248"/>
    <col min="1270" max="1270" width="23.5703125" customWidth="1" style="248"/>
    <col min="1271" max="1271" width="19.5703125" customWidth="1" style="248"/>
    <col min="1272" max="1272" width="15.85546875" customWidth="1" style="248"/>
    <col min="1273" max="1273" width="15.28515625" customWidth="1" style="248"/>
    <col min="1274" max="1274" width="13" customWidth="1" style="248"/>
    <col min="1275" max="1275" width="27.85546875" customWidth="1" style="248"/>
    <col min="1276" max="1276" width="27.5703125" customWidth="1" style="248"/>
    <col min="1277" max="1277" width="31.140625" customWidth="1" style="248"/>
    <col min="1278" max="1278" width="38.28515625" customWidth="1" style="248"/>
    <col min="1279" max="1279" width="45.28515625" customWidth="1" style="248"/>
    <col min="1280" max="1280" width="35.42578125" customWidth="1" style="248"/>
    <col min="1281" max="1281" width="28.28515625" customWidth="1" style="248"/>
    <col min="1282" max="1282" width="14" customWidth="1" style="248"/>
    <col min="1283" max="1283" width="18" customWidth="1" style="248"/>
    <col min="1284" max="1284" width="21.7109375" customWidth="1" style="248"/>
    <col min="1285" max="1285" width="30.28515625" customWidth="1" style="248"/>
    <col min="1286" max="1286" width="17.42578125" customWidth="1" style="248"/>
    <col min="1287" max="1287" width="36.28515625" customWidth="1" style="248"/>
    <col min="1288" max="1288" width="45.140625" customWidth="1" style="248"/>
    <col min="1289" max="1289" width="19.5703125" customWidth="1" style="248"/>
    <col min="1290" max="1290" width="24.140625" customWidth="1" style="248"/>
    <col min="1291" max="1291" width="36.140625" customWidth="1" style="248"/>
    <col min="1292" max="1292" width="8.85546875" customWidth="1" style="248"/>
    <col min="1293" max="1293" width="22" customWidth="1" style="248"/>
    <col min="1294" max="1294" width="21.42578125" customWidth="1" style="248"/>
    <col min="1295" max="1295" width="23" customWidth="1" style="248"/>
    <col min="1296" max="1296" width="13.42578125" customWidth="1" style="248"/>
    <col min="1297" max="1515" width="9" customWidth="1" style="248"/>
    <col min="1516" max="1516" width="4.140625" customWidth="1" style="248"/>
    <col min="1517" max="1517" width="8.140625" customWidth="1" style="248"/>
    <col min="1518" max="1518" width="9.140625" customWidth="1" style="248"/>
    <col min="1519" max="1520" width="16" customWidth="1" style="248"/>
    <col min="1521" max="1521" width="40.28515625" customWidth="1" style="248"/>
    <col min="1522" max="1522" width="21.7109375" customWidth="1" style="248"/>
    <col min="1523" max="1523" width="28.7109375" customWidth="1" style="248"/>
    <col min="1524" max="1524" width="12" customWidth="1" style="248"/>
    <col min="1525" max="1525" width="13.7109375" customWidth="1" style="248"/>
    <col min="1526" max="1526" width="23.5703125" customWidth="1" style="248"/>
    <col min="1527" max="1527" width="19.5703125" customWidth="1" style="248"/>
    <col min="1528" max="1528" width="15.85546875" customWidth="1" style="248"/>
    <col min="1529" max="1529" width="15.28515625" customWidth="1" style="248"/>
    <col min="1530" max="1530" width="13" customWidth="1" style="248"/>
    <col min="1531" max="1531" width="27.85546875" customWidth="1" style="248"/>
    <col min="1532" max="1532" width="27.5703125" customWidth="1" style="248"/>
    <col min="1533" max="1533" width="31.140625" customWidth="1" style="248"/>
    <col min="1534" max="1534" width="38.28515625" customWidth="1" style="248"/>
    <col min="1535" max="1535" width="45.28515625" customWidth="1" style="248"/>
    <col min="1536" max="1536" width="35.42578125" customWidth="1" style="248"/>
    <col min="1537" max="1537" width="28.28515625" customWidth="1" style="248"/>
    <col min="1538" max="1538" width="14" customWidth="1" style="248"/>
    <col min="1539" max="1539" width="18" customWidth="1" style="248"/>
    <col min="1540" max="1540" width="21.7109375" customWidth="1" style="248"/>
    <col min="1541" max="1541" width="30.28515625" customWidth="1" style="248"/>
    <col min="1542" max="1542" width="17.42578125" customWidth="1" style="248"/>
    <col min="1543" max="1543" width="36.28515625" customWidth="1" style="248"/>
    <col min="1544" max="1544" width="45.140625" customWidth="1" style="248"/>
    <col min="1545" max="1545" width="19.5703125" customWidth="1" style="248"/>
    <col min="1546" max="1546" width="24.140625" customWidth="1" style="248"/>
    <col min="1547" max="1547" width="36.140625" customWidth="1" style="248"/>
    <col min="1548" max="1548" width="8.85546875" customWidth="1" style="248"/>
    <col min="1549" max="1549" width="22" customWidth="1" style="248"/>
    <col min="1550" max="1550" width="21.42578125" customWidth="1" style="248"/>
    <col min="1551" max="1551" width="23" customWidth="1" style="248"/>
    <col min="1552" max="1552" width="13.42578125" customWidth="1" style="248"/>
    <col min="1553" max="1771" width="9" customWidth="1" style="248"/>
    <col min="1772" max="1772" width="4.140625" customWidth="1" style="248"/>
    <col min="1773" max="1773" width="8.140625" customWidth="1" style="248"/>
    <col min="1774" max="1774" width="9.140625" customWidth="1" style="248"/>
    <col min="1775" max="1776" width="16" customWidth="1" style="248"/>
    <col min="1777" max="1777" width="40.28515625" customWidth="1" style="248"/>
    <col min="1778" max="1778" width="21.7109375" customWidth="1" style="248"/>
    <col min="1779" max="1779" width="28.7109375" customWidth="1" style="248"/>
    <col min="1780" max="1780" width="12" customWidth="1" style="248"/>
    <col min="1781" max="1781" width="13.7109375" customWidth="1" style="248"/>
    <col min="1782" max="1782" width="23.5703125" customWidth="1" style="248"/>
    <col min="1783" max="1783" width="19.5703125" customWidth="1" style="248"/>
    <col min="1784" max="1784" width="15.85546875" customWidth="1" style="248"/>
    <col min="1785" max="1785" width="15.28515625" customWidth="1" style="248"/>
    <col min="1786" max="1786" width="13" customWidth="1" style="248"/>
    <col min="1787" max="1787" width="27.85546875" customWidth="1" style="248"/>
    <col min="1788" max="1788" width="27.5703125" customWidth="1" style="248"/>
    <col min="1789" max="1789" width="31.140625" customWidth="1" style="248"/>
    <col min="1790" max="1790" width="38.28515625" customWidth="1" style="248"/>
    <col min="1791" max="1791" width="45.28515625" customWidth="1" style="248"/>
    <col min="1792" max="1792" width="35.42578125" customWidth="1" style="248"/>
    <col min="1793" max="1793" width="28.28515625" customWidth="1" style="248"/>
    <col min="1794" max="1794" width="14" customWidth="1" style="248"/>
    <col min="1795" max="1795" width="18" customWidth="1" style="248"/>
    <col min="1796" max="1796" width="21.7109375" customWidth="1" style="248"/>
    <col min="1797" max="1797" width="30.28515625" customWidth="1" style="248"/>
    <col min="1798" max="1798" width="17.42578125" customWidth="1" style="248"/>
    <col min="1799" max="1799" width="36.28515625" customWidth="1" style="248"/>
    <col min="1800" max="1800" width="45.140625" customWidth="1" style="248"/>
    <col min="1801" max="1801" width="19.5703125" customWidth="1" style="248"/>
    <col min="1802" max="1802" width="24.140625" customWidth="1" style="248"/>
    <col min="1803" max="1803" width="36.140625" customWidth="1" style="248"/>
    <col min="1804" max="1804" width="8.85546875" customWidth="1" style="248"/>
    <col min="1805" max="1805" width="22" customWidth="1" style="248"/>
    <col min="1806" max="1806" width="21.42578125" customWidth="1" style="248"/>
    <col min="1807" max="1807" width="23" customWidth="1" style="248"/>
    <col min="1808" max="1808" width="13.42578125" customWidth="1" style="248"/>
    <col min="1809" max="2027" width="9" customWidth="1" style="248"/>
    <col min="2028" max="2028" width="4.140625" customWidth="1" style="248"/>
    <col min="2029" max="2029" width="8.140625" customWidth="1" style="248"/>
    <col min="2030" max="2030" width="9.140625" customWidth="1" style="248"/>
    <col min="2031" max="2032" width="16" customWidth="1" style="248"/>
    <col min="2033" max="2033" width="40.28515625" customWidth="1" style="248"/>
    <col min="2034" max="2034" width="21.7109375" customWidth="1" style="248"/>
    <col min="2035" max="2035" width="28.7109375" customWidth="1" style="248"/>
    <col min="2036" max="2036" width="12" customWidth="1" style="248"/>
    <col min="2037" max="2037" width="13.7109375" customWidth="1" style="248"/>
    <col min="2038" max="2038" width="23.5703125" customWidth="1" style="248"/>
    <col min="2039" max="2039" width="19.5703125" customWidth="1" style="248"/>
    <col min="2040" max="2040" width="15.85546875" customWidth="1" style="248"/>
    <col min="2041" max="2041" width="15.28515625" customWidth="1" style="248"/>
    <col min="2042" max="2042" width="13" customWidth="1" style="248"/>
    <col min="2043" max="2043" width="27.85546875" customWidth="1" style="248"/>
    <col min="2044" max="2044" width="27.5703125" customWidth="1" style="248"/>
    <col min="2045" max="2045" width="31.140625" customWidth="1" style="248"/>
    <col min="2046" max="2046" width="38.28515625" customWidth="1" style="248"/>
    <col min="2047" max="2047" width="45.28515625" customWidth="1" style="248"/>
    <col min="2048" max="2048" width="35.42578125" customWidth="1" style="248"/>
    <col min="2049" max="2049" width="28.28515625" customWidth="1" style="248"/>
    <col min="2050" max="2050" width="14" customWidth="1" style="248"/>
    <col min="2051" max="2051" width="18" customWidth="1" style="248"/>
    <col min="2052" max="2052" width="21.7109375" customWidth="1" style="248"/>
    <col min="2053" max="2053" width="30.28515625" customWidth="1" style="248"/>
    <col min="2054" max="2054" width="17.42578125" customWidth="1" style="248"/>
    <col min="2055" max="2055" width="36.28515625" customWidth="1" style="248"/>
    <col min="2056" max="2056" width="45.140625" customWidth="1" style="248"/>
    <col min="2057" max="2057" width="19.5703125" customWidth="1" style="248"/>
    <col min="2058" max="2058" width="24.140625" customWidth="1" style="248"/>
    <col min="2059" max="2059" width="36.140625" customWidth="1" style="248"/>
    <col min="2060" max="2060" width="8.85546875" customWidth="1" style="248"/>
    <col min="2061" max="2061" width="22" customWidth="1" style="248"/>
    <col min="2062" max="2062" width="21.42578125" customWidth="1" style="248"/>
    <col min="2063" max="2063" width="23" customWidth="1" style="248"/>
    <col min="2064" max="2064" width="13.42578125" customWidth="1" style="248"/>
    <col min="2065" max="2283" width="9" customWidth="1" style="248"/>
    <col min="2284" max="2284" width="4.140625" customWidth="1" style="248"/>
    <col min="2285" max="2285" width="8.140625" customWidth="1" style="248"/>
    <col min="2286" max="2286" width="9.140625" customWidth="1" style="248"/>
    <col min="2287" max="2288" width="16" customWidth="1" style="248"/>
    <col min="2289" max="2289" width="40.28515625" customWidth="1" style="248"/>
    <col min="2290" max="2290" width="21.7109375" customWidth="1" style="248"/>
    <col min="2291" max="2291" width="28.7109375" customWidth="1" style="248"/>
    <col min="2292" max="2292" width="12" customWidth="1" style="248"/>
    <col min="2293" max="2293" width="13.7109375" customWidth="1" style="248"/>
    <col min="2294" max="2294" width="23.5703125" customWidth="1" style="248"/>
    <col min="2295" max="2295" width="19.5703125" customWidth="1" style="248"/>
    <col min="2296" max="2296" width="15.85546875" customWidth="1" style="248"/>
    <col min="2297" max="2297" width="15.28515625" customWidth="1" style="248"/>
    <col min="2298" max="2298" width="13" customWidth="1" style="248"/>
    <col min="2299" max="2299" width="27.85546875" customWidth="1" style="248"/>
    <col min="2300" max="2300" width="27.5703125" customWidth="1" style="248"/>
    <col min="2301" max="2301" width="31.140625" customWidth="1" style="248"/>
    <col min="2302" max="2302" width="38.28515625" customWidth="1" style="248"/>
    <col min="2303" max="2303" width="45.28515625" customWidth="1" style="248"/>
    <col min="2304" max="2304" width="35.42578125" customWidth="1" style="248"/>
    <col min="2305" max="2305" width="28.28515625" customWidth="1" style="248"/>
    <col min="2306" max="2306" width="14" customWidth="1" style="248"/>
    <col min="2307" max="2307" width="18" customWidth="1" style="248"/>
    <col min="2308" max="2308" width="21.7109375" customWidth="1" style="248"/>
    <col min="2309" max="2309" width="30.28515625" customWidth="1" style="248"/>
    <col min="2310" max="2310" width="17.42578125" customWidth="1" style="248"/>
    <col min="2311" max="2311" width="36.28515625" customWidth="1" style="248"/>
    <col min="2312" max="2312" width="45.140625" customWidth="1" style="248"/>
    <col min="2313" max="2313" width="19.5703125" customWidth="1" style="248"/>
    <col min="2314" max="2314" width="24.140625" customWidth="1" style="248"/>
    <col min="2315" max="2315" width="36.140625" customWidth="1" style="248"/>
    <col min="2316" max="2316" width="8.85546875" customWidth="1" style="248"/>
    <col min="2317" max="2317" width="22" customWidth="1" style="248"/>
    <col min="2318" max="2318" width="21.42578125" customWidth="1" style="248"/>
    <col min="2319" max="2319" width="23" customWidth="1" style="248"/>
    <col min="2320" max="2320" width="13.42578125" customWidth="1" style="248"/>
    <col min="2321" max="2539" width="9" customWidth="1" style="248"/>
    <col min="2540" max="2540" width="4.140625" customWidth="1" style="248"/>
    <col min="2541" max="2541" width="8.140625" customWidth="1" style="248"/>
    <col min="2542" max="2542" width="9.140625" customWidth="1" style="248"/>
    <col min="2543" max="2544" width="16" customWidth="1" style="248"/>
    <col min="2545" max="2545" width="40.28515625" customWidth="1" style="248"/>
    <col min="2546" max="2546" width="21.7109375" customWidth="1" style="248"/>
    <col min="2547" max="2547" width="28.7109375" customWidth="1" style="248"/>
    <col min="2548" max="2548" width="12" customWidth="1" style="248"/>
    <col min="2549" max="2549" width="13.7109375" customWidth="1" style="248"/>
    <col min="2550" max="2550" width="23.5703125" customWidth="1" style="248"/>
    <col min="2551" max="2551" width="19.5703125" customWidth="1" style="248"/>
    <col min="2552" max="2552" width="15.85546875" customWidth="1" style="248"/>
    <col min="2553" max="2553" width="15.28515625" customWidth="1" style="248"/>
    <col min="2554" max="2554" width="13" customWidth="1" style="248"/>
    <col min="2555" max="2555" width="27.85546875" customWidth="1" style="248"/>
    <col min="2556" max="2556" width="27.5703125" customWidth="1" style="248"/>
    <col min="2557" max="2557" width="31.140625" customWidth="1" style="248"/>
    <col min="2558" max="2558" width="38.28515625" customWidth="1" style="248"/>
    <col min="2559" max="2559" width="45.28515625" customWidth="1" style="248"/>
    <col min="2560" max="2560" width="35.42578125" customWidth="1" style="248"/>
    <col min="2561" max="2561" width="28.28515625" customWidth="1" style="248"/>
    <col min="2562" max="2562" width="14" customWidth="1" style="248"/>
    <col min="2563" max="2563" width="18" customWidth="1" style="248"/>
    <col min="2564" max="2564" width="21.7109375" customWidth="1" style="248"/>
    <col min="2565" max="2565" width="30.28515625" customWidth="1" style="248"/>
    <col min="2566" max="2566" width="17.42578125" customWidth="1" style="248"/>
    <col min="2567" max="2567" width="36.28515625" customWidth="1" style="248"/>
    <col min="2568" max="2568" width="45.140625" customWidth="1" style="248"/>
    <col min="2569" max="2569" width="19.5703125" customWidth="1" style="248"/>
    <col min="2570" max="2570" width="24.140625" customWidth="1" style="248"/>
    <col min="2571" max="2571" width="36.140625" customWidth="1" style="248"/>
    <col min="2572" max="2572" width="8.85546875" customWidth="1" style="248"/>
    <col min="2573" max="2573" width="22" customWidth="1" style="248"/>
    <col min="2574" max="2574" width="21.42578125" customWidth="1" style="248"/>
    <col min="2575" max="2575" width="23" customWidth="1" style="248"/>
    <col min="2576" max="2576" width="13.42578125" customWidth="1" style="248"/>
    <col min="2577" max="2795" width="9" customWidth="1" style="248"/>
    <col min="2796" max="2796" width="4.140625" customWidth="1" style="248"/>
    <col min="2797" max="2797" width="8.140625" customWidth="1" style="248"/>
    <col min="2798" max="2798" width="9.140625" customWidth="1" style="248"/>
    <col min="2799" max="2800" width="16" customWidth="1" style="248"/>
    <col min="2801" max="2801" width="40.28515625" customWidth="1" style="248"/>
    <col min="2802" max="2802" width="21.7109375" customWidth="1" style="248"/>
    <col min="2803" max="2803" width="28.7109375" customWidth="1" style="248"/>
    <col min="2804" max="2804" width="12" customWidth="1" style="248"/>
    <col min="2805" max="2805" width="13.7109375" customWidth="1" style="248"/>
    <col min="2806" max="2806" width="23.5703125" customWidth="1" style="248"/>
    <col min="2807" max="2807" width="19.5703125" customWidth="1" style="248"/>
    <col min="2808" max="2808" width="15.85546875" customWidth="1" style="248"/>
    <col min="2809" max="2809" width="15.28515625" customWidth="1" style="248"/>
    <col min="2810" max="2810" width="13" customWidth="1" style="248"/>
    <col min="2811" max="2811" width="27.85546875" customWidth="1" style="248"/>
    <col min="2812" max="2812" width="27.5703125" customWidth="1" style="248"/>
    <col min="2813" max="2813" width="31.140625" customWidth="1" style="248"/>
    <col min="2814" max="2814" width="38.28515625" customWidth="1" style="248"/>
    <col min="2815" max="2815" width="45.28515625" customWidth="1" style="248"/>
    <col min="2816" max="2816" width="35.42578125" customWidth="1" style="248"/>
    <col min="2817" max="2817" width="28.28515625" customWidth="1" style="248"/>
    <col min="2818" max="2818" width="14" customWidth="1" style="248"/>
    <col min="2819" max="2819" width="18" customWidth="1" style="248"/>
    <col min="2820" max="2820" width="21.7109375" customWidth="1" style="248"/>
    <col min="2821" max="2821" width="30.28515625" customWidth="1" style="248"/>
    <col min="2822" max="2822" width="17.42578125" customWidth="1" style="248"/>
    <col min="2823" max="2823" width="36.28515625" customWidth="1" style="248"/>
    <col min="2824" max="2824" width="45.140625" customWidth="1" style="248"/>
    <col min="2825" max="2825" width="19.5703125" customWidth="1" style="248"/>
    <col min="2826" max="2826" width="24.140625" customWidth="1" style="248"/>
    <col min="2827" max="2827" width="36.140625" customWidth="1" style="248"/>
    <col min="2828" max="2828" width="8.85546875" customWidth="1" style="248"/>
    <col min="2829" max="2829" width="22" customWidth="1" style="248"/>
    <col min="2830" max="2830" width="21.42578125" customWidth="1" style="248"/>
    <col min="2831" max="2831" width="23" customWidth="1" style="248"/>
    <col min="2832" max="2832" width="13.42578125" customWidth="1" style="248"/>
    <col min="2833" max="3051" width="9" customWidth="1" style="248"/>
    <col min="3052" max="3052" width="4.140625" customWidth="1" style="248"/>
    <col min="3053" max="3053" width="8.140625" customWidth="1" style="248"/>
    <col min="3054" max="3054" width="9.140625" customWidth="1" style="248"/>
    <col min="3055" max="3056" width="16" customWidth="1" style="248"/>
    <col min="3057" max="3057" width="40.28515625" customWidth="1" style="248"/>
    <col min="3058" max="3058" width="21.7109375" customWidth="1" style="248"/>
    <col min="3059" max="3059" width="28.7109375" customWidth="1" style="248"/>
    <col min="3060" max="3060" width="12" customWidth="1" style="248"/>
    <col min="3061" max="3061" width="13.7109375" customWidth="1" style="248"/>
    <col min="3062" max="3062" width="23.5703125" customWidth="1" style="248"/>
    <col min="3063" max="3063" width="19.5703125" customWidth="1" style="248"/>
    <col min="3064" max="3064" width="15.85546875" customWidth="1" style="248"/>
    <col min="3065" max="3065" width="15.28515625" customWidth="1" style="248"/>
    <col min="3066" max="3066" width="13" customWidth="1" style="248"/>
    <col min="3067" max="3067" width="27.85546875" customWidth="1" style="248"/>
    <col min="3068" max="3068" width="27.5703125" customWidth="1" style="248"/>
    <col min="3069" max="3069" width="31.140625" customWidth="1" style="248"/>
    <col min="3070" max="3070" width="38.28515625" customWidth="1" style="248"/>
    <col min="3071" max="3071" width="45.28515625" customWidth="1" style="248"/>
    <col min="3072" max="3072" width="35.42578125" customWidth="1" style="248"/>
    <col min="3073" max="3073" width="28.28515625" customWidth="1" style="248"/>
    <col min="3074" max="3074" width="14" customWidth="1" style="248"/>
    <col min="3075" max="3075" width="18" customWidth="1" style="248"/>
    <col min="3076" max="3076" width="21.7109375" customWidth="1" style="248"/>
    <col min="3077" max="3077" width="30.28515625" customWidth="1" style="248"/>
    <col min="3078" max="3078" width="17.42578125" customWidth="1" style="248"/>
    <col min="3079" max="3079" width="36.28515625" customWidth="1" style="248"/>
    <col min="3080" max="3080" width="45.140625" customWidth="1" style="248"/>
    <col min="3081" max="3081" width="19.5703125" customWidth="1" style="248"/>
    <col min="3082" max="3082" width="24.140625" customWidth="1" style="248"/>
    <col min="3083" max="3083" width="36.140625" customWidth="1" style="248"/>
    <col min="3084" max="3084" width="8.85546875" customWidth="1" style="248"/>
    <col min="3085" max="3085" width="22" customWidth="1" style="248"/>
    <col min="3086" max="3086" width="21.42578125" customWidth="1" style="248"/>
    <col min="3087" max="3087" width="23" customWidth="1" style="248"/>
    <col min="3088" max="3088" width="13.42578125" customWidth="1" style="248"/>
    <col min="3089" max="3307" width="9" customWidth="1" style="248"/>
    <col min="3308" max="3308" width="4.140625" customWidth="1" style="248"/>
    <col min="3309" max="3309" width="8.140625" customWidth="1" style="248"/>
    <col min="3310" max="3310" width="9.140625" customWidth="1" style="248"/>
    <col min="3311" max="3312" width="16" customWidth="1" style="248"/>
    <col min="3313" max="3313" width="40.28515625" customWidth="1" style="248"/>
    <col min="3314" max="3314" width="21.7109375" customWidth="1" style="248"/>
    <col min="3315" max="3315" width="28.7109375" customWidth="1" style="248"/>
    <col min="3316" max="3316" width="12" customWidth="1" style="248"/>
    <col min="3317" max="3317" width="13.7109375" customWidth="1" style="248"/>
    <col min="3318" max="3318" width="23.5703125" customWidth="1" style="248"/>
    <col min="3319" max="3319" width="19.5703125" customWidth="1" style="248"/>
    <col min="3320" max="3320" width="15.85546875" customWidth="1" style="248"/>
    <col min="3321" max="3321" width="15.28515625" customWidth="1" style="248"/>
    <col min="3322" max="3322" width="13" customWidth="1" style="248"/>
    <col min="3323" max="3323" width="27.85546875" customWidth="1" style="248"/>
    <col min="3324" max="3324" width="27.5703125" customWidth="1" style="248"/>
    <col min="3325" max="3325" width="31.140625" customWidth="1" style="248"/>
    <col min="3326" max="3326" width="38.28515625" customWidth="1" style="248"/>
    <col min="3327" max="3327" width="45.28515625" customWidth="1" style="248"/>
    <col min="3328" max="3328" width="35.42578125" customWidth="1" style="248"/>
    <col min="3329" max="3329" width="28.28515625" customWidth="1" style="248"/>
    <col min="3330" max="3330" width="14" customWidth="1" style="248"/>
    <col min="3331" max="3331" width="18" customWidth="1" style="248"/>
    <col min="3332" max="3332" width="21.7109375" customWidth="1" style="248"/>
    <col min="3333" max="3333" width="30.28515625" customWidth="1" style="248"/>
    <col min="3334" max="3334" width="17.42578125" customWidth="1" style="248"/>
    <col min="3335" max="3335" width="36.28515625" customWidth="1" style="248"/>
    <col min="3336" max="3336" width="45.140625" customWidth="1" style="248"/>
    <col min="3337" max="3337" width="19.5703125" customWidth="1" style="248"/>
    <col min="3338" max="3338" width="24.140625" customWidth="1" style="248"/>
    <col min="3339" max="3339" width="36.140625" customWidth="1" style="248"/>
    <col min="3340" max="3340" width="8.85546875" customWidth="1" style="248"/>
    <col min="3341" max="3341" width="22" customWidth="1" style="248"/>
    <col min="3342" max="3342" width="21.42578125" customWidth="1" style="248"/>
    <col min="3343" max="3343" width="23" customWidth="1" style="248"/>
    <col min="3344" max="3344" width="13.42578125" customWidth="1" style="248"/>
    <col min="3345" max="3563" width="9" customWidth="1" style="248"/>
    <col min="3564" max="3564" width="4.140625" customWidth="1" style="248"/>
    <col min="3565" max="3565" width="8.140625" customWidth="1" style="248"/>
    <col min="3566" max="3566" width="9.140625" customWidth="1" style="248"/>
    <col min="3567" max="3568" width="16" customWidth="1" style="248"/>
    <col min="3569" max="3569" width="40.28515625" customWidth="1" style="248"/>
    <col min="3570" max="3570" width="21.7109375" customWidth="1" style="248"/>
    <col min="3571" max="3571" width="28.7109375" customWidth="1" style="248"/>
    <col min="3572" max="3572" width="12" customWidth="1" style="248"/>
    <col min="3573" max="3573" width="13.7109375" customWidth="1" style="248"/>
    <col min="3574" max="3574" width="23.5703125" customWidth="1" style="248"/>
    <col min="3575" max="3575" width="19.5703125" customWidth="1" style="248"/>
    <col min="3576" max="3576" width="15.85546875" customWidth="1" style="248"/>
    <col min="3577" max="3577" width="15.28515625" customWidth="1" style="248"/>
    <col min="3578" max="3578" width="13" customWidth="1" style="248"/>
    <col min="3579" max="3579" width="27.85546875" customWidth="1" style="248"/>
    <col min="3580" max="3580" width="27.5703125" customWidth="1" style="248"/>
    <col min="3581" max="3581" width="31.140625" customWidth="1" style="248"/>
    <col min="3582" max="3582" width="38.28515625" customWidth="1" style="248"/>
    <col min="3583" max="3583" width="45.28515625" customWidth="1" style="248"/>
    <col min="3584" max="3584" width="35.42578125" customWidth="1" style="248"/>
    <col min="3585" max="3585" width="28.28515625" customWidth="1" style="248"/>
    <col min="3586" max="3586" width="14" customWidth="1" style="248"/>
    <col min="3587" max="3587" width="18" customWidth="1" style="248"/>
    <col min="3588" max="3588" width="21.7109375" customWidth="1" style="248"/>
    <col min="3589" max="3589" width="30.28515625" customWidth="1" style="248"/>
    <col min="3590" max="3590" width="17.42578125" customWidth="1" style="248"/>
    <col min="3591" max="3591" width="36.28515625" customWidth="1" style="248"/>
    <col min="3592" max="3592" width="45.140625" customWidth="1" style="248"/>
    <col min="3593" max="3593" width="19.5703125" customWidth="1" style="248"/>
    <col min="3594" max="3594" width="24.140625" customWidth="1" style="248"/>
    <col min="3595" max="3595" width="36.140625" customWidth="1" style="248"/>
    <col min="3596" max="3596" width="8.85546875" customWidth="1" style="248"/>
    <col min="3597" max="3597" width="22" customWidth="1" style="248"/>
    <col min="3598" max="3598" width="21.42578125" customWidth="1" style="248"/>
    <col min="3599" max="3599" width="23" customWidth="1" style="248"/>
    <col min="3600" max="3600" width="13.42578125" customWidth="1" style="248"/>
    <col min="3601" max="3819" width="9" customWidth="1" style="248"/>
    <col min="3820" max="3820" width="4.140625" customWidth="1" style="248"/>
    <col min="3821" max="3821" width="8.140625" customWidth="1" style="248"/>
    <col min="3822" max="3822" width="9.140625" customWidth="1" style="248"/>
    <col min="3823" max="3824" width="16" customWidth="1" style="248"/>
    <col min="3825" max="3825" width="40.28515625" customWidth="1" style="248"/>
    <col min="3826" max="3826" width="21.7109375" customWidth="1" style="248"/>
    <col min="3827" max="3827" width="28.7109375" customWidth="1" style="248"/>
    <col min="3828" max="3828" width="12" customWidth="1" style="248"/>
    <col min="3829" max="3829" width="13.7109375" customWidth="1" style="248"/>
    <col min="3830" max="3830" width="23.5703125" customWidth="1" style="248"/>
    <col min="3831" max="3831" width="19.5703125" customWidth="1" style="248"/>
    <col min="3832" max="3832" width="15.85546875" customWidth="1" style="248"/>
    <col min="3833" max="3833" width="15.28515625" customWidth="1" style="248"/>
    <col min="3834" max="3834" width="13" customWidth="1" style="248"/>
    <col min="3835" max="3835" width="27.85546875" customWidth="1" style="248"/>
    <col min="3836" max="3836" width="27.5703125" customWidth="1" style="248"/>
    <col min="3837" max="3837" width="31.140625" customWidth="1" style="248"/>
    <col min="3838" max="3838" width="38.28515625" customWidth="1" style="248"/>
    <col min="3839" max="3839" width="45.28515625" customWidth="1" style="248"/>
    <col min="3840" max="3840" width="35.42578125" customWidth="1" style="248"/>
    <col min="3841" max="3841" width="28.28515625" customWidth="1" style="248"/>
    <col min="3842" max="3842" width="14" customWidth="1" style="248"/>
    <col min="3843" max="3843" width="18" customWidth="1" style="248"/>
    <col min="3844" max="3844" width="21.7109375" customWidth="1" style="248"/>
    <col min="3845" max="3845" width="30.28515625" customWidth="1" style="248"/>
    <col min="3846" max="3846" width="17.42578125" customWidth="1" style="248"/>
    <col min="3847" max="3847" width="36.28515625" customWidth="1" style="248"/>
    <col min="3848" max="3848" width="45.140625" customWidth="1" style="248"/>
    <col min="3849" max="3849" width="19.5703125" customWidth="1" style="248"/>
    <col min="3850" max="3850" width="24.140625" customWidth="1" style="248"/>
    <col min="3851" max="3851" width="36.140625" customWidth="1" style="248"/>
    <col min="3852" max="3852" width="8.85546875" customWidth="1" style="248"/>
    <col min="3853" max="3853" width="22" customWidth="1" style="248"/>
    <col min="3854" max="3854" width="21.42578125" customWidth="1" style="248"/>
    <col min="3855" max="3855" width="23" customWidth="1" style="248"/>
    <col min="3856" max="3856" width="13.42578125" customWidth="1" style="248"/>
    <col min="3857" max="4075" width="9" customWidth="1" style="248"/>
    <col min="4076" max="4076" width="4.140625" customWidth="1" style="248"/>
    <col min="4077" max="4077" width="8.140625" customWidth="1" style="248"/>
    <col min="4078" max="4078" width="9.140625" customWidth="1" style="248"/>
    <col min="4079" max="4080" width="16" customWidth="1" style="248"/>
    <col min="4081" max="4081" width="40.28515625" customWidth="1" style="248"/>
    <col min="4082" max="4082" width="21.7109375" customWidth="1" style="248"/>
    <col min="4083" max="4083" width="28.7109375" customWidth="1" style="248"/>
    <col min="4084" max="4084" width="12" customWidth="1" style="248"/>
    <col min="4085" max="4085" width="13.7109375" customWidth="1" style="248"/>
    <col min="4086" max="4086" width="23.5703125" customWidth="1" style="248"/>
    <col min="4087" max="4087" width="19.5703125" customWidth="1" style="248"/>
    <col min="4088" max="4088" width="15.85546875" customWidth="1" style="248"/>
    <col min="4089" max="4089" width="15.28515625" customWidth="1" style="248"/>
    <col min="4090" max="4090" width="13" customWidth="1" style="248"/>
    <col min="4091" max="4091" width="27.85546875" customWidth="1" style="248"/>
    <col min="4092" max="4092" width="27.5703125" customWidth="1" style="248"/>
    <col min="4093" max="4093" width="31.140625" customWidth="1" style="248"/>
    <col min="4094" max="4094" width="38.28515625" customWidth="1" style="248"/>
    <col min="4095" max="4095" width="45.28515625" customWidth="1" style="248"/>
    <col min="4096" max="4096" width="35.42578125" customWidth="1" style="248"/>
    <col min="4097" max="4097" width="28.28515625" customWidth="1" style="248"/>
    <col min="4098" max="4098" width="14" customWidth="1" style="248"/>
    <col min="4099" max="4099" width="18" customWidth="1" style="248"/>
    <col min="4100" max="4100" width="21.7109375" customWidth="1" style="248"/>
    <col min="4101" max="4101" width="30.28515625" customWidth="1" style="248"/>
    <col min="4102" max="4102" width="17.42578125" customWidth="1" style="248"/>
    <col min="4103" max="4103" width="36.28515625" customWidth="1" style="248"/>
    <col min="4104" max="4104" width="45.140625" customWidth="1" style="248"/>
    <col min="4105" max="4105" width="19.5703125" customWidth="1" style="248"/>
    <col min="4106" max="4106" width="24.140625" customWidth="1" style="248"/>
    <col min="4107" max="4107" width="36.140625" customWidth="1" style="248"/>
    <col min="4108" max="4108" width="8.85546875" customWidth="1" style="248"/>
    <col min="4109" max="4109" width="22" customWidth="1" style="248"/>
    <col min="4110" max="4110" width="21.42578125" customWidth="1" style="248"/>
    <col min="4111" max="4111" width="23" customWidth="1" style="248"/>
    <col min="4112" max="4112" width="13.42578125" customWidth="1" style="248"/>
    <col min="4113" max="4331" width="9" customWidth="1" style="248"/>
    <col min="4332" max="4332" width="4.140625" customWidth="1" style="248"/>
    <col min="4333" max="4333" width="8.140625" customWidth="1" style="248"/>
    <col min="4334" max="4334" width="9.140625" customWidth="1" style="248"/>
    <col min="4335" max="4336" width="16" customWidth="1" style="248"/>
    <col min="4337" max="4337" width="40.28515625" customWidth="1" style="248"/>
    <col min="4338" max="4338" width="21.7109375" customWidth="1" style="248"/>
    <col min="4339" max="4339" width="28.7109375" customWidth="1" style="248"/>
    <col min="4340" max="4340" width="12" customWidth="1" style="248"/>
    <col min="4341" max="4341" width="13.7109375" customWidth="1" style="248"/>
    <col min="4342" max="4342" width="23.5703125" customWidth="1" style="248"/>
    <col min="4343" max="4343" width="19.5703125" customWidth="1" style="248"/>
    <col min="4344" max="4344" width="15.85546875" customWidth="1" style="248"/>
    <col min="4345" max="4345" width="15.28515625" customWidth="1" style="248"/>
    <col min="4346" max="4346" width="13" customWidth="1" style="248"/>
    <col min="4347" max="4347" width="27.85546875" customWidth="1" style="248"/>
    <col min="4348" max="4348" width="27.5703125" customWidth="1" style="248"/>
    <col min="4349" max="4349" width="31.140625" customWidth="1" style="248"/>
    <col min="4350" max="4350" width="38.28515625" customWidth="1" style="248"/>
    <col min="4351" max="4351" width="45.28515625" customWidth="1" style="248"/>
    <col min="4352" max="4352" width="35.42578125" customWidth="1" style="248"/>
    <col min="4353" max="4353" width="28.28515625" customWidth="1" style="248"/>
    <col min="4354" max="4354" width="14" customWidth="1" style="248"/>
    <col min="4355" max="4355" width="18" customWidth="1" style="248"/>
    <col min="4356" max="4356" width="21.7109375" customWidth="1" style="248"/>
    <col min="4357" max="4357" width="30.28515625" customWidth="1" style="248"/>
    <col min="4358" max="4358" width="17.42578125" customWidth="1" style="248"/>
    <col min="4359" max="4359" width="36.28515625" customWidth="1" style="248"/>
    <col min="4360" max="4360" width="45.140625" customWidth="1" style="248"/>
    <col min="4361" max="4361" width="19.5703125" customWidth="1" style="248"/>
    <col min="4362" max="4362" width="24.140625" customWidth="1" style="248"/>
    <col min="4363" max="4363" width="36.140625" customWidth="1" style="248"/>
    <col min="4364" max="4364" width="8.85546875" customWidth="1" style="248"/>
    <col min="4365" max="4365" width="22" customWidth="1" style="248"/>
    <col min="4366" max="4366" width="21.42578125" customWidth="1" style="248"/>
    <col min="4367" max="4367" width="23" customWidth="1" style="248"/>
    <col min="4368" max="4368" width="13.42578125" customWidth="1" style="248"/>
    <col min="4369" max="4587" width="9" customWidth="1" style="248"/>
    <col min="4588" max="4588" width="4.140625" customWidth="1" style="248"/>
    <col min="4589" max="4589" width="8.140625" customWidth="1" style="248"/>
    <col min="4590" max="4590" width="9.140625" customWidth="1" style="248"/>
    <col min="4591" max="4592" width="16" customWidth="1" style="248"/>
    <col min="4593" max="4593" width="40.28515625" customWidth="1" style="248"/>
    <col min="4594" max="4594" width="21.7109375" customWidth="1" style="248"/>
    <col min="4595" max="4595" width="28.7109375" customWidth="1" style="248"/>
    <col min="4596" max="4596" width="12" customWidth="1" style="248"/>
    <col min="4597" max="4597" width="13.7109375" customWidth="1" style="248"/>
    <col min="4598" max="4598" width="23.5703125" customWidth="1" style="248"/>
    <col min="4599" max="4599" width="19.5703125" customWidth="1" style="248"/>
    <col min="4600" max="4600" width="15.85546875" customWidth="1" style="248"/>
    <col min="4601" max="4601" width="15.28515625" customWidth="1" style="248"/>
    <col min="4602" max="4602" width="13" customWidth="1" style="248"/>
    <col min="4603" max="4603" width="27.85546875" customWidth="1" style="248"/>
    <col min="4604" max="4604" width="27.5703125" customWidth="1" style="248"/>
    <col min="4605" max="4605" width="31.140625" customWidth="1" style="248"/>
    <col min="4606" max="4606" width="38.28515625" customWidth="1" style="248"/>
    <col min="4607" max="4607" width="45.28515625" customWidth="1" style="248"/>
    <col min="4608" max="4608" width="35.42578125" customWidth="1" style="248"/>
    <col min="4609" max="4609" width="28.28515625" customWidth="1" style="248"/>
    <col min="4610" max="4610" width="14" customWidth="1" style="248"/>
    <col min="4611" max="4611" width="18" customWidth="1" style="248"/>
    <col min="4612" max="4612" width="21.7109375" customWidth="1" style="248"/>
    <col min="4613" max="4613" width="30.28515625" customWidth="1" style="248"/>
    <col min="4614" max="4614" width="17.42578125" customWidth="1" style="248"/>
    <col min="4615" max="4615" width="36.28515625" customWidth="1" style="248"/>
    <col min="4616" max="4616" width="45.140625" customWidth="1" style="248"/>
    <col min="4617" max="4617" width="19.5703125" customWidth="1" style="248"/>
    <col min="4618" max="4618" width="24.140625" customWidth="1" style="248"/>
    <col min="4619" max="4619" width="36.140625" customWidth="1" style="248"/>
    <col min="4620" max="4620" width="8.85546875" customWidth="1" style="248"/>
    <col min="4621" max="4621" width="22" customWidth="1" style="248"/>
    <col min="4622" max="4622" width="21.42578125" customWidth="1" style="248"/>
    <col min="4623" max="4623" width="23" customWidth="1" style="248"/>
    <col min="4624" max="4624" width="13.42578125" customWidth="1" style="248"/>
    <col min="4625" max="4843" width="9" customWidth="1" style="248"/>
    <col min="4844" max="4844" width="4.140625" customWidth="1" style="248"/>
    <col min="4845" max="4845" width="8.140625" customWidth="1" style="248"/>
    <col min="4846" max="4846" width="9.140625" customWidth="1" style="248"/>
    <col min="4847" max="4848" width="16" customWidth="1" style="248"/>
    <col min="4849" max="4849" width="40.28515625" customWidth="1" style="248"/>
    <col min="4850" max="4850" width="21.7109375" customWidth="1" style="248"/>
    <col min="4851" max="4851" width="28.7109375" customWidth="1" style="248"/>
    <col min="4852" max="4852" width="12" customWidth="1" style="248"/>
    <col min="4853" max="4853" width="13.7109375" customWidth="1" style="248"/>
    <col min="4854" max="4854" width="23.5703125" customWidth="1" style="248"/>
    <col min="4855" max="4855" width="19.5703125" customWidth="1" style="248"/>
    <col min="4856" max="4856" width="15.85546875" customWidth="1" style="248"/>
    <col min="4857" max="4857" width="15.28515625" customWidth="1" style="248"/>
    <col min="4858" max="4858" width="13" customWidth="1" style="248"/>
    <col min="4859" max="4859" width="27.85546875" customWidth="1" style="248"/>
    <col min="4860" max="4860" width="27.5703125" customWidth="1" style="248"/>
    <col min="4861" max="4861" width="31.140625" customWidth="1" style="248"/>
    <col min="4862" max="4862" width="38.28515625" customWidth="1" style="248"/>
    <col min="4863" max="4863" width="45.28515625" customWidth="1" style="248"/>
    <col min="4864" max="4864" width="35.42578125" customWidth="1" style="248"/>
    <col min="4865" max="4865" width="28.28515625" customWidth="1" style="248"/>
    <col min="4866" max="4866" width="14" customWidth="1" style="248"/>
    <col min="4867" max="4867" width="18" customWidth="1" style="248"/>
    <col min="4868" max="4868" width="21.7109375" customWidth="1" style="248"/>
    <col min="4869" max="4869" width="30.28515625" customWidth="1" style="248"/>
    <col min="4870" max="4870" width="17.42578125" customWidth="1" style="248"/>
    <col min="4871" max="4871" width="36.28515625" customWidth="1" style="248"/>
    <col min="4872" max="4872" width="45.140625" customWidth="1" style="248"/>
    <col min="4873" max="4873" width="19.5703125" customWidth="1" style="248"/>
    <col min="4874" max="4874" width="24.140625" customWidth="1" style="248"/>
    <col min="4875" max="4875" width="36.140625" customWidth="1" style="248"/>
    <col min="4876" max="4876" width="8.85546875" customWidth="1" style="248"/>
    <col min="4877" max="4877" width="22" customWidth="1" style="248"/>
    <col min="4878" max="4878" width="21.42578125" customWidth="1" style="248"/>
    <col min="4879" max="4879" width="23" customWidth="1" style="248"/>
    <col min="4880" max="4880" width="13.42578125" customWidth="1" style="248"/>
    <col min="4881" max="5099" width="9" customWidth="1" style="248"/>
    <col min="5100" max="5100" width="4.140625" customWidth="1" style="248"/>
    <col min="5101" max="5101" width="8.140625" customWidth="1" style="248"/>
    <col min="5102" max="5102" width="9.140625" customWidth="1" style="248"/>
    <col min="5103" max="5104" width="16" customWidth="1" style="248"/>
    <col min="5105" max="5105" width="40.28515625" customWidth="1" style="248"/>
    <col min="5106" max="5106" width="21.7109375" customWidth="1" style="248"/>
    <col min="5107" max="5107" width="28.7109375" customWidth="1" style="248"/>
    <col min="5108" max="5108" width="12" customWidth="1" style="248"/>
    <col min="5109" max="5109" width="13.7109375" customWidth="1" style="248"/>
    <col min="5110" max="5110" width="23.5703125" customWidth="1" style="248"/>
    <col min="5111" max="5111" width="19.5703125" customWidth="1" style="248"/>
    <col min="5112" max="5112" width="15.85546875" customWidth="1" style="248"/>
    <col min="5113" max="5113" width="15.28515625" customWidth="1" style="248"/>
    <col min="5114" max="5114" width="13" customWidth="1" style="248"/>
    <col min="5115" max="5115" width="27.85546875" customWidth="1" style="248"/>
    <col min="5116" max="5116" width="27.5703125" customWidth="1" style="248"/>
    <col min="5117" max="5117" width="31.140625" customWidth="1" style="248"/>
    <col min="5118" max="5118" width="38.28515625" customWidth="1" style="248"/>
    <col min="5119" max="5119" width="45.28515625" customWidth="1" style="248"/>
    <col min="5120" max="5120" width="35.42578125" customWidth="1" style="248"/>
    <col min="5121" max="5121" width="28.28515625" customWidth="1" style="248"/>
    <col min="5122" max="5122" width="14" customWidth="1" style="248"/>
    <col min="5123" max="5123" width="18" customWidth="1" style="248"/>
    <col min="5124" max="5124" width="21.7109375" customWidth="1" style="248"/>
    <col min="5125" max="5125" width="30.28515625" customWidth="1" style="248"/>
    <col min="5126" max="5126" width="17.42578125" customWidth="1" style="248"/>
    <col min="5127" max="5127" width="36.28515625" customWidth="1" style="248"/>
    <col min="5128" max="5128" width="45.140625" customWidth="1" style="248"/>
    <col min="5129" max="5129" width="19.5703125" customWidth="1" style="248"/>
    <col min="5130" max="5130" width="24.140625" customWidth="1" style="248"/>
    <col min="5131" max="5131" width="36.140625" customWidth="1" style="248"/>
    <col min="5132" max="5132" width="8.85546875" customWidth="1" style="248"/>
    <col min="5133" max="5133" width="22" customWidth="1" style="248"/>
    <col min="5134" max="5134" width="21.42578125" customWidth="1" style="248"/>
    <col min="5135" max="5135" width="23" customWidth="1" style="248"/>
    <col min="5136" max="5136" width="13.42578125" customWidth="1" style="248"/>
    <col min="5137" max="5355" width="9" customWidth="1" style="248"/>
    <col min="5356" max="5356" width="4.140625" customWidth="1" style="248"/>
    <col min="5357" max="5357" width="8.140625" customWidth="1" style="248"/>
    <col min="5358" max="5358" width="9.140625" customWidth="1" style="248"/>
    <col min="5359" max="5360" width="16" customWidth="1" style="248"/>
    <col min="5361" max="5361" width="40.28515625" customWidth="1" style="248"/>
    <col min="5362" max="5362" width="21.7109375" customWidth="1" style="248"/>
    <col min="5363" max="5363" width="28.7109375" customWidth="1" style="248"/>
    <col min="5364" max="5364" width="12" customWidth="1" style="248"/>
    <col min="5365" max="5365" width="13.7109375" customWidth="1" style="248"/>
    <col min="5366" max="5366" width="23.5703125" customWidth="1" style="248"/>
    <col min="5367" max="5367" width="19.5703125" customWidth="1" style="248"/>
    <col min="5368" max="5368" width="15.85546875" customWidth="1" style="248"/>
    <col min="5369" max="5369" width="15.28515625" customWidth="1" style="248"/>
    <col min="5370" max="5370" width="13" customWidth="1" style="248"/>
    <col min="5371" max="5371" width="27.85546875" customWidth="1" style="248"/>
    <col min="5372" max="5372" width="27.5703125" customWidth="1" style="248"/>
    <col min="5373" max="5373" width="31.140625" customWidth="1" style="248"/>
    <col min="5374" max="5374" width="38.28515625" customWidth="1" style="248"/>
    <col min="5375" max="5375" width="45.28515625" customWidth="1" style="248"/>
    <col min="5376" max="5376" width="35.42578125" customWidth="1" style="248"/>
    <col min="5377" max="5377" width="28.28515625" customWidth="1" style="248"/>
    <col min="5378" max="5378" width="14" customWidth="1" style="248"/>
    <col min="5379" max="5379" width="18" customWidth="1" style="248"/>
    <col min="5380" max="5380" width="21.7109375" customWidth="1" style="248"/>
    <col min="5381" max="5381" width="30.28515625" customWidth="1" style="248"/>
    <col min="5382" max="5382" width="17.42578125" customWidth="1" style="248"/>
    <col min="5383" max="5383" width="36.28515625" customWidth="1" style="248"/>
    <col min="5384" max="5384" width="45.140625" customWidth="1" style="248"/>
    <col min="5385" max="5385" width="19.5703125" customWidth="1" style="248"/>
    <col min="5386" max="5386" width="24.140625" customWidth="1" style="248"/>
    <col min="5387" max="5387" width="36.140625" customWidth="1" style="248"/>
    <col min="5388" max="5388" width="8.85546875" customWidth="1" style="248"/>
    <col min="5389" max="5389" width="22" customWidth="1" style="248"/>
    <col min="5390" max="5390" width="21.42578125" customWidth="1" style="248"/>
    <col min="5391" max="5391" width="23" customWidth="1" style="248"/>
    <col min="5392" max="5392" width="13.42578125" customWidth="1" style="248"/>
    <col min="5393" max="5611" width="9" customWidth="1" style="248"/>
    <col min="5612" max="5612" width="4.140625" customWidth="1" style="248"/>
    <col min="5613" max="5613" width="8.140625" customWidth="1" style="248"/>
    <col min="5614" max="5614" width="9.140625" customWidth="1" style="248"/>
    <col min="5615" max="5616" width="16" customWidth="1" style="248"/>
    <col min="5617" max="5617" width="40.28515625" customWidth="1" style="248"/>
    <col min="5618" max="5618" width="21.7109375" customWidth="1" style="248"/>
    <col min="5619" max="5619" width="28.7109375" customWidth="1" style="248"/>
    <col min="5620" max="5620" width="12" customWidth="1" style="248"/>
    <col min="5621" max="5621" width="13.7109375" customWidth="1" style="248"/>
    <col min="5622" max="5622" width="23.5703125" customWidth="1" style="248"/>
    <col min="5623" max="5623" width="19.5703125" customWidth="1" style="248"/>
    <col min="5624" max="5624" width="15.85546875" customWidth="1" style="248"/>
    <col min="5625" max="5625" width="15.28515625" customWidth="1" style="248"/>
    <col min="5626" max="5626" width="13" customWidth="1" style="248"/>
    <col min="5627" max="5627" width="27.85546875" customWidth="1" style="248"/>
    <col min="5628" max="5628" width="27.5703125" customWidth="1" style="248"/>
    <col min="5629" max="5629" width="31.140625" customWidth="1" style="248"/>
    <col min="5630" max="5630" width="38.28515625" customWidth="1" style="248"/>
    <col min="5631" max="5631" width="45.28515625" customWidth="1" style="248"/>
    <col min="5632" max="5632" width="35.42578125" customWidth="1" style="248"/>
    <col min="5633" max="5633" width="28.28515625" customWidth="1" style="248"/>
    <col min="5634" max="5634" width="14" customWidth="1" style="248"/>
    <col min="5635" max="5635" width="18" customWidth="1" style="248"/>
    <col min="5636" max="5636" width="21.7109375" customWidth="1" style="248"/>
    <col min="5637" max="5637" width="30.28515625" customWidth="1" style="248"/>
    <col min="5638" max="5638" width="17.42578125" customWidth="1" style="248"/>
    <col min="5639" max="5639" width="36.28515625" customWidth="1" style="248"/>
    <col min="5640" max="5640" width="45.140625" customWidth="1" style="248"/>
    <col min="5641" max="5641" width="19.5703125" customWidth="1" style="248"/>
    <col min="5642" max="5642" width="24.140625" customWidth="1" style="248"/>
    <col min="5643" max="5643" width="36.140625" customWidth="1" style="248"/>
    <col min="5644" max="5644" width="8.85546875" customWidth="1" style="248"/>
    <col min="5645" max="5645" width="22" customWidth="1" style="248"/>
    <col min="5646" max="5646" width="21.42578125" customWidth="1" style="248"/>
    <col min="5647" max="5647" width="23" customWidth="1" style="248"/>
    <col min="5648" max="5648" width="13.42578125" customWidth="1" style="248"/>
    <col min="5649" max="5867" width="9" customWidth="1" style="248"/>
    <col min="5868" max="5868" width="4.140625" customWidth="1" style="248"/>
    <col min="5869" max="5869" width="8.140625" customWidth="1" style="248"/>
    <col min="5870" max="5870" width="9.140625" customWidth="1" style="248"/>
    <col min="5871" max="5872" width="16" customWidth="1" style="248"/>
    <col min="5873" max="5873" width="40.28515625" customWidth="1" style="248"/>
    <col min="5874" max="5874" width="21.7109375" customWidth="1" style="248"/>
    <col min="5875" max="5875" width="28.7109375" customWidth="1" style="248"/>
    <col min="5876" max="5876" width="12" customWidth="1" style="248"/>
    <col min="5877" max="5877" width="13.7109375" customWidth="1" style="248"/>
    <col min="5878" max="5878" width="23.5703125" customWidth="1" style="248"/>
    <col min="5879" max="5879" width="19.5703125" customWidth="1" style="248"/>
    <col min="5880" max="5880" width="15.85546875" customWidth="1" style="248"/>
    <col min="5881" max="5881" width="15.28515625" customWidth="1" style="248"/>
    <col min="5882" max="5882" width="13" customWidth="1" style="248"/>
    <col min="5883" max="5883" width="27.85546875" customWidth="1" style="248"/>
    <col min="5884" max="5884" width="27.5703125" customWidth="1" style="248"/>
    <col min="5885" max="5885" width="31.140625" customWidth="1" style="248"/>
    <col min="5886" max="5886" width="38.28515625" customWidth="1" style="248"/>
    <col min="5887" max="5887" width="45.28515625" customWidth="1" style="248"/>
    <col min="5888" max="5888" width="35.42578125" customWidth="1" style="248"/>
    <col min="5889" max="5889" width="28.28515625" customWidth="1" style="248"/>
    <col min="5890" max="5890" width="14" customWidth="1" style="248"/>
    <col min="5891" max="5891" width="18" customWidth="1" style="248"/>
    <col min="5892" max="5892" width="21.7109375" customWidth="1" style="248"/>
    <col min="5893" max="5893" width="30.28515625" customWidth="1" style="248"/>
    <col min="5894" max="5894" width="17.42578125" customWidth="1" style="248"/>
    <col min="5895" max="5895" width="36.28515625" customWidth="1" style="248"/>
    <col min="5896" max="5896" width="45.140625" customWidth="1" style="248"/>
    <col min="5897" max="5897" width="19.5703125" customWidth="1" style="248"/>
    <col min="5898" max="5898" width="24.140625" customWidth="1" style="248"/>
    <col min="5899" max="5899" width="36.140625" customWidth="1" style="248"/>
    <col min="5900" max="5900" width="8.85546875" customWidth="1" style="248"/>
    <col min="5901" max="5901" width="22" customWidth="1" style="248"/>
    <col min="5902" max="5902" width="21.42578125" customWidth="1" style="248"/>
    <col min="5903" max="5903" width="23" customWidth="1" style="248"/>
    <col min="5904" max="5904" width="13.42578125" customWidth="1" style="248"/>
    <col min="5905" max="6123" width="9" customWidth="1" style="248"/>
    <col min="6124" max="6124" width="4.140625" customWidth="1" style="248"/>
    <col min="6125" max="6125" width="8.140625" customWidth="1" style="248"/>
    <col min="6126" max="6126" width="9.140625" customWidth="1" style="248"/>
    <col min="6127" max="6128" width="16" customWidth="1" style="248"/>
    <col min="6129" max="6129" width="40.28515625" customWidth="1" style="248"/>
    <col min="6130" max="6130" width="21.7109375" customWidth="1" style="248"/>
    <col min="6131" max="6131" width="28.7109375" customWidth="1" style="248"/>
    <col min="6132" max="6132" width="12" customWidth="1" style="248"/>
    <col min="6133" max="6133" width="13.7109375" customWidth="1" style="248"/>
    <col min="6134" max="6134" width="23.5703125" customWidth="1" style="248"/>
    <col min="6135" max="6135" width="19.5703125" customWidth="1" style="248"/>
    <col min="6136" max="6136" width="15.85546875" customWidth="1" style="248"/>
    <col min="6137" max="6137" width="15.28515625" customWidth="1" style="248"/>
    <col min="6138" max="6138" width="13" customWidth="1" style="248"/>
    <col min="6139" max="6139" width="27.85546875" customWidth="1" style="248"/>
    <col min="6140" max="6140" width="27.5703125" customWidth="1" style="248"/>
    <col min="6141" max="6141" width="31.140625" customWidth="1" style="248"/>
    <col min="6142" max="6142" width="38.28515625" customWidth="1" style="248"/>
    <col min="6143" max="6143" width="45.28515625" customWidth="1" style="248"/>
    <col min="6144" max="6144" width="35.42578125" customWidth="1" style="248"/>
    <col min="6145" max="6145" width="28.28515625" customWidth="1" style="248"/>
    <col min="6146" max="6146" width="14" customWidth="1" style="248"/>
    <col min="6147" max="6147" width="18" customWidth="1" style="248"/>
    <col min="6148" max="6148" width="21.7109375" customWidth="1" style="248"/>
    <col min="6149" max="6149" width="30.28515625" customWidth="1" style="248"/>
    <col min="6150" max="6150" width="17.42578125" customWidth="1" style="248"/>
    <col min="6151" max="6151" width="36.28515625" customWidth="1" style="248"/>
    <col min="6152" max="6152" width="45.140625" customWidth="1" style="248"/>
    <col min="6153" max="6153" width="19.5703125" customWidth="1" style="248"/>
    <col min="6154" max="6154" width="24.140625" customWidth="1" style="248"/>
    <col min="6155" max="6155" width="36.140625" customWidth="1" style="248"/>
    <col min="6156" max="6156" width="8.85546875" customWidth="1" style="248"/>
    <col min="6157" max="6157" width="22" customWidth="1" style="248"/>
    <col min="6158" max="6158" width="21.42578125" customWidth="1" style="248"/>
    <col min="6159" max="6159" width="23" customWidth="1" style="248"/>
    <col min="6160" max="6160" width="13.42578125" customWidth="1" style="248"/>
    <col min="6161" max="6379" width="9" customWidth="1" style="248"/>
    <col min="6380" max="6380" width="4.140625" customWidth="1" style="248"/>
    <col min="6381" max="6381" width="8.140625" customWidth="1" style="248"/>
    <col min="6382" max="6382" width="9.140625" customWidth="1" style="248"/>
    <col min="6383" max="6384" width="16" customWidth="1" style="248"/>
    <col min="6385" max="6385" width="40.28515625" customWidth="1" style="248"/>
    <col min="6386" max="6386" width="21.7109375" customWidth="1" style="248"/>
    <col min="6387" max="6387" width="28.7109375" customWidth="1" style="248"/>
    <col min="6388" max="6388" width="12" customWidth="1" style="248"/>
    <col min="6389" max="6389" width="13.7109375" customWidth="1" style="248"/>
    <col min="6390" max="6390" width="23.5703125" customWidth="1" style="248"/>
    <col min="6391" max="6391" width="19.5703125" customWidth="1" style="248"/>
    <col min="6392" max="6392" width="15.85546875" customWidth="1" style="248"/>
    <col min="6393" max="6393" width="15.28515625" customWidth="1" style="248"/>
    <col min="6394" max="6394" width="13" customWidth="1" style="248"/>
    <col min="6395" max="6395" width="27.85546875" customWidth="1" style="248"/>
    <col min="6396" max="6396" width="27.5703125" customWidth="1" style="248"/>
    <col min="6397" max="6397" width="31.140625" customWidth="1" style="248"/>
    <col min="6398" max="6398" width="38.28515625" customWidth="1" style="248"/>
    <col min="6399" max="6399" width="45.28515625" customWidth="1" style="248"/>
    <col min="6400" max="6400" width="35.42578125" customWidth="1" style="248"/>
    <col min="6401" max="6401" width="28.28515625" customWidth="1" style="248"/>
    <col min="6402" max="6402" width="14" customWidth="1" style="248"/>
    <col min="6403" max="6403" width="18" customWidth="1" style="248"/>
    <col min="6404" max="6404" width="21.7109375" customWidth="1" style="248"/>
    <col min="6405" max="6405" width="30.28515625" customWidth="1" style="248"/>
    <col min="6406" max="6406" width="17.42578125" customWidth="1" style="248"/>
    <col min="6407" max="6407" width="36.28515625" customWidth="1" style="248"/>
    <col min="6408" max="6408" width="45.140625" customWidth="1" style="248"/>
    <col min="6409" max="6409" width="19.5703125" customWidth="1" style="248"/>
    <col min="6410" max="6410" width="24.140625" customWidth="1" style="248"/>
    <col min="6411" max="6411" width="36.140625" customWidth="1" style="248"/>
    <col min="6412" max="6412" width="8.85546875" customWidth="1" style="248"/>
    <col min="6413" max="6413" width="22" customWidth="1" style="248"/>
    <col min="6414" max="6414" width="21.42578125" customWidth="1" style="248"/>
    <col min="6415" max="6415" width="23" customWidth="1" style="248"/>
    <col min="6416" max="6416" width="13.42578125" customWidth="1" style="248"/>
    <col min="6417" max="6635" width="9" customWidth="1" style="248"/>
    <col min="6636" max="6636" width="4.140625" customWidth="1" style="248"/>
    <col min="6637" max="6637" width="8.140625" customWidth="1" style="248"/>
    <col min="6638" max="6638" width="9.140625" customWidth="1" style="248"/>
    <col min="6639" max="6640" width="16" customWidth="1" style="248"/>
    <col min="6641" max="6641" width="40.28515625" customWidth="1" style="248"/>
    <col min="6642" max="6642" width="21.7109375" customWidth="1" style="248"/>
    <col min="6643" max="6643" width="28.7109375" customWidth="1" style="248"/>
    <col min="6644" max="6644" width="12" customWidth="1" style="248"/>
    <col min="6645" max="6645" width="13.7109375" customWidth="1" style="248"/>
    <col min="6646" max="6646" width="23.5703125" customWidth="1" style="248"/>
    <col min="6647" max="6647" width="19.5703125" customWidth="1" style="248"/>
    <col min="6648" max="6648" width="15.85546875" customWidth="1" style="248"/>
    <col min="6649" max="6649" width="15.28515625" customWidth="1" style="248"/>
    <col min="6650" max="6650" width="13" customWidth="1" style="248"/>
    <col min="6651" max="6651" width="27.85546875" customWidth="1" style="248"/>
    <col min="6652" max="6652" width="27.5703125" customWidth="1" style="248"/>
    <col min="6653" max="6653" width="31.140625" customWidth="1" style="248"/>
    <col min="6654" max="6654" width="38.28515625" customWidth="1" style="248"/>
    <col min="6655" max="6655" width="45.28515625" customWidth="1" style="248"/>
    <col min="6656" max="6656" width="35.42578125" customWidth="1" style="248"/>
    <col min="6657" max="6657" width="28.28515625" customWidth="1" style="248"/>
    <col min="6658" max="6658" width="14" customWidth="1" style="248"/>
    <col min="6659" max="6659" width="18" customWidth="1" style="248"/>
    <col min="6660" max="6660" width="21.7109375" customWidth="1" style="248"/>
    <col min="6661" max="6661" width="30.28515625" customWidth="1" style="248"/>
    <col min="6662" max="6662" width="17.42578125" customWidth="1" style="248"/>
    <col min="6663" max="6663" width="36.28515625" customWidth="1" style="248"/>
    <col min="6664" max="6664" width="45.140625" customWidth="1" style="248"/>
    <col min="6665" max="6665" width="19.5703125" customWidth="1" style="248"/>
    <col min="6666" max="6666" width="24.140625" customWidth="1" style="248"/>
    <col min="6667" max="6667" width="36.140625" customWidth="1" style="248"/>
    <col min="6668" max="6668" width="8.85546875" customWidth="1" style="248"/>
    <col min="6669" max="6669" width="22" customWidth="1" style="248"/>
    <col min="6670" max="6670" width="21.42578125" customWidth="1" style="248"/>
    <col min="6671" max="6671" width="23" customWidth="1" style="248"/>
    <col min="6672" max="6672" width="13.42578125" customWidth="1" style="248"/>
    <col min="6673" max="6891" width="9" customWidth="1" style="248"/>
    <col min="6892" max="6892" width="4.140625" customWidth="1" style="248"/>
    <col min="6893" max="6893" width="8.140625" customWidth="1" style="248"/>
    <col min="6894" max="6894" width="9.140625" customWidth="1" style="248"/>
    <col min="6895" max="6896" width="16" customWidth="1" style="248"/>
    <col min="6897" max="6897" width="40.28515625" customWidth="1" style="248"/>
    <col min="6898" max="6898" width="21.7109375" customWidth="1" style="248"/>
    <col min="6899" max="6899" width="28.7109375" customWidth="1" style="248"/>
    <col min="6900" max="6900" width="12" customWidth="1" style="248"/>
    <col min="6901" max="6901" width="13.7109375" customWidth="1" style="248"/>
    <col min="6902" max="6902" width="23.5703125" customWidth="1" style="248"/>
    <col min="6903" max="6903" width="19.5703125" customWidth="1" style="248"/>
    <col min="6904" max="6904" width="15.85546875" customWidth="1" style="248"/>
    <col min="6905" max="6905" width="15.28515625" customWidth="1" style="248"/>
    <col min="6906" max="6906" width="13" customWidth="1" style="248"/>
    <col min="6907" max="6907" width="27.85546875" customWidth="1" style="248"/>
    <col min="6908" max="6908" width="27.5703125" customWidth="1" style="248"/>
    <col min="6909" max="6909" width="31.140625" customWidth="1" style="248"/>
    <col min="6910" max="6910" width="38.28515625" customWidth="1" style="248"/>
    <col min="6911" max="6911" width="45.28515625" customWidth="1" style="248"/>
    <col min="6912" max="6912" width="35.42578125" customWidth="1" style="248"/>
    <col min="6913" max="6913" width="28.28515625" customWidth="1" style="248"/>
    <col min="6914" max="6914" width="14" customWidth="1" style="248"/>
    <col min="6915" max="6915" width="18" customWidth="1" style="248"/>
    <col min="6916" max="6916" width="21.7109375" customWidth="1" style="248"/>
    <col min="6917" max="6917" width="30.28515625" customWidth="1" style="248"/>
    <col min="6918" max="6918" width="17.42578125" customWidth="1" style="248"/>
    <col min="6919" max="6919" width="36.28515625" customWidth="1" style="248"/>
    <col min="6920" max="6920" width="45.140625" customWidth="1" style="248"/>
    <col min="6921" max="6921" width="19.5703125" customWidth="1" style="248"/>
    <col min="6922" max="6922" width="24.140625" customWidth="1" style="248"/>
    <col min="6923" max="6923" width="36.140625" customWidth="1" style="248"/>
    <col min="6924" max="6924" width="8.85546875" customWidth="1" style="248"/>
    <col min="6925" max="6925" width="22" customWidth="1" style="248"/>
    <col min="6926" max="6926" width="21.42578125" customWidth="1" style="248"/>
    <col min="6927" max="6927" width="23" customWidth="1" style="248"/>
    <col min="6928" max="6928" width="13.42578125" customWidth="1" style="248"/>
    <col min="6929" max="7147" width="9" customWidth="1" style="248"/>
    <col min="7148" max="7148" width="4.140625" customWidth="1" style="248"/>
    <col min="7149" max="7149" width="8.140625" customWidth="1" style="248"/>
    <col min="7150" max="7150" width="9.140625" customWidth="1" style="248"/>
    <col min="7151" max="7152" width="16" customWidth="1" style="248"/>
    <col min="7153" max="7153" width="40.28515625" customWidth="1" style="248"/>
    <col min="7154" max="7154" width="21.7109375" customWidth="1" style="248"/>
    <col min="7155" max="7155" width="28.7109375" customWidth="1" style="248"/>
    <col min="7156" max="7156" width="12" customWidth="1" style="248"/>
    <col min="7157" max="7157" width="13.7109375" customWidth="1" style="248"/>
    <col min="7158" max="7158" width="23.5703125" customWidth="1" style="248"/>
    <col min="7159" max="7159" width="19.5703125" customWidth="1" style="248"/>
    <col min="7160" max="7160" width="15.85546875" customWidth="1" style="248"/>
    <col min="7161" max="7161" width="15.28515625" customWidth="1" style="248"/>
    <col min="7162" max="7162" width="13" customWidth="1" style="248"/>
    <col min="7163" max="7163" width="27.85546875" customWidth="1" style="248"/>
    <col min="7164" max="7164" width="27.5703125" customWidth="1" style="248"/>
    <col min="7165" max="7165" width="31.140625" customWidth="1" style="248"/>
    <col min="7166" max="7166" width="38.28515625" customWidth="1" style="248"/>
    <col min="7167" max="7167" width="45.28515625" customWidth="1" style="248"/>
    <col min="7168" max="7168" width="35.42578125" customWidth="1" style="248"/>
    <col min="7169" max="7169" width="28.28515625" customWidth="1" style="248"/>
    <col min="7170" max="7170" width="14" customWidth="1" style="248"/>
    <col min="7171" max="7171" width="18" customWidth="1" style="248"/>
    <col min="7172" max="7172" width="21.7109375" customWidth="1" style="248"/>
    <col min="7173" max="7173" width="30.28515625" customWidth="1" style="248"/>
    <col min="7174" max="7174" width="17.42578125" customWidth="1" style="248"/>
    <col min="7175" max="7175" width="36.28515625" customWidth="1" style="248"/>
    <col min="7176" max="7176" width="45.140625" customWidth="1" style="248"/>
    <col min="7177" max="7177" width="19.5703125" customWidth="1" style="248"/>
    <col min="7178" max="7178" width="24.140625" customWidth="1" style="248"/>
    <col min="7179" max="7179" width="36.140625" customWidth="1" style="248"/>
    <col min="7180" max="7180" width="8.85546875" customWidth="1" style="248"/>
    <col min="7181" max="7181" width="22" customWidth="1" style="248"/>
    <col min="7182" max="7182" width="21.42578125" customWidth="1" style="248"/>
    <col min="7183" max="7183" width="23" customWidth="1" style="248"/>
    <col min="7184" max="7184" width="13.42578125" customWidth="1" style="248"/>
    <col min="7185" max="7403" width="9" customWidth="1" style="248"/>
    <col min="7404" max="7404" width="4.140625" customWidth="1" style="248"/>
    <col min="7405" max="7405" width="8.140625" customWidth="1" style="248"/>
    <col min="7406" max="7406" width="9.140625" customWidth="1" style="248"/>
    <col min="7407" max="7408" width="16" customWidth="1" style="248"/>
    <col min="7409" max="7409" width="40.28515625" customWidth="1" style="248"/>
    <col min="7410" max="7410" width="21.7109375" customWidth="1" style="248"/>
    <col min="7411" max="7411" width="28.7109375" customWidth="1" style="248"/>
    <col min="7412" max="7412" width="12" customWidth="1" style="248"/>
    <col min="7413" max="7413" width="13.7109375" customWidth="1" style="248"/>
    <col min="7414" max="7414" width="23.5703125" customWidth="1" style="248"/>
    <col min="7415" max="7415" width="19.5703125" customWidth="1" style="248"/>
    <col min="7416" max="7416" width="15.85546875" customWidth="1" style="248"/>
    <col min="7417" max="7417" width="15.28515625" customWidth="1" style="248"/>
    <col min="7418" max="7418" width="13" customWidth="1" style="248"/>
    <col min="7419" max="7419" width="27.85546875" customWidth="1" style="248"/>
    <col min="7420" max="7420" width="27.5703125" customWidth="1" style="248"/>
    <col min="7421" max="7421" width="31.140625" customWidth="1" style="248"/>
    <col min="7422" max="7422" width="38.28515625" customWidth="1" style="248"/>
    <col min="7423" max="7423" width="45.28515625" customWidth="1" style="248"/>
    <col min="7424" max="7424" width="35.42578125" customWidth="1" style="248"/>
    <col min="7425" max="7425" width="28.28515625" customWidth="1" style="248"/>
    <col min="7426" max="7426" width="14" customWidth="1" style="248"/>
    <col min="7427" max="7427" width="18" customWidth="1" style="248"/>
    <col min="7428" max="7428" width="21.7109375" customWidth="1" style="248"/>
    <col min="7429" max="7429" width="30.28515625" customWidth="1" style="248"/>
    <col min="7430" max="7430" width="17.42578125" customWidth="1" style="248"/>
    <col min="7431" max="7431" width="36.28515625" customWidth="1" style="248"/>
    <col min="7432" max="7432" width="45.140625" customWidth="1" style="248"/>
    <col min="7433" max="7433" width="19.5703125" customWidth="1" style="248"/>
    <col min="7434" max="7434" width="24.140625" customWidth="1" style="248"/>
    <col min="7435" max="7435" width="36.140625" customWidth="1" style="248"/>
    <col min="7436" max="7436" width="8.85546875" customWidth="1" style="248"/>
    <col min="7437" max="7437" width="22" customWidth="1" style="248"/>
    <col min="7438" max="7438" width="21.42578125" customWidth="1" style="248"/>
    <col min="7439" max="7439" width="23" customWidth="1" style="248"/>
    <col min="7440" max="7440" width="13.42578125" customWidth="1" style="248"/>
    <col min="7441" max="7659" width="9" customWidth="1" style="248"/>
    <col min="7660" max="7660" width="4.140625" customWidth="1" style="248"/>
    <col min="7661" max="7661" width="8.140625" customWidth="1" style="248"/>
    <col min="7662" max="7662" width="9.140625" customWidth="1" style="248"/>
    <col min="7663" max="7664" width="16" customWidth="1" style="248"/>
    <col min="7665" max="7665" width="40.28515625" customWidth="1" style="248"/>
    <col min="7666" max="7666" width="21.7109375" customWidth="1" style="248"/>
    <col min="7667" max="7667" width="28.7109375" customWidth="1" style="248"/>
    <col min="7668" max="7668" width="12" customWidth="1" style="248"/>
    <col min="7669" max="7669" width="13.7109375" customWidth="1" style="248"/>
    <col min="7670" max="7670" width="23.5703125" customWidth="1" style="248"/>
    <col min="7671" max="7671" width="19.5703125" customWidth="1" style="248"/>
    <col min="7672" max="7672" width="15.85546875" customWidth="1" style="248"/>
    <col min="7673" max="7673" width="15.28515625" customWidth="1" style="248"/>
    <col min="7674" max="7674" width="13" customWidth="1" style="248"/>
    <col min="7675" max="7675" width="27.85546875" customWidth="1" style="248"/>
    <col min="7676" max="7676" width="27.5703125" customWidth="1" style="248"/>
    <col min="7677" max="7677" width="31.140625" customWidth="1" style="248"/>
    <col min="7678" max="7678" width="38.28515625" customWidth="1" style="248"/>
    <col min="7679" max="7679" width="45.28515625" customWidth="1" style="248"/>
    <col min="7680" max="7680" width="35.42578125" customWidth="1" style="248"/>
    <col min="7681" max="7681" width="28.28515625" customWidth="1" style="248"/>
    <col min="7682" max="7682" width="14" customWidth="1" style="248"/>
    <col min="7683" max="7683" width="18" customWidth="1" style="248"/>
    <col min="7684" max="7684" width="21.7109375" customWidth="1" style="248"/>
    <col min="7685" max="7685" width="30.28515625" customWidth="1" style="248"/>
    <col min="7686" max="7686" width="17.42578125" customWidth="1" style="248"/>
    <col min="7687" max="7687" width="36.28515625" customWidth="1" style="248"/>
    <col min="7688" max="7688" width="45.140625" customWidth="1" style="248"/>
    <col min="7689" max="7689" width="19.5703125" customWidth="1" style="248"/>
    <col min="7690" max="7690" width="24.140625" customWidth="1" style="248"/>
    <col min="7691" max="7691" width="36.140625" customWidth="1" style="248"/>
    <col min="7692" max="7692" width="8.85546875" customWidth="1" style="248"/>
    <col min="7693" max="7693" width="22" customWidth="1" style="248"/>
    <col min="7694" max="7694" width="21.42578125" customWidth="1" style="248"/>
    <col min="7695" max="7695" width="23" customWidth="1" style="248"/>
    <col min="7696" max="7696" width="13.42578125" customWidth="1" style="248"/>
    <col min="7697" max="7915" width="9" customWidth="1" style="248"/>
    <col min="7916" max="7916" width="4.140625" customWidth="1" style="248"/>
    <col min="7917" max="7917" width="8.140625" customWidth="1" style="248"/>
    <col min="7918" max="7918" width="9.140625" customWidth="1" style="248"/>
    <col min="7919" max="7920" width="16" customWidth="1" style="248"/>
    <col min="7921" max="7921" width="40.28515625" customWidth="1" style="248"/>
    <col min="7922" max="7922" width="21.7109375" customWidth="1" style="248"/>
    <col min="7923" max="7923" width="28.7109375" customWidth="1" style="248"/>
    <col min="7924" max="7924" width="12" customWidth="1" style="248"/>
    <col min="7925" max="7925" width="13.7109375" customWidth="1" style="248"/>
    <col min="7926" max="7926" width="23.5703125" customWidth="1" style="248"/>
    <col min="7927" max="7927" width="19.5703125" customWidth="1" style="248"/>
    <col min="7928" max="7928" width="15.85546875" customWidth="1" style="248"/>
    <col min="7929" max="7929" width="15.28515625" customWidth="1" style="248"/>
    <col min="7930" max="7930" width="13" customWidth="1" style="248"/>
    <col min="7931" max="7931" width="27.85546875" customWidth="1" style="248"/>
    <col min="7932" max="7932" width="27.5703125" customWidth="1" style="248"/>
    <col min="7933" max="7933" width="31.140625" customWidth="1" style="248"/>
    <col min="7934" max="7934" width="38.28515625" customWidth="1" style="248"/>
    <col min="7935" max="7935" width="45.28515625" customWidth="1" style="248"/>
    <col min="7936" max="7936" width="35.42578125" customWidth="1" style="248"/>
    <col min="7937" max="7937" width="28.28515625" customWidth="1" style="248"/>
    <col min="7938" max="7938" width="14" customWidth="1" style="248"/>
    <col min="7939" max="7939" width="18" customWidth="1" style="248"/>
    <col min="7940" max="7940" width="21.7109375" customWidth="1" style="248"/>
    <col min="7941" max="7941" width="30.28515625" customWidth="1" style="248"/>
    <col min="7942" max="7942" width="17.42578125" customWidth="1" style="248"/>
    <col min="7943" max="7943" width="36.28515625" customWidth="1" style="248"/>
    <col min="7944" max="7944" width="45.140625" customWidth="1" style="248"/>
    <col min="7945" max="7945" width="19.5703125" customWidth="1" style="248"/>
    <col min="7946" max="7946" width="24.140625" customWidth="1" style="248"/>
    <col min="7947" max="7947" width="36.140625" customWidth="1" style="248"/>
    <col min="7948" max="7948" width="8.85546875" customWidth="1" style="248"/>
    <col min="7949" max="7949" width="22" customWidth="1" style="248"/>
    <col min="7950" max="7950" width="21.42578125" customWidth="1" style="248"/>
    <col min="7951" max="7951" width="23" customWidth="1" style="248"/>
    <col min="7952" max="7952" width="13.42578125" customWidth="1" style="248"/>
    <col min="7953" max="8171" width="9" customWidth="1" style="248"/>
    <col min="8172" max="8172" width="4.140625" customWidth="1" style="248"/>
    <col min="8173" max="8173" width="8.140625" customWidth="1" style="248"/>
    <col min="8174" max="8174" width="9.140625" customWidth="1" style="248"/>
    <col min="8175" max="8176" width="16" customWidth="1" style="248"/>
    <col min="8177" max="8177" width="40.28515625" customWidth="1" style="248"/>
    <col min="8178" max="8178" width="21.7109375" customWidth="1" style="248"/>
    <col min="8179" max="8179" width="28.7109375" customWidth="1" style="248"/>
    <col min="8180" max="8180" width="12" customWidth="1" style="248"/>
    <col min="8181" max="8181" width="13.7109375" customWidth="1" style="248"/>
    <col min="8182" max="8182" width="23.5703125" customWidth="1" style="248"/>
    <col min="8183" max="8183" width="19.5703125" customWidth="1" style="248"/>
    <col min="8184" max="8184" width="15.85546875" customWidth="1" style="248"/>
    <col min="8185" max="8185" width="15.28515625" customWidth="1" style="248"/>
    <col min="8186" max="8186" width="13" customWidth="1" style="248"/>
    <col min="8187" max="8187" width="27.85546875" customWidth="1" style="248"/>
    <col min="8188" max="8188" width="27.5703125" customWidth="1" style="248"/>
    <col min="8189" max="8189" width="31.140625" customWidth="1" style="248"/>
    <col min="8190" max="8190" width="38.28515625" customWidth="1" style="248"/>
    <col min="8191" max="8191" width="45.28515625" customWidth="1" style="248"/>
    <col min="8192" max="8192" width="35.42578125" customWidth="1" style="248"/>
    <col min="8193" max="8193" width="28.28515625" customWidth="1" style="248"/>
    <col min="8194" max="8194" width="14" customWidth="1" style="248"/>
    <col min="8195" max="8195" width="18" customWidth="1" style="248"/>
    <col min="8196" max="8196" width="21.7109375" customWidth="1" style="248"/>
    <col min="8197" max="8197" width="30.28515625" customWidth="1" style="248"/>
    <col min="8198" max="8198" width="17.42578125" customWidth="1" style="248"/>
    <col min="8199" max="8199" width="36.28515625" customWidth="1" style="248"/>
    <col min="8200" max="8200" width="45.140625" customWidth="1" style="248"/>
    <col min="8201" max="8201" width="19.5703125" customWidth="1" style="248"/>
    <col min="8202" max="8202" width="24.140625" customWidth="1" style="248"/>
    <col min="8203" max="8203" width="36.140625" customWidth="1" style="248"/>
    <col min="8204" max="8204" width="8.85546875" customWidth="1" style="248"/>
    <col min="8205" max="8205" width="22" customWidth="1" style="248"/>
    <col min="8206" max="8206" width="21.42578125" customWidth="1" style="248"/>
    <col min="8207" max="8207" width="23" customWidth="1" style="248"/>
    <col min="8208" max="8208" width="13.42578125" customWidth="1" style="248"/>
    <col min="8209" max="8427" width="9" customWidth="1" style="248"/>
    <col min="8428" max="8428" width="4.140625" customWidth="1" style="248"/>
    <col min="8429" max="8429" width="8.140625" customWidth="1" style="248"/>
    <col min="8430" max="8430" width="9.140625" customWidth="1" style="248"/>
    <col min="8431" max="8432" width="16" customWidth="1" style="248"/>
    <col min="8433" max="8433" width="40.28515625" customWidth="1" style="248"/>
    <col min="8434" max="8434" width="21.7109375" customWidth="1" style="248"/>
    <col min="8435" max="8435" width="28.7109375" customWidth="1" style="248"/>
    <col min="8436" max="8436" width="12" customWidth="1" style="248"/>
    <col min="8437" max="8437" width="13.7109375" customWidth="1" style="248"/>
    <col min="8438" max="8438" width="23.5703125" customWidth="1" style="248"/>
    <col min="8439" max="8439" width="19.5703125" customWidth="1" style="248"/>
    <col min="8440" max="8440" width="15.85546875" customWidth="1" style="248"/>
    <col min="8441" max="8441" width="15.28515625" customWidth="1" style="248"/>
    <col min="8442" max="8442" width="13" customWidth="1" style="248"/>
    <col min="8443" max="8443" width="27.85546875" customWidth="1" style="248"/>
    <col min="8444" max="8444" width="27.5703125" customWidth="1" style="248"/>
    <col min="8445" max="8445" width="31.140625" customWidth="1" style="248"/>
    <col min="8446" max="8446" width="38.28515625" customWidth="1" style="248"/>
    <col min="8447" max="8447" width="45.28515625" customWidth="1" style="248"/>
    <col min="8448" max="8448" width="35.42578125" customWidth="1" style="248"/>
    <col min="8449" max="8449" width="28.28515625" customWidth="1" style="248"/>
    <col min="8450" max="8450" width="14" customWidth="1" style="248"/>
    <col min="8451" max="8451" width="18" customWidth="1" style="248"/>
    <col min="8452" max="8452" width="21.7109375" customWidth="1" style="248"/>
    <col min="8453" max="8453" width="30.28515625" customWidth="1" style="248"/>
    <col min="8454" max="8454" width="17.42578125" customWidth="1" style="248"/>
    <col min="8455" max="8455" width="36.28515625" customWidth="1" style="248"/>
    <col min="8456" max="8456" width="45.140625" customWidth="1" style="248"/>
    <col min="8457" max="8457" width="19.5703125" customWidth="1" style="248"/>
    <col min="8458" max="8458" width="24.140625" customWidth="1" style="248"/>
    <col min="8459" max="8459" width="36.140625" customWidth="1" style="248"/>
    <col min="8460" max="8460" width="8.85546875" customWidth="1" style="248"/>
    <col min="8461" max="8461" width="22" customWidth="1" style="248"/>
    <col min="8462" max="8462" width="21.42578125" customWidth="1" style="248"/>
    <col min="8463" max="8463" width="23" customWidth="1" style="248"/>
    <col min="8464" max="8464" width="13.42578125" customWidth="1" style="248"/>
    <col min="8465" max="8683" width="9" customWidth="1" style="248"/>
    <col min="8684" max="8684" width="4.140625" customWidth="1" style="248"/>
    <col min="8685" max="8685" width="8.140625" customWidth="1" style="248"/>
    <col min="8686" max="8686" width="9.140625" customWidth="1" style="248"/>
    <col min="8687" max="8688" width="16" customWidth="1" style="248"/>
    <col min="8689" max="8689" width="40.28515625" customWidth="1" style="248"/>
    <col min="8690" max="8690" width="21.7109375" customWidth="1" style="248"/>
    <col min="8691" max="8691" width="28.7109375" customWidth="1" style="248"/>
    <col min="8692" max="8692" width="12" customWidth="1" style="248"/>
    <col min="8693" max="8693" width="13.7109375" customWidth="1" style="248"/>
    <col min="8694" max="8694" width="23.5703125" customWidth="1" style="248"/>
    <col min="8695" max="8695" width="19.5703125" customWidth="1" style="248"/>
    <col min="8696" max="8696" width="15.85546875" customWidth="1" style="248"/>
    <col min="8697" max="8697" width="15.28515625" customWidth="1" style="248"/>
    <col min="8698" max="8698" width="13" customWidth="1" style="248"/>
    <col min="8699" max="8699" width="27.85546875" customWidth="1" style="248"/>
    <col min="8700" max="8700" width="27.5703125" customWidth="1" style="248"/>
    <col min="8701" max="8701" width="31.140625" customWidth="1" style="248"/>
    <col min="8702" max="8702" width="38.28515625" customWidth="1" style="248"/>
    <col min="8703" max="8703" width="45.28515625" customWidth="1" style="248"/>
    <col min="8704" max="8704" width="35.42578125" customWidth="1" style="248"/>
    <col min="8705" max="8705" width="28.28515625" customWidth="1" style="248"/>
    <col min="8706" max="8706" width="14" customWidth="1" style="248"/>
    <col min="8707" max="8707" width="18" customWidth="1" style="248"/>
    <col min="8708" max="8708" width="21.7109375" customWidth="1" style="248"/>
    <col min="8709" max="8709" width="30.28515625" customWidth="1" style="248"/>
    <col min="8710" max="8710" width="17.42578125" customWidth="1" style="248"/>
    <col min="8711" max="8711" width="36.28515625" customWidth="1" style="248"/>
    <col min="8712" max="8712" width="45.140625" customWidth="1" style="248"/>
    <col min="8713" max="8713" width="19.5703125" customWidth="1" style="248"/>
    <col min="8714" max="8714" width="24.140625" customWidth="1" style="248"/>
    <col min="8715" max="8715" width="36.140625" customWidth="1" style="248"/>
    <col min="8716" max="8716" width="8.85546875" customWidth="1" style="248"/>
    <col min="8717" max="8717" width="22" customWidth="1" style="248"/>
    <col min="8718" max="8718" width="21.42578125" customWidth="1" style="248"/>
    <col min="8719" max="8719" width="23" customWidth="1" style="248"/>
    <col min="8720" max="8720" width="13.42578125" customWidth="1" style="248"/>
    <col min="8721" max="8939" width="9" customWidth="1" style="248"/>
    <col min="8940" max="8940" width="4.140625" customWidth="1" style="248"/>
    <col min="8941" max="8941" width="8.140625" customWidth="1" style="248"/>
    <col min="8942" max="8942" width="9.140625" customWidth="1" style="248"/>
    <col min="8943" max="8944" width="16" customWidth="1" style="248"/>
    <col min="8945" max="8945" width="40.28515625" customWidth="1" style="248"/>
    <col min="8946" max="8946" width="21.7109375" customWidth="1" style="248"/>
    <col min="8947" max="8947" width="28.7109375" customWidth="1" style="248"/>
    <col min="8948" max="8948" width="12" customWidth="1" style="248"/>
    <col min="8949" max="8949" width="13.7109375" customWidth="1" style="248"/>
    <col min="8950" max="8950" width="23.5703125" customWidth="1" style="248"/>
    <col min="8951" max="8951" width="19.5703125" customWidth="1" style="248"/>
    <col min="8952" max="8952" width="15.85546875" customWidth="1" style="248"/>
    <col min="8953" max="8953" width="15.28515625" customWidth="1" style="248"/>
    <col min="8954" max="8954" width="13" customWidth="1" style="248"/>
    <col min="8955" max="8955" width="27.85546875" customWidth="1" style="248"/>
    <col min="8956" max="8956" width="27.5703125" customWidth="1" style="248"/>
    <col min="8957" max="8957" width="31.140625" customWidth="1" style="248"/>
    <col min="8958" max="8958" width="38.28515625" customWidth="1" style="248"/>
    <col min="8959" max="8959" width="45.28515625" customWidth="1" style="248"/>
    <col min="8960" max="8960" width="35.42578125" customWidth="1" style="248"/>
    <col min="8961" max="8961" width="28.28515625" customWidth="1" style="248"/>
    <col min="8962" max="8962" width="14" customWidth="1" style="248"/>
    <col min="8963" max="8963" width="18" customWidth="1" style="248"/>
    <col min="8964" max="8964" width="21.7109375" customWidth="1" style="248"/>
    <col min="8965" max="8965" width="30.28515625" customWidth="1" style="248"/>
    <col min="8966" max="8966" width="17.42578125" customWidth="1" style="248"/>
    <col min="8967" max="8967" width="36.28515625" customWidth="1" style="248"/>
    <col min="8968" max="8968" width="45.140625" customWidth="1" style="248"/>
    <col min="8969" max="8969" width="19.5703125" customWidth="1" style="248"/>
    <col min="8970" max="8970" width="24.140625" customWidth="1" style="248"/>
    <col min="8971" max="8971" width="36.140625" customWidth="1" style="248"/>
    <col min="8972" max="8972" width="8.85546875" customWidth="1" style="248"/>
    <col min="8973" max="8973" width="22" customWidth="1" style="248"/>
    <col min="8974" max="8974" width="21.42578125" customWidth="1" style="248"/>
    <col min="8975" max="8975" width="23" customWidth="1" style="248"/>
    <col min="8976" max="8976" width="13.42578125" customWidth="1" style="248"/>
    <col min="8977" max="9195" width="9" customWidth="1" style="248"/>
    <col min="9196" max="9196" width="4.140625" customWidth="1" style="248"/>
    <col min="9197" max="9197" width="8.140625" customWidth="1" style="248"/>
    <col min="9198" max="9198" width="9.140625" customWidth="1" style="248"/>
    <col min="9199" max="9200" width="16" customWidth="1" style="248"/>
    <col min="9201" max="9201" width="40.28515625" customWidth="1" style="248"/>
    <col min="9202" max="9202" width="21.7109375" customWidth="1" style="248"/>
    <col min="9203" max="9203" width="28.7109375" customWidth="1" style="248"/>
    <col min="9204" max="9204" width="12" customWidth="1" style="248"/>
    <col min="9205" max="9205" width="13.7109375" customWidth="1" style="248"/>
    <col min="9206" max="9206" width="23.5703125" customWidth="1" style="248"/>
    <col min="9207" max="9207" width="19.5703125" customWidth="1" style="248"/>
    <col min="9208" max="9208" width="15.85546875" customWidth="1" style="248"/>
    <col min="9209" max="9209" width="15.28515625" customWidth="1" style="248"/>
    <col min="9210" max="9210" width="13" customWidth="1" style="248"/>
    <col min="9211" max="9211" width="27.85546875" customWidth="1" style="248"/>
    <col min="9212" max="9212" width="27.5703125" customWidth="1" style="248"/>
    <col min="9213" max="9213" width="31.140625" customWidth="1" style="248"/>
    <col min="9214" max="9214" width="38.28515625" customWidth="1" style="248"/>
    <col min="9215" max="9215" width="45.28515625" customWidth="1" style="248"/>
    <col min="9216" max="9216" width="35.42578125" customWidth="1" style="248"/>
    <col min="9217" max="9217" width="28.28515625" customWidth="1" style="248"/>
    <col min="9218" max="9218" width="14" customWidth="1" style="248"/>
    <col min="9219" max="9219" width="18" customWidth="1" style="248"/>
    <col min="9220" max="9220" width="21.7109375" customWidth="1" style="248"/>
    <col min="9221" max="9221" width="30.28515625" customWidth="1" style="248"/>
    <col min="9222" max="9222" width="17.42578125" customWidth="1" style="248"/>
    <col min="9223" max="9223" width="36.28515625" customWidth="1" style="248"/>
    <col min="9224" max="9224" width="45.140625" customWidth="1" style="248"/>
    <col min="9225" max="9225" width="19.5703125" customWidth="1" style="248"/>
    <col min="9226" max="9226" width="24.140625" customWidth="1" style="248"/>
    <col min="9227" max="9227" width="36.140625" customWidth="1" style="248"/>
    <col min="9228" max="9228" width="8.85546875" customWidth="1" style="248"/>
    <col min="9229" max="9229" width="22" customWidth="1" style="248"/>
    <col min="9230" max="9230" width="21.42578125" customWidth="1" style="248"/>
    <col min="9231" max="9231" width="23" customWidth="1" style="248"/>
    <col min="9232" max="9232" width="13.42578125" customWidth="1" style="248"/>
    <col min="9233" max="9451" width="9" customWidth="1" style="248"/>
    <col min="9452" max="9452" width="4.140625" customWidth="1" style="248"/>
    <col min="9453" max="9453" width="8.140625" customWidth="1" style="248"/>
    <col min="9454" max="9454" width="9.140625" customWidth="1" style="248"/>
    <col min="9455" max="9456" width="16" customWidth="1" style="248"/>
    <col min="9457" max="9457" width="40.28515625" customWidth="1" style="248"/>
    <col min="9458" max="9458" width="21.7109375" customWidth="1" style="248"/>
    <col min="9459" max="9459" width="28.7109375" customWidth="1" style="248"/>
    <col min="9460" max="9460" width="12" customWidth="1" style="248"/>
    <col min="9461" max="9461" width="13.7109375" customWidth="1" style="248"/>
    <col min="9462" max="9462" width="23.5703125" customWidth="1" style="248"/>
    <col min="9463" max="9463" width="19.5703125" customWidth="1" style="248"/>
    <col min="9464" max="9464" width="15.85546875" customWidth="1" style="248"/>
    <col min="9465" max="9465" width="15.28515625" customWidth="1" style="248"/>
    <col min="9466" max="9466" width="13" customWidth="1" style="248"/>
    <col min="9467" max="9467" width="27.85546875" customWidth="1" style="248"/>
    <col min="9468" max="9468" width="27.5703125" customWidth="1" style="248"/>
    <col min="9469" max="9469" width="31.140625" customWidth="1" style="248"/>
    <col min="9470" max="9470" width="38.28515625" customWidth="1" style="248"/>
    <col min="9471" max="9471" width="45.28515625" customWidth="1" style="248"/>
    <col min="9472" max="9472" width="35.42578125" customWidth="1" style="248"/>
    <col min="9473" max="9473" width="28.28515625" customWidth="1" style="248"/>
    <col min="9474" max="9474" width="14" customWidth="1" style="248"/>
    <col min="9475" max="9475" width="18" customWidth="1" style="248"/>
    <col min="9476" max="9476" width="21.7109375" customWidth="1" style="248"/>
    <col min="9477" max="9477" width="30.28515625" customWidth="1" style="248"/>
    <col min="9478" max="9478" width="17.42578125" customWidth="1" style="248"/>
    <col min="9479" max="9479" width="36.28515625" customWidth="1" style="248"/>
    <col min="9480" max="9480" width="45.140625" customWidth="1" style="248"/>
    <col min="9481" max="9481" width="19.5703125" customWidth="1" style="248"/>
    <col min="9482" max="9482" width="24.140625" customWidth="1" style="248"/>
    <col min="9483" max="9483" width="36.140625" customWidth="1" style="248"/>
    <col min="9484" max="9484" width="8.85546875" customWidth="1" style="248"/>
    <col min="9485" max="9485" width="22" customWidth="1" style="248"/>
    <col min="9486" max="9486" width="21.42578125" customWidth="1" style="248"/>
    <col min="9487" max="9487" width="23" customWidth="1" style="248"/>
    <col min="9488" max="9488" width="13.42578125" customWidth="1" style="248"/>
    <col min="9489" max="9707" width="9" customWidth="1" style="248"/>
    <col min="9708" max="9708" width="4.140625" customWidth="1" style="248"/>
    <col min="9709" max="9709" width="8.140625" customWidth="1" style="248"/>
    <col min="9710" max="9710" width="9.140625" customWidth="1" style="248"/>
    <col min="9711" max="9712" width="16" customWidth="1" style="248"/>
    <col min="9713" max="9713" width="40.28515625" customWidth="1" style="248"/>
    <col min="9714" max="9714" width="21.7109375" customWidth="1" style="248"/>
    <col min="9715" max="9715" width="28.7109375" customWidth="1" style="248"/>
    <col min="9716" max="9716" width="12" customWidth="1" style="248"/>
    <col min="9717" max="9717" width="13.7109375" customWidth="1" style="248"/>
    <col min="9718" max="9718" width="23.5703125" customWidth="1" style="248"/>
    <col min="9719" max="9719" width="19.5703125" customWidth="1" style="248"/>
    <col min="9720" max="9720" width="15.85546875" customWidth="1" style="248"/>
    <col min="9721" max="9721" width="15.28515625" customWidth="1" style="248"/>
    <col min="9722" max="9722" width="13" customWidth="1" style="248"/>
    <col min="9723" max="9723" width="27.85546875" customWidth="1" style="248"/>
    <col min="9724" max="9724" width="27.5703125" customWidth="1" style="248"/>
    <col min="9725" max="9725" width="31.140625" customWidth="1" style="248"/>
    <col min="9726" max="9726" width="38.28515625" customWidth="1" style="248"/>
    <col min="9727" max="9727" width="45.28515625" customWidth="1" style="248"/>
    <col min="9728" max="9728" width="35.42578125" customWidth="1" style="248"/>
    <col min="9729" max="9729" width="28.28515625" customWidth="1" style="248"/>
    <col min="9730" max="9730" width="14" customWidth="1" style="248"/>
    <col min="9731" max="9731" width="18" customWidth="1" style="248"/>
    <col min="9732" max="9732" width="21.7109375" customWidth="1" style="248"/>
    <col min="9733" max="9733" width="30.28515625" customWidth="1" style="248"/>
    <col min="9734" max="9734" width="17.42578125" customWidth="1" style="248"/>
    <col min="9735" max="9735" width="36.28515625" customWidth="1" style="248"/>
    <col min="9736" max="9736" width="45.140625" customWidth="1" style="248"/>
    <col min="9737" max="9737" width="19.5703125" customWidth="1" style="248"/>
    <col min="9738" max="9738" width="24.140625" customWidth="1" style="248"/>
    <col min="9739" max="9739" width="36.140625" customWidth="1" style="248"/>
    <col min="9740" max="9740" width="8.85546875" customWidth="1" style="248"/>
    <col min="9741" max="9741" width="22" customWidth="1" style="248"/>
    <col min="9742" max="9742" width="21.42578125" customWidth="1" style="248"/>
    <col min="9743" max="9743" width="23" customWidth="1" style="248"/>
    <col min="9744" max="9744" width="13.42578125" customWidth="1" style="248"/>
    <col min="9745" max="9963" width="9" customWidth="1" style="248"/>
    <col min="9964" max="9964" width="4.140625" customWidth="1" style="248"/>
    <col min="9965" max="9965" width="8.140625" customWidth="1" style="248"/>
    <col min="9966" max="9966" width="9.140625" customWidth="1" style="248"/>
    <col min="9967" max="9968" width="16" customWidth="1" style="248"/>
    <col min="9969" max="9969" width="40.28515625" customWidth="1" style="248"/>
    <col min="9970" max="9970" width="21.7109375" customWidth="1" style="248"/>
    <col min="9971" max="9971" width="28.7109375" customWidth="1" style="248"/>
    <col min="9972" max="9972" width="12" customWidth="1" style="248"/>
    <col min="9973" max="9973" width="13.7109375" customWidth="1" style="248"/>
    <col min="9974" max="9974" width="23.5703125" customWidth="1" style="248"/>
    <col min="9975" max="9975" width="19.5703125" customWidth="1" style="248"/>
    <col min="9976" max="9976" width="15.85546875" customWidth="1" style="248"/>
    <col min="9977" max="9977" width="15.28515625" customWidth="1" style="248"/>
    <col min="9978" max="9978" width="13" customWidth="1" style="248"/>
    <col min="9979" max="9979" width="27.85546875" customWidth="1" style="248"/>
    <col min="9980" max="9980" width="27.5703125" customWidth="1" style="248"/>
    <col min="9981" max="9981" width="31.140625" customWidth="1" style="248"/>
    <col min="9982" max="9982" width="38.28515625" customWidth="1" style="248"/>
    <col min="9983" max="9983" width="45.28515625" customWidth="1" style="248"/>
    <col min="9984" max="9984" width="35.42578125" customWidth="1" style="248"/>
    <col min="9985" max="9985" width="28.28515625" customWidth="1" style="248"/>
    <col min="9986" max="9986" width="14" customWidth="1" style="248"/>
    <col min="9987" max="9987" width="18" customWidth="1" style="248"/>
    <col min="9988" max="9988" width="21.7109375" customWidth="1" style="248"/>
    <col min="9989" max="9989" width="30.28515625" customWidth="1" style="248"/>
    <col min="9990" max="9990" width="17.42578125" customWidth="1" style="248"/>
    <col min="9991" max="9991" width="36.28515625" customWidth="1" style="248"/>
    <col min="9992" max="9992" width="45.140625" customWidth="1" style="248"/>
    <col min="9993" max="9993" width="19.5703125" customWidth="1" style="248"/>
    <col min="9994" max="9994" width="24.140625" customWidth="1" style="248"/>
    <col min="9995" max="9995" width="36.140625" customWidth="1" style="248"/>
    <col min="9996" max="9996" width="8.85546875" customWidth="1" style="248"/>
    <col min="9997" max="9997" width="22" customWidth="1" style="248"/>
    <col min="9998" max="9998" width="21.42578125" customWidth="1" style="248"/>
    <col min="9999" max="9999" width="23" customWidth="1" style="248"/>
    <col min="10000" max="10000" width="13.42578125" customWidth="1" style="248"/>
    <col min="10001" max="10219" width="9" customWidth="1" style="248"/>
    <col min="10220" max="10220" width="4.140625" customWidth="1" style="248"/>
    <col min="10221" max="10221" width="8.140625" customWidth="1" style="248"/>
    <col min="10222" max="10222" width="9.140625" customWidth="1" style="248"/>
    <col min="10223" max="10224" width="16" customWidth="1" style="248"/>
    <col min="10225" max="10225" width="40.28515625" customWidth="1" style="248"/>
    <col min="10226" max="10226" width="21.7109375" customWidth="1" style="248"/>
    <col min="10227" max="10227" width="28.7109375" customWidth="1" style="248"/>
    <col min="10228" max="10228" width="12" customWidth="1" style="248"/>
    <col min="10229" max="10229" width="13.7109375" customWidth="1" style="248"/>
    <col min="10230" max="10230" width="23.5703125" customWidth="1" style="248"/>
    <col min="10231" max="10231" width="19.5703125" customWidth="1" style="248"/>
    <col min="10232" max="10232" width="15.85546875" customWidth="1" style="248"/>
    <col min="10233" max="10233" width="15.28515625" customWidth="1" style="248"/>
    <col min="10234" max="10234" width="13" customWidth="1" style="248"/>
    <col min="10235" max="10235" width="27.85546875" customWidth="1" style="248"/>
    <col min="10236" max="10236" width="27.5703125" customWidth="1" style="248"/>
    <col min="10237" max="10237" width="31.140625" customWidth="1" style="248"/>
    <col min="10238" max="10238" width="38.28515625" customWidth="1" style="248"/>
    <col min="10239" max="10239" width="45.28515625" customWidth="1" style="248"/>
    <col min="10240" max="10240" width="35.42578125" customWidth="1" style="248"/>
    <col min="10241" max="10241" width="28.28515625" customWidth="1" style="248"/>
    <col min="10242" max="10242" width="14" customWidth="1" style="248"/>
    <col min="10243" max="10243" width="18" customWidth="1" style="248"/>
    <col min="10244" max="10244" width="21.7109375" customWidth="1" style="248"/>
    <col min="10245" max="10245" width="30.28515625" customWidth="1" style="248"/>
    <col min="10246" max="10246" width="17.42578125" customWidth="1" style="248"/>
    <col min="10247" max="10247" width="36.28515625" customWidth="1" style="248"/>
    <col min="10248" max="10248" width="45.140625" customWidth="1" style="248"/>
    <col min="10249" max="10249" width="19.5703125" customWidth="1" style="248"/>
    <col min="10250" max="10250" width="24.140625" customWidth="1" style="248"/>
    <col min="10251" max="10251" width="36.140625" customWidth="1" style="248"/>
    <col min="10252" max="10252" width="8.85546875" customWidth="1" style="248"/>
    <col min="10253" max="10253" width="22" customWidth="1" style="248"/>
    <col min="10254" max="10254" width="21.42578125" customWidth="1" style="248"/>
    <col min="10255" max="10255" width="23" customWidth="1" style="248"/>
    <col min="10256" max="10256" width="13.42578125" customWidth="1" style="248"/>
    <col min="10257" max="10475" width="9" customWidth="1" style="248"/>
    <col min="10476" max="10476" width="4.140625" customWidth="1" style="248"/>
    <col min="10477" max="10477" width="8.140625" customWidth="1" style="248"/>
    <col min="10478" max="10478" width="9.140625" customWidth="1" style="248"/>
    <col min="10479" max="10480" width="16" customWidth="1" style="248"/>
    <col min="10481" max="10481" width="40.28515625" customWidth="1" style="248"/>
    <col min="10482" max="10482" width="21.7109375" customWidth="1" style="248"/>
    <col min="10483" max="10483" width="28.7109375" customWidth="1" style="248"/>
    <col min="10484" max="10484" width="12" customWidth="1" style="248"/>
    <col min="10485" max="10485" width="13.7109375" customWidth="1" style="248"/>
    <col min="10486" max="10486" width="23.5703125" customWidth="1" style="248"/>
    <col min="10487" max="10487" width="19.5703125" customWidth="1" style="248"/>
    <col min="10488" max="10488" width="15.85546875" customWidth="1" style="248"/>
    <col min="10489" max="10489" width="15.28515625" customWidth="1" style="248"/>
    <col min="10490" max="10490" width="13" customWidth="1" style="248"/>
    <col min="10491" max="10491" width="27.85546875" customWidth="1" style="248"/>
    <col min="10492" max="10492" width="27.5703125" customWidth="1" style="248"/>
    <col min="10493" max="10493" width="31.140625" customWidth="1" style="248"/>
    <col min="10494" max="10494" width="38.28515625" customWidth="1" style="248"/>
    <col min="10495" max="10495" width="45.28515625" customWidth="1" style="248"/>
    <col min="10496" max="10496" width="35.42578125" customWidth="1" style="248"/>
    <col min="10497" max="10497" width="28.28515625" customWidth="1" style="248"/>
    <col min="10498" max="10498" width="14" customWidth="1" style="248"/>
    <col min="10499" max="10499" width="18" customWidth="1" style="248"/>
    <col min="10500" max="10500" width="21.7109375" customWidth="1" style="248"/>
    <col min="10501" max="10501" width="30.28515625" customWidth="1" style="248"/>
    <col min="10502" max="10502" width="17.42578125" customWidth="1" style="248"/>
    <col min="10503" max="10503" width="36.28515625" customWidth="1" style="248"/>
    <col min="10504" max="10504" width="45.140625" customWidth="1" style="248"/>
    <col min="10505" max="10505" width="19.5703125" customWidth="1" style="248"/>
    <col min="10506" max="10506" width="24.140625" customWidth="1" style="248"/>
    <col min="10507" max="10507" width="36.140625" customWidth="1" style="248"/>
    <col min="10508" max="10508" width="8.85546875" customWidth="1" style="248"/>
    <col min="10509" max="10509" width="22" customWidth="1" style="248"/>
    <col min="10510" max="10510" width="21.42578125" customWidth="1" style="248"/>
    <col min="10511" max="10511" width="23" customWidth="1" style="248"/>
    <col min="10512" max="10512" width="13.42578125" customWidth="1" style="248"/>
    <col min="10513" max="10731" width="9" customWidth="1" style="248"/>
    <col min="10732" max="10732" width="4.140625" customWidth="1" style="248"/>
    <col min="10733" max="10733" width="8.140625" customWidth="1" style="248"/>
    <col min="10734" max="10734" width="9.140625" customWidth="1" style="248"/>
    <col min="10735" max="10736" width="16" customWidth="1" style="248"/>
    <col min="10737" max="10737" width="40.28515625" customWidth="1" style="248"/>
    <col min="10738" max="10738" width="21.7109375" customWidth="1" style="248"/>
    <col min="10739" max="10739" width="28.7109375" customWidth="1" style="248"/>
    <col min="10740" max="10740" width="12" customWidth="1" style="248"/>
    <col min="10741" max="10741" width="13.7109375" customWidth="1" style="248"/>
    <col min="10742" max="10742" width="23.5703125" customWidth="1" style="248"/>
    <col min="10743" max="10743" width="19.5703125" customWidth="1" style="248"/>
    <col min="10744" max="10744" width="15.85546875" customWidth="1" style="248"/>
    <col min="10745" max="10745" width="15.28515625" customWidth="1" style="248"/>
    <col min="10746" max="10746" width="13" customWidth="1" style="248"/>
    <col min="10747" max="10747" width="27.85546875" customWidth="1" style="248"/>
    <col min="10748" max="10748" width="27.5703125" customWidth="1" style="248"/>
    <col min="10749" max="10749" width="31.140625" customWidth="1" style="248"/>
    <col min="10750" max="10750" width="38.28515625" customWidth="1" style="248"/>
    <col min="10751" max="10751" width="45.28515625" customWidth="1" style="248"/>
    <col min="10752" max="10752" width="35.42578125" customWidth="1" style="248"/>
    <col min="10753" max="10753" width="28.28515625" customWidth="1" style="248"/>
    <col min="10754" max="10754" width="14" customWidth="1" style="248"/>
    <col min="10755" max="10755" width="18" customWidth="1" style="248"/>
    <col min="10756" max="10756" width="21.7109375" customWidth="1" style="248"/>
    <col min="10757" max="10757" width="30.28515625" customWidth="1" style="248"/>
    <col min="10758" max="10758" width="17.42578125" customWidth="1" style="248"/>
    <col min="10759" max="10759" width="36.28515625" customWidth="1" style="248"/>
    <col min="10760" max="10760" width="45.140625" customWidth="1" style="248"/>
    <col min="10761" max="10761" width="19.5703125" customWidth="1" style="248"/>
    <col min="10762" max="10762" width="24.140625" customWidth="1" style="248"/>
    <col min="10763" max="10763" width="36.140625" customWidth="1" style="248"/>
    <col min="10764" max="10764" width="8.85546875" customWidth="1" style="248"/>
    <col min="10765" max="10765" width="22" customWidth="1" style="248"/>
    <col min="10766" max="10766" width="21.42578125" customWidth="1" style="248"/>
    <col min="10767" max="10767" width="23" customWidth="1" style="248"/>
    <col min="10768" max="10768" width="13.42578125" customWidth="1" style="248"/>
    <col min="10769" max="10987" width="9" customWidth="1" style="248"/>
    <col min="10988" max="10988" width="4.140625" customWidth="1" style="248"/>
    <col min="10989" max="10989" width="8.140625" customWidth="1" style="248"/>
    <col min="10990" max="10990" width="9.140625" customWidth="1" style="248"/>
    <col min="10991" max="10992" width="16" customWidth="1" style="248"/>
    <col min="10993" max="10993" width="40.28515625" customWidth="1" style="248"/>
    <col min="10994" max="10994" width="21.7109375" customWidth="1" style="248"/>
    <col min="10995" max="10995" width="28.7109375" customWidth="1" style="248"/>
    <col min="10996" max="10996" width="12" customWidth="1" style="248"/>
    <col min="10997" max="10997" width="13.7109375" customWidth="1" style="248"/>
    <col min="10998" max="10998" width="23.5703125" customWidth="1" style="248"/>
    <col min="10999" max="10999" width="19.5703125" customWidth="1" style="248"/>
    <col min="11000" max="11000" width="15.85546875" customWidth="1" style="248"/>
    <col min="11001" max="11001" width="15.28515625" customWidth="1" style="248"/>
    <col min="11002" max="11002" width="13" customWidth="1" style="248"/>
    <col min="11003" max="11003" width="27.85546875" customWidth="1" style="248"/>
    <col min="11004" max="11004" width="27.5703125" customWidth="1" style="248"/>
    <col min="11005" max="11005" width="31.140625" customWidth="1" style="248"/>
    <col min="11006" max="11006" width="38.28515625" customWidth="1" style="248"/>
    <col min="11007" max="11007" width="45.28515625" customWidth="1" style="248"/>
    <col min="11008" max="11008" width="35.42578125" customWidth="1" style="248"/>
    <col min="11009" max="11009" width="28.28515625" customWidth="1" style="248"/>
    <col min="11010" max="11010" width="14" customWidth="1" style="248"/>
    <col min="11011" max="11011" width="18" customWidth="1" style="248"/>
    <col min="11012" max="11012" width="21.7109375" customWidth="1" style="248"/>
    <col min="11013" max="11013" width="30.28515625" customWidth="1" style="248"/>
    <col min="11014" max="11014" width="17.42578125" customWidth="1" style="248"/>
    <col min="11015" max="11015" width="36.28515625" customWidth="1" style="248"/>
    <col min="11016" max="11016" width="45.140625" customWidth="1" style="248"/>
    <col min="11017" max="11017" width="19.5703125" customWidth="1" style="248"/>
    <col min="11018" max="11018" width="24.140625" customWidth="1" style="248"/>
    <col min="11019" max="11019" width="36.140625" customWidth="1" style="248"/>
    <col min="11020" max="11020" width="8.85546875" customWidth="1" style="248"/>
    <col min="11021" max="11021" width="22" customWidth="1" style="248"/>
    <col min="11022" max="11022" width="21.42578125" customWidth="1" style="248"/>
    <col min="11023" max="11023" width="23" customWidth="1" style="248"/>
    <col min="11024" max="11024" width="13.42578125" customWidth="1" style="248"/>
    <col min="11025" max="11243" width="9" customWidth="1" style="248"/>
    <col min="11244" max="11244" width="4.140625" customWidth="1" style="248"/>
    <col min="11245" max="11245" width="8.140625" customWidth="1" style="248"/>
    <col min="11246" max="11246" width="9.140625" customWidth="1" style="248"/>
    <col min="11247" max="11248" width="16" customWidth="1" style="248"/>
    <col min="11249" max="11249" width="40.28515625" customWidth="1" style="248"/>
    <col min="11250" max="11250" width="21.7109375" customWidth="1" style="248"/>
    <col min="11251" max="11251" width="28.7109375" customWidth="1" style="248"/>
    <col min="11252" max="11252" width="12" customWidth="1" style="248"/>
    <col min="11253" max="11253" width="13.7109375" customWidth="1" style="248"/>
    <col min="11254" max="11254" width="23.5703125" customWidth="1" style="248"/>
    <col min="11255" max="11255" width="19.5703125" customWidth="1" style="248"/>
    <col min="11256" max="11256" width="15.85546875" customWidth="1" style="248"/>
    <col min="11257" max="11257" width="15.28515625" customWidth="1" style="248"/>
    <col min="11258" max="11258" width="13" customWidth="1" style="248"/>
    <col min="11259" max="11259" width="27.85546875" customWidth="1" style="248"/>
    <col min="11260" max="11260" width="27.5703125" customWidth="1" style="248"/>
    <col min="11261" max="11261" width="31.140625" customWidth="1" style="248"/>
    <col min="11262" max="11262" width="38.28515625" customWidth="1" style="248"/>
    <col min="11263" max="11263" width="45.28515625" customWidth="1" style="248"/>
    <col min="11264" max="11264" width="35.42578125" customWidth="1" style="248"/>
    <col min="11265" max="11265" width="28.28515625" customWidth="1" style="248"/>
    <col min="11266" max="11266" width="14" customWidth="1" style="248"/>
    <col min="11267" max="11267" width="18" customWidth="1" style="248"/>
    <col min="11268" max="11268" width="21.7109375" customWidth="1" style="248"/>
    <col min="11269" max="11269" width="30.28515625" customWidth="1" style="248"/>
    <col min="11270" max="11270" width="17.42578125" customWidth="1" style="248"/>
    <col min="11271" max="11271" width="36.28515625" customWidth="1" style="248"/>
    <col min="11272" max="11272" width="45.140625" customWidth="1" style="248"/>
    <col min="11273" max="11273" width="19.5703125" customWidth="1" style="248"/>
    <col min="11274" max="11274" width="24.140625" customWidth="1" style="248"/>
    <col min="11275" max="11275" width="36.140625" customWidth="1" style="248"/>
    <col min="11276" max="11276" width="8.85546875" customWidth="1" style="248"/>
    <col min="11277" max="11277" width="22" customWidth="1" style="248"/>
    <col min="11278" max="11278" width="21.42578125" customWidth="1" style="248"/>
    <col min="11279" max="11279" width="23" customWidth="1" style="248"/>
    <col min="11280" max="11280" width="13.42578125" customWidth="1" style="248"/>
    <col min="11281" max="11499" width="9" customWidth="1" style="248"/>
    <col min="11500" max="11500" width="4.140625" customWidth="1" style="248"/>
    <col min="11501" max="11501" width="8.140625" customWidth="1" style="248"/>
    <col min="11502" max="11502" width="9.140625" customWidth="1" style="248"/>
    <col min="11503" max="11504" width="16" customWidth="1" style="248"/>
    <col min="11505" max="11505" width="40.28515625" customWidth="1" style="248"/>
    <col min="11506" max="11506" width="21.7109375" customWidth="1" style="248"/>
    <col min="11507" max="11507" width="28.7109375" customWidth="1" style="248"/>
    <col min="11508" max="11508" width="12" customWidth="1" style="248"/>
    <col min="11509" max="11509" width="13.7109375" customWidth="1" style="248"/>
    <col min="11510" max="11510" width="23.5703125" customWidth="1" style="248"/>
    <col min="11511" max="11511" width="19.5703125" customWidth="1" style="248"/>
    <col min="11512" max="11512" width="15.85546875" customWidth="1" style="248"/>
    <col min="11513" max="11513" width="15.28515625" customWidth="1" style="248"/>
    <col min="11514" max="11514" width="13" customWidth="1" style="248"/>
    <col min="11515" max="11515" width="27.85546875" customWidth="1" style="248"/>
    <col min="11516" max="11516" width="27.5703125" customWidth="1" style="248"/>
    <col min="11517" max="11517" width="31.140625" customWidth="1" style="248"/>
    <col min="11518" max="11518" width="38.28515625" customWidth="1" style="248"/>
    <col min="11519" max="11519" width="45.28515625" customWidth="1" style="248"/>
    <col min="11520" max="11520" width="35.42578125" customWidth="1" style="248"/>
    <col min="11521" max="11521" width="28.28515625" customWidth="1" style="248"/>
    <col min="11522" max="11522" width="14" customWidth="1" style="248"/>
    <col min="11523" max="11523" width="18" customWidth="1" style="248"/>
    <col min="11524" max="11524" width="21.7109375" customWidth="1" style="248"/>
    <col min="11525" max="11525" width="30.28515625" customWidth="1" style="248"/>
    <col min="11526" max="11526" width="17.42578125" customWidth="1" style="248"/>
    <col min="11527" max="11527" width="36.28515625" customWidth="1" style="248"/>
    <col min="11528" max="11528" width="45.140625" customWidth="1" style="248"/>
    <col min="11529" max="11529" width="19.5703125" customWidth="1" style="248"/>
    <col min="11530" max="11530" width="24.140625" customWidth="1" style="248"/>
    <col min="11531" max="11531" width="36.140625" customWidth="1" style="248"/>
    <col min="11532" max="11532" width="8.85546875" customWidth="1" style="248"/>
    <col min="11533" max="11533" width="22" customWidth="1" style="248"/>
    <col min="11534" max="11534" width="21.42578125" customWidth="1" style="248"/>
    <col min="11535" max="11535" width="23" customWidth="1" style="248"/>
    <col min="11536" max="11536" width="13.42578125" customWidth="1" style="248"/>
    <col min="11537" max="11755" width="9" customWidth="1" style="248"/>
    <col min="11756" max="11756" width="4.140625" customWidth="1" style="248"/>
    <col min="11757" max="11757" width="8.140625" customWidth="1" style="248"/>
    <col min="11758" max="11758" width="9.140625" customWidth="1" style="248"/>
    <col min="11759" max="11760" width="16" customWidth="1" style="248"/>
    <col min="11761" max="11761" width="40.28515625" customWidth="1" style="248"/>
    <col min="11762" max="11762" width="21.7109375" customWidth="1" style="248"/>
    <col min="11763" max="11763" width="28.7109375" customWidth="1" style="248"/>
    <col min="11764" max="11764" width="12" customWidth="1" style="248"/>
    <col min="11765" max="11765" width="13.7109375" customWidth="1" style="248"/>
    <col min="11766" max="11766" width="23.5703125" customWidth="1" style="248"/>
    <col min="11767" max="11767" width="19.5703125" customWidth="1" style="248"/>
    <col min="11768" max="11768" width="15.85546875" customWidth="1" style="248"/>
    <col min="11769" max="11769" width="15.28515625" customWidth="1" style="248"/>
    <col min="11770" max="11770" width="13" customWidth="1" style="248"/>
    <col min="11771" max="11771" width="27.85546875" customWidth="1" style="248"/>
    <col min="11772" max="11772" width="27.5703125" customWidth="1" style="248"/>
    <col min="11773" max="11773" width="31.140625" customWidth="1" style="248"/>
    <col min="11774" max="11774" width="38.28515625" customWidth="1" style="248"/>
    <col min="11775" max="11775" width="45.28515625" customWidth="1" style="248"/>
    <col min="11776" max="11776" width="35.42578125" customWidth="1" style="248"/>
    <col min="11777" max="11777" width="28.28515625" customWidth="1" style="248"/>
    <col min="11778" max="11778" width="14" customWidth="1" style="248"/>
    <col min="11779" max="11779" width="18" customWidth="1" style="248"/>
    <col min="11780" max="11780" width="21.7109375" customWidth="1" style="248"/>
    <col min="11781" max="11781" width="30.28515625" customWidth="1" style="248"/>
    <col min="11782" max="11782" width="17.42578125" customWidth="1" style="248"/>
    <col min="11783" max="11783" width="36.28515625" customWidth="1" style="248"/>
    <col min="11784" max="11784" width="45.140625" customWidth="1" style="248"/>
    <col min="11785" max="11785" width="19.5703125" customWidth="1" style="248"/>
    <col min="11786" max="11786" width="24.140625" customWidth="1" style="248"/>
    <col min="11787" max="11787" width="36.140625" customWidth="1" style="248"/>
    <col min="11788" max="11788" width="8.85546875" customWidth="1" style="248"/>
    <col min="11789" max="11789" width="22" customWidth="1" style="248"/>
    <col min="11790" max="11790" width="21.42578125" customWidth="1" style="248"/>
    <col min="11791" max="11791" width="23" customWidth="1" style="248"/>
    <col min="11792" max="11792" width="13.42578125" customWidth="1" style="248"/>
    <col min="11793" max="12011" width="9" customWidth="1" style="248"/>
    <col min="12012" max="12012" width="4.140625" customWidth="1" style="248"/>
    <col min="12013" max="12013" width="8.140625" customWidth="1" style="248"/>
    <col min="12014" max="12014" width="9.140625" customWidth="1" style="248"/>
    <col min="12015" max="12016" width="16" customWidth="1" style="248"/>
    <col min="12017" max="12017" width="40.28515625" customWidth="1" style="248"/>
    <col min="12018" max="12018" width="21.7109375" customWidth="1" style="248"/>
    <col min="12019" max="12019" width="28.7109375" customWidth="1" style="248"/>
    <col min="12020" max="12020" width="12" customWidth="1" style="248"/>
    <col min="12021" max="12021" width="13.7109375" customWidth="1" style="248"/>
    <col min="12022" max="12022" width="23.5703125" customWidth="1" style="248"/>
    <col min="12023" max="12023" width="19.5703125" customWidth="1" style="248"/>
    <col min="12024" max="12024" width="15.85546875" customWidth="1" style="248"/>
    <col min="12025" max="12025" width="15.28515625" customWidth="1" style="248"/>
    <col min="12026" max="12026" width="13" customWidth="1" style="248"/>
    <col min="12027" max="12027" width="27.85546875" customWidth="1" style="248"/>
    <col min="12028" max="12028" width="27.5703125" customWidth="1" style="248"/>
    <col min="12029" max="12029" width="31.140625" customWidth="1" style="248"/>
    <col min="12030" max="12030" width="38.28515625" customWidth="1" style="248"/>
    <col min="12031" max="12031" width="45.28515625" customWidth="1" style="248"/>
    <col min="12032" max="12032" width="35.42578125" customWidth="1" style="248"/>
    <col min="12033" max="12033" width="28.28515625" customWidth="1" style="248"/>
    <col min="12034" max="12034" width="14" customWidth="1" style="248"/>
    <col min="12035" max="12035" width="18" customWidth="1" style="248"/>
    <col min="12036" max="12036" width="21.7109375" customWidth="1" style="248"/>
    <col min="12037" max="12037" width="30.28515625" customWidth="1" style="248"/>
    <col min="12038" max="12038" width="17.42578125" customWidth="1" style="248"/>
    <col min="12039" max="12039" width="36.28515625" customWidth="1" style="248"/>
    <col min="12040" max="12040" width="45.140625" customWidth="1" style="248"/>
    <col min="12041" max="12041" width="19.5703125" customWidth="1" style="248"/>
    <col min="12042" max="12042" width="24.140625" customWidth="1" style="248"/>
    <col min="12043" max="12043" width="36.140625" customWidth="1" style="248"/>
    <col min="12044" max="12044" width="8.85546875" customWidth="1" style="248"/>
    <col min="12045" max="12045" width="22" customWidth="1" style="248"/>
    <col min="12046" max="12046" width="21.42578125" customWidth="1" style="248"/>
    <col min="12047" max="12047" width="23" customWidth="1" style="248"/>
    <col min="12048" max="12048" width="13.42578125" customWidth="1" style="248"/>
    <col min="12049" max="12267" width="9" customWidth="1" style="248"/>
    <col min="12268" max="12268" width="4.140625" customWidth="1" style="248"/>
    <col min="12269" max="12269" width="8.140625" customWidth="1" style="248"/>
    <col min="12270" max="12270" width="9.140625" customWidth="1" style="248"/>
    <col min="12271" max="12272" width="16" customWidth="1" style="248"/>
    <col min="12273" max="12273" width="40.28515625" customWidth="1" style="248"/>
    <col min="12274" max="12274" width="21.7109375" customWidth="1" style="248"/>
    <col min="12275" max="12275" width="28.7109375" customWidth="1" style="248"/>
    <col min="12276" max="12276" width="12" customWidth="1" style="248"/>
    <col min="12277" max="12277" width="13.7109375" customWidth="1" style="248"/>
    <col min="12278" max="12278" width="23.5703125" customWidth="1" style="248"/>
    <col min="12279" max="12279" width="19.5703125" customWidth="1" style="248"/>
    <col min="12280" max="12280" width="15.85546875" customWidth="1" style="248"/>
    <col min="12281" max="12281" width="15.28515625" customWidth="1" style="248"/>
    <col min="12282" max="12282" width="13" customWidth="1" style="248"/>
    <col min="12283" max="12283" width="27.85546875" customWidth="1" style="248"/>
    <col min="12284" max="12284" width="27.5703125" customWidth="1" style="248"/>
    <col min="12285" max="12285" width="31.140625" customWidth="1" style="248"/>
    <col min="12286" max="12286" width="38.28515625" customWidth="1" style="248"/>
    <col min="12287" max="12287" width="45.28515625" customWidth="1" style="248"/>
    <col min="12288" max="12288" width="35.42578125" customWidth="1" style="248"/>
    <col min="12289" max="12289" width="28.28515625" customWidth="1" style="248"/>
    <col min="12290" max="12290" width="14" customWidth="1" style="248"/>
    <col min="12291" max="12291" width="18" customWidth="1" style="248"/>
    <col min="12292" max="12292" width="21.7109375" customWidth="1" style="248"/>
    <col min="12293" max="12293" width="30.28515625" customWidth="1" style="248"/>
    <col min="12294" max="12294" width="17.42578125" customWidth="1" style="248"/>
    <col min="12295" max="12295" width="36.28515625" customWidth="1" style="248"/>
    <col min="12296" max="12296" width="45.140625" customWidth="1" style="248"/>
    <col min="12297" max="12297" width="19.5703125" customWidth="1" style="248"/>
    <col min="12298" max="12298" width="24.140625" customWidth="1" style="248"/>
    <col min="12299" max="12299" width="36.140625" customWidth="1" style="248"/>
    <col min="12300" max="12300" width="8.85546875" customWidth="1" style="248"/>
    <col min="12301" max="12301" width="22" customWidth="1" style="248"/>
    <col min="12302" max="12302" width="21.42578125" customWidth="1" style="248"/>
    <col min="12303" max="12303" width="23" customWidth="1" style="248"/>
    <col min="12304" max="12304" width="13.42578125" customWidth="1" style="248"/>
    <col min="12305" max="12523" width="9" customWidth="1" style="248"/>
    <col min="12524" max="12524" width="4.140625" customWidth="1" style="248"/>
    <col min="12525" max="12525" width="8.140625" customWidth="1" style="248"/>
    <col min="12526" max="12526" width="9.140625" customWidth="1" style="248"/>
    <col min="12527" max="12528" width="16" customWidth="1" style="248"/>
    <col min="12529" max="12529" width="40.28515625" customWidth="1" style="248"/>
    <col min="12530" max="12530" width="21.7109375" customWidth="1" style="248"/>
    <col min="12531" max="12531" width="28.7109375" customWidth="1" style="248"/>
    <col min="12532" max="12532" width="12" customWidth="1" style="248"/>
    <col min="12533" max="12533" width="13.7109375" customWidth="1" style="248"/>
    <col min="12534" max="12534" width="23.5703125" customWidth="1" style="248"/>
    <col min="12535" max="12535" width="19.5703125" customWidth="1" style="248"/>
    <col min="12536" max="12536" width="15.85546875" customWidth="1" style="248"/>
    <col min="12537" max="12537" width="15.28515625" customWidth="1" style="248"/>
    <col min="12538" max="12538" width="13" customWidth="1" style="248"/>
    <col min="12539" max="12539" width="27.85546875" customWidth="1" style="248"/>
    <col min="12540" max="12540" width="27.5703125" customWidth="1" style="248"/>
    <col min="12541" max="12541" width="31.140625" customWidth="1" style="248"/>
    <col min="12542" max="12542" width="38.28515625" customWidth="1" style="248"/>
    <col min="12543" max="12543" width="45.28515625" customWidth="1" style="248"/>
    <col min="12544" max="12544" width="35.42578125" customWidth="1" style="248"/>
    <col min="12545" max="12545" width="28.28515625" customWidth="1" style="248"/>
    <col min="12546" max="12546" width="14" customWidth="1" style="248"/>
    <col min="12547" max="12547" width="18" customWidth="1" style="248"/>
    <col min="12548" max="12548" width="21.7109375" customWidth="1" style="248"/>
    <col min="12549" max="12549" width="30.28515625" customWidth="1" style="248"/>
    <col min="12550" max="12550" width="17.42578125" customWidth="1" style="248"/>
    <col min="12551" max="12551" width="36.28515625" customWidth="1" style="248"/>
    <col min="12552" max="12552" width="45.140625" customWidth="1" style="248"/>
    <col min="12553" max="12553" width="19.5703125" customWidth="1" style="248"/>
    <col min="12554" max="12554" width="24.140625" customWidth="1" style="248"/>
    <col min="12555" max="12555" width="36.140625" customWidth="1" style="248"/>
    <col min="12556" max="12556" width="8.85546875" customWidth="1" style="248"/>
    <col min="12557" max="12557" width="22" customWidth="1" style="248"/>
    <col min="12558" max="12558" width="21.42578125" customWidth="1" style="248"/>
    <col min="12559" max="12559" width="23" customWidth="1" style="248"/>
    <col min="12560" max="12560" width="13.42578125" customWidth="1" style="248"/>
    <col min="12561" max="12779" width="9" customWidth="1" style="248"/>
    <col min="12780" max="12780" width="4.140625" customWidth="1" style="248"/>
    <col min="12781" max="12781" width="8.140625" customWidth="1" style="248"/>
    <col min="12782" max="12782" width="9.140625" customWidth="1" style="248"/>
    <col min="12783" max="12784" width="16" customWidth="1" style="248"/>
    <col min="12785" max="12785" width="40.28515625" customWidth="1" style="248"/>
    <col min="12786" max="12786" width="21.7109375" customWidth="1" style="248"/>
    <col min="12787" max="12787" width="28.7109375" customWidth="1" style="248"/>
    <col min="12788" max="12788" width="12" customWidth="1" style="248"/>
    <col min="12789" max="12789" width="13.7109375" customWidth="1" style="248"/>
    <col min="12790" max="12790" width="23.5703125" customWidth="1" style="248"/>
    <col min="12791" max="12791" width="19.5703125" customWidth="1" style="248"/>
    <col min="12792" max="12792" width="15.85546875" customWidth="1" style="248"/>
    <col min="12793" max="12793" width="15.28515625" customWidth="1" style="248"/>
    <col min="12794" max="12794" width="13" customWidth="1" style="248"/>
    <col min="12795" max="12795" width="27.85546875" customWidth="1" style="248"/>
    <col min="12796" max="12796" width="27.5703125" customWidth="1" style="248"/>
    <col min="12797" max="12797" width="31.140625" customWidth="1" style="248"/>
    <col min="12798" max="12798" width="38.28515625" customWidth="1" style="248"/>
    <col min="12799" max="12799" width="45.28515625" customWidth="1" style="248"/>
    <col min="12800" max="12800" width="35.42578125" customWidth="1" style="248"/>
    <col min="12801" max="12801" width="28.28515625" customWidth="1" style="248"/>
    <col min="12802" max="12802" width="14" customWidth="1" style="248"/>
    <col min="12803" max="12803" width="18" customWidth="1" style="248"/>
    <col min="12804" max="12804" width="21.7109375" customWidth="1" style="248"/>
    <col min="12805" max="12805" width="30.28515625" customWidth="1" style="248"/>
    <col min="12806" max="12806" width="17.42578125" customWidth="1" style="248"/>
    <col min="12807" max="12807" width="36.28515625" customWidth="1" style="248"/>
    <col min="12808" max="12808" width="45.140625" customWidth="1" style="248"/>
    <col min="12809" max="12809" width="19.5703125" customWidth="1" style="248"/>
    <col min="12810" max="12810" width="24.140625" customWidth="1" style="248"/>
    <col min="12811" max="12811" width="36.140625" customWidth="1" style="248"/>
    <col min="12812" max="12812" width="8.85546875" customWidth="1" style="248"/>
    <col min="12813" max="12813" width="22" customWidth="1" style="248"/>
    <col min="12814" max="12814" width="21.42578125" customWidth="1" style="248"/>
    <col min="12815" max="12815" width="23" customWidth="1" style="248"/>
    <col min="12816" max="12816" width="13.42578125" customWidth="1" style="248"/>
    <col min="12817" max="13035" width="9" customWidth="1" style="248"/>
    <col min="13036" max="13036" width="4.140625" customWidth="1" style="248"/>
    <col min="13037" max="13037" width="8.140625" customWidth="1" style="248"/>
    <col min="13038" max="13038" width="9.140625" customWidth="1" style="248"/>
    <col min="13039" max="13040" width="16" customWidth="1" style="248"/>
    <col min="13041" max="13041" width="40.28515625" customWidth="1" style="248"/>
    <col min="13042" max="13042" width="21.7109375" customWidth="1" style="248"/>
    <col min="13043" max="13043" width="28.7109375" customWidth="1" style="248"/>
    <col min="13044" max="13044" width="12" customWidth="1" style="248"/>
    <col min="13045" max="13045" width="13.7109375" customWidth="1" style="248"/>
    <col min="13046" max="13046" width="23.5703125" customWidth="1" style="248"/>
    <col min="13047" max="13047" width="19.5703125" customWidth="1" style="248"/>
    <col min="13048" max="13048" width="15.85546875" customWidth="1" style="248"/>
    <col min="13049" max="13049" width="15.28515625" customWidth="1" style="248"/>
    <col min="13050" max="13050" width="13" customWidth="1" style="248"/>
    <col min="13051" max="13051" width="27.85546875" customWidth="1" style="248"/>
    <col min="13052" max="13052" width="27.5703125" customWidth="1" style="248"/>
    <col min="13053" max="13053" width="31.140625" customWidth="1" style="248"/>
    <col min="13054" max="13054" width="38.28515625" customWidth="1" style="248"/>
    <col min="13055" max="13055" width="45.28515625" customWidth="1" style="248"/>
    <col min="13056" max="13056" width="35.42578125" customWidth="1" style="248"/>
    <col min="13057" max="13057" width="28.28515625" customWidth="1" style="248"/>
    <col min="13058" max="13058" width="14" customWidth="1" style="248"/>
    <col min="13059" max="13059" width="18" customWidth="1" style="248"/>
    <col min="13060" max="13060" width="21.7109375" customWidth="1" style="248"/>
    <col min="13061" max="13061" width="30.28515625" customWidth="1" style="248"/>
    <col min="13062" max="13062" width="17.42578125" customWidth="1" style="248"/>
    <col min="13063" max="13063" width="36.28515625" customWidth="1" style="248"/>
    <col min="13064" max="13064" width="45.140625" customWidth="1" style="248"/>
    <col min="13065" max="13065" width="19.5703125" customWidth="1" style="248"/>
    <col min="13066" max="13066" width="24.140625" customWidth="1" style="248"/>
    <col min="13067" max="13067" width="36.140625" customWidth="1" style="248"/>
    <col min="13068" max="13068" width="8.85546875" customWidth="1" style="248"/>
    <col min="13069" max="13069" width="22" customWidth="1" style="248"/>
    <col min="13070" max="13070" width="21.42578125" customWidth="1" style="248"/>
    <col min="13071" max="13071" width="23" customWidth="1" style="248"/>
    <col min="13072" max="13072" width="13.42578125" customWidth="1" style="248"/>
    <col min="13073" max="13291" width="9" customWidth="1" style="248"/>
    <col min="13292" max="13292" width="4.140625" customWidth="1" style="248"/>
    <col min="13293" max="13293" width="8.140625" customWidth="1" style="248"/>
    <col min="13294" max="13294" width="9.140625" customWidth="1" style="248"/>
    <col min="13295" max="13296" width="16" customWidth="1" style="248"/>
    <col min="13297" max="13297" width="40.28515625" customWidth="1" style="248"/>
    <col min="13298" max="13298" width="21.7109375" customWidth="1" style="248"/>
    <col min="13299" max="13299" width="28.7109375" customWidth="1" style="248"/>
    <col min="13300" max="13300" width="12" customWidth="1" style="248"/>
    <col min="13301" max="13301" width="13.7109375" customWidth="1" style="248"/>
    <col min="13302" max="13302" width="23.5703125" customWidth="1" style="248"/>
    <col min="13303" max="13303" width="19.5703125" customWidth="1" style="248"/>
    <col min="13304" max="13304" width="15.85546875" customWidth="1" style="248"/>
    <col min="13305" max="13305" width="15.28515625" customWidth="1" style="248"/>
    <col min="13306" max="13306" width="13" customWidth="1" style="248"/>
    <col min="13307" max="13307" width="27.85546875" customWidth="1" style="248"/>
    <col min="13308" max="13308" width="27.5703125" customWidth="1" style="248"/>
    <col min="13309" max="13309" width="31.140625" customWidth="1" style="248"/>
    <col min="13310" max="13310" width="38.28515625" customWidth="1" style="248"/>
    <col min="13311" max="13311" width="45.28515625" customWidth="1" style="248"/>
    <col min="13312" max="13312" width="35.42578125" customWidth="1" style="248"/>
    <col min="13313" max="13313" width="28.28515625" customWidth="1" style="248"/>
    <col min="13314" max="13314" width="14" customWidth="1" style="248"/>
    <col min="13315" max="13315" width="18" customWidth="1" style="248"/>
    <col min="13316" max="13316" width="21.7109375" customWidth="1" style="248"/>
    <col min="13317" max="13317" width="30.28515625" customWidth="1" style="248"/>
    <col min="13318" max="13318" width="17.42578125" customWidth="1" style="248"/>
    <col min="13319" max="13319" width="36.28515625" customWidth="1" style="248"/>
    <col min="13320" max="13320" width="45.140625" customWidth="1" style="248"/>
    <col min="13321" max="13321" width="19.5703125" customWidth="1" style="248"/>
    <col min="13322" max="13322" width="24.140625" customWidth="1" style="248"/>
    <col min="13323" max="13323" width="36.140625" customWidth="1" style="248"/>
    <col min="13324" max="13324" width="8.85546875" customWidth="1" style="248"/>
    <col min="13325" max="13325" width="22" customWidth="1" style="248"/>
    <col min="13326" max="13326" width="21.42578125" customWidth="1" style="248"/>
    <col min="13327" max="13327" width="23" customWidth="1" style="248"/>
    <col min="13328" max="13328" width="13.42578125" customWidth="1" style="248"/>
    <col min="13329" max="13547" width="9" customWidth="1" style="248"/>
    <col min="13548" max="13548" width="4.140625" customWidth="1" style="248"/>
    <col min="13549" max="13549" width="8.140625" customWidth="1" style="248"/>
    <col min="13550" max="13550" width="9.140625" customWidth="1" style="248"/>
    <col min="13551" max="13552" width="16" customWidth="1" style="248"/>
    <col min="13553" max="13553" width="40.28515625" customWidth="1" style="248"/>
    <col min="13554" max="13554" width="21.7109375" customWidth="1" style="248"/>
    <col min="13555" max="13555" width="28.7109375" customWidth="1" style="248"/>
    <col min="13556" max="13556" width="12" customWidth="1" style="248"/>
    <col min="13557" max="13557" width="13.7109375" customWidth="1" style="248"/>
    <col min="13558" max="13558" width="23.5703125" customWidth="1" style="248"/>
    <col min="13559" max="13559" width="19.5703125" customWidth="1" style="248"/>
    <col min="13560" max="13560" width="15.85546875" customWidth="1" style="248"/>
    <col min="13561" max="13561" width="15.28515625" customWidth="1" style="248"/>
    <col min="13562" max="13562" width="13" customWidth="1" style="248"/>
    <col min="13563" max="13563" width="27.85546875" customWidth="1" style="248"/>
    <col min="13564" max="13564" width="27.5703125" customWidth="1" style="248"/>
    <col min="13565" max="13565" width="31.140625" customWidth="1" style="248"/>
    <col min="13566" max="13566" width="38.28515625" customWidth="1" style="248"/>
    <col min="13567" max="13567" width="45.28515625" customWidth="1" style="248"/>
    <col min="13568" max="13568" width="35.42578125" customWidth="1" style="248"/>
    <col min="13569" max="13569" width="28.28515625" customWidth="1" style="248"/>
    <col min="13570" max="13570" width="14" customWidth="1" style="248"/>
    <col min="13571" max="13571" width="18" customWidth="1" style="248"/>
    <col min="13572" max="13572" width="21.7109375" customWidth="1" style="248"/>
    <col min="13573" max="13573" width="30.28515625" customWidth="1" style="248"/>
    <col min="13574" max="13574" width="17.42578125" customWidth="1" style="248"/>
    <col min="13575" max="13575" width="36.28515625" customWidth="1" style="248"/>
    <col min="13576" max="13576" width="45.140625" customWidth="1" style="248"/>
    <col min="13577" max="13577" width="19.5703125" customWidth="1" style="248"/>
    <col min="13578" max="13578" width="24.140625" customWidth="1" style="248"/>
    <col min="13579" max="13579" width="36.140625" customWidth="1" style="248"/>
    <col min="13580" max="13580" width="8.85546875" customWidth="1" style="248"/>
    <col min="13581" max="13581" width="22" customWidth="1" style="248"/>
    <col min="13582" max="13582" width="21.42578125" customWidth="1" style="248"/>
    <col min="13583" max="13583" width="23" customWidth="1" style="248"/>
    <col min="13584" max="13584" width="13.42578125" customWidth="1" style="248"/>
    <col min="13585" max="13803" width="9" customWidth="1" style="248"/>
    <col min="13804" max="13804" width="4.140625" customWidth="1" style="248"/>
    <col min="13805" max="13805" width="8.140625" customWidth="1" style="248"/>
    <col min="13806" max="13806" width="9.140625" customWidth="1" style="248"/>
    <col min="13807" max="13808" width="16" customWidth="1" style="248"/>
    <col min="13809" max="13809" width="40.28515625" customWidth="1" style="248"/>
    <col min="13810" max="13810" width="21.7109375" customWidth="1" style="248"/>
    <col min="13811" max="13811" width="28.7109375" customWidth="1" style="248"/>
    <col min="13812" max="13812" width="12" customWidth="1" style="248"/>
    <col min="13813" max="13813" width="13.7109375" customWidth="1" style="248"/>
    <col min="13814" max="13814" width="23.5703125" customWidth="1" style="248"/>
    <col min="13815" max="13815" width="19.5703125" customWidth="1" style="248"/>
    <col min="13816" max="13816" width="15.85546875" customWidth="1" style="248"/>
    <col min="13817" max="13817" width="15.28515625" customWidth="1" style="248"/>
    <col min="13818" max="13818" width="13" customWidth="1" style="248"/>
    <col min="13819" max="13819" width="27.85546875" customWidth="1" style="248"/>
    <col min="13820" max="13820" width="27.5703125" customWidth="1" style="248"/>
    <col min="13821" max="13821" width="31.140625" customWidth="1" style="248"/>
    <col min="13822" max="13822" width="38.28515625" customWidth="1" style="248"/>
    <col min="13823" max="13823" width="45.28515625" customWidth="1" style="248"/>
    <col min="13824" max="13824" width="35.42578125" customWidth="1" style="248"/>
    <col min="13825" max="13825" width="28.28515625" customWidth="1" style="248"/>
    <col min="13826" max="13826" width="14" customWidth="1" style="248"/>
    <col min="13827" max="13827" width="18" customWidth="1" style="248"/>
    <col min="13828" max="13828" width="21.7109375" customWidth="1" style="248"/>
    <col min="13829" max="13829" width="30.28515625" customWidth="1" style="248"/>
    <col min="13830" max="13830" width="17.42578125" customWidth="1" style="248"/>
    <col min="13831" max="13831" width="36.28515625" customWidth="1" style="248"/>
    <col min="13832" max="13832" width="45.140625" customWidth="1" style="248"/>
    <col min="13833" max="13833" width="19.5703125" customWidth="1" style="248"/>
    <col min="13834" max="13834" width="24.140625" customWidth="1" style="248"/>
    <col min="13835" max="13835" width="36.140625" customWidth="1" style="248"/>
    <col min="13836" max="13836" width="8.85546875" customWidth="1" style="248"/>
    <col min="13837" max="13837" width="22" customWidth="1" style="248"/>
    <col min="13838" max="13838" width="21.42578125" customWidth="1" style="248"/>
    <col min="13839" max="13839" width="23" customWidth="1" style="248"/>
    <col min="13840" max="13840" width="13.42578125" customWidth="1" style="248"/>
    <col min="13841" max="14059" width="9" customWidth="1" style="248"/>
    <col min="14060" max="14060" width="4.140625" customWidth="1" style="248"/>
    <col min="14061" max="14061" width="8.140625" customWidth="1" style="248"/>
    <col min="14062" max="14062" width="9.140625" customWidth="1" style="248"/>
    <col min="14063" max="14064" width="16" customWidth="1" style="248"/>
    <col min="14065" max="14065" width="40.28515625" customWidth="1" style="248"/>
    <col min="14066" max="14066" width="21.7109375" customWidth="1" style="248"/>
    <col min="14067" max="14067" width="28.7109375" customWidth="1" style="248"/>
    <col min="14068" max="14068" width="12" customWidth="1" style="248"/>
    <col min="14069" max="14069" width="13.7109375" customWidth="1" style="248"/>
    <col min="14070" max="14070" width="23.5703125" customWidth="1" style="248"/>
    <col min="14071" max="14071" width="19.5703125" customWidth="1" style="248"/>
    <col min="14072" max="14072" width="15.85546875" customWidth="1" style="248"/>
    <col min="14073" max="14073" width="15.28515625" customWidth="1" style="248"/>
    <col min="14074" max="14074" width="13" customWidth="1" style="248"/>
    <col min="14075" max="14075" width="27.85546875" customWidth="1" style="248"/>
    <col min="14076" max="14076" width="27.5703125" customWidth="1" style="248"/>
    <col min="14077" max="14077" width="31.140625" customWidth="1" style="248"/>
    <col min="14078" max="14078" width="38.28515625" customWidth="1" style="248"/>
    <col min="14079" max="14079" width="45.28515625" customWidth="1" style="248"/>
    <col min="14080" max="14080" width="35.42578125" customWidth="1" style="248"/>
    <col min="14081" max="14081" width="28.28515625" customWidth="1" style="248"/>
    <col min="14082" max="14082" width="14" customWidth="1" style="248"/>
    <col min="14083" max="14083" width="18" customWidth="1" style="248"/>
    <col min="14084" max="14084" width="21.7109375" customWidth="1" style="248"/>
    <col min="14085" max="14085" width="30.28515625" customWidth="1" style="248"/>
    <col min="14086" max="14086" width="17.42578125" customWidth="1" style="248"/>
    <col min="14087" max="14087" width="36.28515625" customWidth="1" style="248"/>
    <col min="14088" max="14088" width="45.140625" customWidth="1" style="248"/>
    <col min="14089" max="14089" width="19.5703125" customWidth="1" style="248"/>
    <col min="14090" max="14090" width="24.140625" customWidth="1" style="248"/>
    <col min="14091" max="14091" width="36.140625" customWidth="1" style="248"/>
    <col min="14092" max="14092" width="8.85546875" customWidth="1" style="248"/>
    <col min="14093" max="14093" width="22" customWidth="1" style="248"/>
    <col min="14094" max="14094" width="21.42578125" customWidth="1" style="248"/>
    <col min="14095" max="14095" width="23" customWidth="1" style="248"/>
    <col min="14096" max="14096" width="13.42578125" customWidth="1" style="248"/>
    <col min="14097" max="14315" width="9" customWidth="1" style="248"/>
    <col min="14316" max="14316" width="4.140625" customWidth="1" style="248"/>
    <col min="14317" max="14317" width="8.140625" customWidth="1" style="248"/>
    <col min="14318" max="14318" width="9.140625" customWidth="1" style="248"/>
    <col min="14319" max="14320" width="16" customWidth="1" style="248"/>
    <col min="14321" max="14321" width="40.28515625" customWidth="1" style="248"/>
    <col min="14322" max="14322" width="21.7109375" customWidth="1" style="248"/>
    <col min="14323" max="14323" width="28.7109375" customWidth="1" style="248"/>
    <col min="14324" max="14324" width="12" customWidth="1" style="248"/>
    <col min="14325" max="14325" width="13.7109375" customWidth="1" style="248"/>
    <col min="14326" max="14326" width="23.5703125" customWidth="1" style="248"/>
    <col min="14327" max="14327" width="19.5703125" customWidth="1" style="248"/>
    <col min="14328" max="14328" width="15.85546875" customWidth="1" style="248"/>
    <col min="14329" max="14329" width="15.28515625" customWidth="1" style="248"/>
    <col min="14330" max="14330" width="13" customWidth="1" style="248"/>
    <col min="14331" max="14331" width="27.85546875" customWidth="1" style="248"/>
    <col min="14332" max="14332" width="27.5703125" customWidth="1" style="248"/>
    <col min="14333" max="14333" width="31.140625" customWidth="1" style="248"/>
    <col min="14334" max="14334" width="38.28515625" customWidth="1" style="248"/>
    <col min="14335" max="14335" width="45.28515625" customWidth="1" style="248"/>
    <col min="14336" max="14336" width="35.42578125" customWidth="1" style="248"/>
    <col min="14337" max="14337" width="28.28515625" customWidth="1" style="248"/>
    <col min="14338" max="14338" width="14" customWidth="1" style="248"/>
    <col min="14339" max="14339" width="18" customWidth="1" style="248"/>
    <col min="14340" max="14340" width="21.7109375" customWidth="1" style="248"/>
    <col min="14341" max="14341" width="30.28515625" customWidth="1" style="248"/>
    <col min="14342" max="14342" width="17.42578125" customWidth="1" style="248"/>
    <col min="14343" max="14343" width="36.28515625" customWidth="1" style="248"/>
    <col min="14344" max="14344" width="45.140625" customWidth="1" style="248"/>
    <col min="14345" max="14345" width="19.5703125" customWidth="1" style="248"/>
    <col min="14346" max="14346" width="24.140625" customWidth="1" style="248"/>
    <col min="14347" max="14347" width="36.140625" customWidth="1" style="248"/>
    <col min="14348" max="14348" width="8.85546875" customWidth="1" style="248"/>
    <col min="14349" max="14349" width="22" customWidth="1" style="248"/>
    <col min="14350" max="14350" width="21.42578125" customWidth="1" style="248"/>
    <col min="14351" max="14351" width="23" customWidth="1" style="248"/>
    <col min="14352" max="14352" width="13.42578125" customWidth="1" style="248"/>
    <col min="14353" max="14571" width="9" customWidth="1" style="248"/>
    <col min="14572" max="14572" width="4.140625" customWidth="1" style="248"/>
    <col min="14573" max="14573" width="8.140625" customWidth="1" style="248"/>
    <col min="14574" max="14574" width="9.140625" customWidth="1" style="248"/>
    <col min="14575" max="14576" width="16" customWidth="1" style="248"/>
    <col min="14577" max="14577" width="40.28515625" customWidth="1" style="248"/>
    <col min="14578" max="14578" width="21.7109375" customWidth="1" style="248"/>
    <col min="14579" max="14579" width="28.7109375" customWidth="1" style="248"/>
    <col min="14580" max="14580" width="12" customWidth="1" style="248"/>
    <col min="14581" max="14581" width="13.7109375" customWidth="1" style="248"/>
    <col min="14582" max="14582" width="23.5703125" customWidth="1" style="248"/>
    <col min="14583" max="14583" width="19.5703125" customWidth="1" style="248"/>
    <col min="14584" max="14584" width="15.85546875" customWidth="1" style="248"/>
    <col min="14585" max="14585" width="15.28515625" customWidth="1" style="248"/>
    <col min="14586" max="14586" width="13" customWidth="1" style="248"/>
    <col min="14587" max="14587" width="27.85546875" customWidth="1" style="248"/>
    <col min="14588" max="14588" width="27.5703125" customWidth="1" style="248"/>
    <col min="14589" max="14589" width="31.140625" customWidth="1" style="248"/>
    <col min="14590" max="14590" width="38.28515625" customWidth="1" style="248"/>
    <col min="14591" max="14591" width="45.28515625" customWidth="1" style="248"/>
    <col min="14592" max="14592" width="35.42578125" customWidth="1" style="248"/>
    <col min="14593" max="14593" width="28.28515625" customWidth="1" style="248"/>
    <col min="14594" max="14594" width="14" customWidth="1" style="248"/>
    <col min="14595" max="14595" width="18" customWidth="1" style="248"/>
    <col min="14596" max="14596" width="21.7109375" customWidth="1" style="248"/>
    <col min="14597" max="14597" width="30.28515625" customWidth="1" style="248"/>
    <col min="14598" max="14598" width="17.42578125" customWidth="1" style="248"/>
    <col min="14599" max="14599" width="36.28515625" customWidth="1" style="248"/>
    <col min="14600" max="14600" width="45.140625" customWidth="1" style="248"/>
    <col min="14601" max="14601" width="19.5703125" customWidth="1" style="248"/>
    <col min="14602" max="14602" width="24.140625" customWidth="1" style="248"/>
    <col min="14603" max="14603" width="36.140625" customWidth="1" style="248"/>
    <col min="14604" max="14604" width="8.85546875" customWidth="1" style="248"/>
    <col min="14605" max="14605" width="22" customWidth="1" style="248"/>
    <col min="14606" max="14606" width="21.42578125" customWidth="1" style="248"/>
    <col min="14607" max="14607" width="23" customWidth="1" style="248"/>
    <col min="14608" max="14608" width="13.42578125" customWidth="1" style="248"/>
    <col min="14609" max="14827" width="9" customWidth="1" style="248"/>
    <col min="14828" max="14828" width="4.140625" customWidth="1" style="248"/>
    <col min="14829" max="14829" width="8.140625" customWidth="1" style="248"/>
    <col min="14830" max="14830" width="9.140625" customWidth="1" style="248"/>
    <col min="14831" max="14832" width="16" customWidth="1" style="248"/>
    <col min="14833" max="14833" width="40.28515625" customWidth="1" style="248"/>
    <col min="14834" max="14834" width="21.7109375" customWidth="1" style="248"/>
    <col min="14835" max="14835" width="28.7109375" customWidth="1" style="248"/>
    <col min="14836" max="14836" width="12" customWidth="1" style="248"/>
    <col min="14837" max="14837" width="13.7109375" customWidth="1" style="248"/>
    <col min="14838" max="14838" width="23.5703125" customWidth="1" style="248"/>
    <col min="14839" max="14839" width="19.5703125" customWidth="1" style="248"/>
    <col min="14840" max="14840" width="15.85546875" customWidth="1" style="248"/>
    <col min="14841" max="14841" width="15.28515625" customWidth="1" style="248"/>
    <col min="14842" max="14842" width="13" customWidth="1" style="248"/>
    <col min="14843" max="14843" width="27.85546875" customWidth="1" style="248"/>
    <col min="14844" max="14844" width="27.5703125" customWidth="1" style="248"/>
    <col min="14845" max="14845" width="31.140625" customWidth="1" style="248"/>
    <col min="14846" max="14846" width="38.28515625" customWidth="1" style="248"/>
    <col min="14847" max="14847" width="45.28515625" customWidth="1" style="248"/>
    <col min="14848" max="14848" width="35.42578125" customWidth="1" style="248"/>
    <col min="14849" max="14849" width="28.28515625" customWidth="1" style="248"/>
    <col min="14850" max="14850" width="14" customWidth="1" style="248"/>
    <col min="14851" max="14851" width="18" customWidth="1" style="248"/>
    <col min="14852" max="14852" width="21.7109375" customWidth="1" style="248"/>
    <col min="14853" max="14853" width="30.28515625" customWidth="1" style="248"/>
    <col min="14854" max="14854" width="17.42578125" customWidth="1" style="248"/>
    <col min="14855" max="14855" width="36.28515625" customWidth="1" style="248"/>
    <col min="14856" max="14856" width="45.140625" customWidth="1" style="248"/>
    <col min="14857" max="14857" width="19.5703125" customWidth="1" style="248"/>
    <col min="14858" max="14858" width="24.140625" customWidth="1" style="248"/>
    <col min="14859" max="14859" width="36.140625" customWidth="1" style="248"/>
    <col min="14860" max="14860" width="8.85546875" customWidth="1" style="248"/>
    <col min="14861" max="14861" width="22" customWidth="1" style="248"/>
    <col min="14862" max="14862" width="21.42578125" customWidth="1" style="248"/>
    <col min="14863" max="14863" width="23" customWidth="1" style="248"/>
    <col min="14864" max="14864" width="13.42578125" customWidth="1" style="248"/>
    <col min="14865" max="15083" width="9" customWidth="1" style="248"/>
    <col min="15084" max="15084" width="4.140625" customWidth="1" style="248"/>
    <col min="15085" max="15085" width="8.140625" customWidth="1" style="248"/>
    <col min="15086" max="15086" width="9.140625" customWidth="1" style="248"/>
    <col min="15087" max="15088" width="16" customWidth="1" style="248"/>
    <col min="15089" max="15089" width="40.28515625" customWidth="1" style="248"/>
    <col min="15090" max="15090" width="21.7109375" customWidth="1" style="248"/>
    <col min="15091" max="15091" width="28.7109375" customWidth="1" style="248"/>
    <col min="15092" max="15092" width="12" customWidth="1" style="248"/>
    <col min="15093" max="15093" width="13.7109375" customWidth="1" style="248"/>
    <col min="15094" max="15094" width="23.5703125" customWidth="1" style="248"/>
    <col min="15095" max="15095" width="19.5703125" customWidth="1" style="248"/>
    <col min="15096" max="15096" width="15.85546875" customWidth="1" style="248"/>
    <col min="15097" max="15097" width="15.28515625" customWidth="1" style="248"/>
    <col min="15098" max="15098" width="13" customWidth="1" style="248"/>
    <col min="15099" max="15099" width="27.85546875" customWidth="1" style="248"/>
    <col min="15100" max="15100" width="27.5703125" customWidth="1" style="248"/>
    <col min="15101" max="15101" width="31.140625" customWidth="1" style="248"/>
    <col min="15102" max="15102" width="38.28515625" customWidth="1" style="248"/>
    <col min="15103" max="15103" width="45.28515625" customWidth="1" style="248"/>
    <col min="15104" max="15104" width="35.42578125" customWidth="1" style="248"/>
    <col min="15105" max="15105" width="28.28515625" customWidth="1" style="248"/>
    <col min="15106" max="15106" width="14" customWidth="1" style="248"/>
    <col min="15107" max="15107" width="18" customWidth="1" style="248"/>
    <col min="15108" max="15108" width="21.7109375" customWidth="1" style="248"/>
    <col min="15109" max="15109" width="30.28515625" customWidth="1" style="248"/>
    <col min="15110" max="15110" width="17.42578125" customWidth="1" style="248"/>
    <col min="15111" max="15111" width="36.28515625" customWidth="1" style="248"/>
    <col min="15112" max="15112" width="45.140625" customWidth="1" style="248"/>
    <col min="15113" max="15113" width="19.5703125" customWidth="1" style="248"/>
    <col min="15114" max="15114" width="24.140625" customWidth="1" style="248"/>
    <col min="15115" max="15115" width="36.140625" customWidth="1" style="248"/>
    <col min="15116" max="15116" width="8.85546875" customWidth="1" style="248"/>
    <col min="15117" max="15117" width="22" customWidth="1" style="248"/>
    <col min="15118" max="15118" width="21.42578125" customWidth="1" style="248"/>
    <col min="15119" max="15119" width="23" customWidth="1" style="248"/>
    <col min="15120" max="15120" width="13.42578125" customWidth="1" style="248"/>
    <col min="15121" max="15339" width="9" customWidth="1" style="248"/>
    <col min="15340" max="15340" width="4.140625" customWidth="1" style="248"/>
    <col min="15341" max="15341" width="8.140625" customWidth="1" style="248"/>
    <col min="15342" max="15342" width="9.140625" customWidth="1" style="248"/>
    <col min="15343" max="15344" width="16" customWidth="1" style="248"/>
    <col min="15345" max="15345" width="40.28515625" customWidth="1" style="248"/>
    <col min="15346" max="15346" width="21.7109375" customWidth="1" style="248"/>
    <col min="15347" max="15347" width="28.7109375" customWidth="1" style="248"/>
    <col min="15348" max="15348" width="12" customWidth="1" style="248"/>
    <col min="15349" max="15349" width="13.7109375" customWidth="1" style="248"/>
    <col min="15350" max="15350" width="23.5703125" customWidth="1" style="248"/>
    <col min="15351" max="15351" width="19.5703125" customWidth="1" style="248"/>
    <col min="15352" max="15352" width="15.85546875" customWidth="1" style="248"/>
    <col min="15353" max="15353" width="15.28515625" customWidth="1" style="248"/>
    <col min="15354" max="15354" width="13" customWidth="1" style="248"/>
    <col min="15355" max="15355" width="27.85546875" customWidth="1" style="248"/>
    <col min="15356" max="15356" width="27.5703125" customWidth="1" style="248"/>
    <col min="15357" max="15357" width="31.140625" customWidth="1" style="248"/>
    <col min="15358" max="15358" width="38.28515625" customWidth="1" style="248"/>
    <col min="15359" max="15359" width="45.28515625" customWidth="1" style="248"/>
    <col min="15360" max="15360" width="35.42578125" customWidth="1" style="248"/>
    <col min="15361" max="15361" width="28.28515625" customWidth="1" style="248"/>
    <col min="15362" max="15362" width="14" customWidth="1" style="248"/>
    <col min="15363" max="15363" width="18" customWidth="1" style="248"/>
    <col min="15364" max="15364" width="21.7109375" customWidth="1" style="248"/>
    <col min="15365" max="15365" width="30.28515625" customWidth="1" style="248"/>
    <col min="15366" max="15366" width="17.42578125" customWidth="1" style="248"/>
    <col min="15367" max="15367" width="36.28515625" customWidth="1" style="248"/>
    <col min="15368" max="15368" width="45.140625" customWidth="1" style="248"/>
    <col min="15369" max="15369" width="19.5703125" customWidth="1" style="248"/>
    <col min="15370" max="15370" width="24.140625" customWidth="1" style="248"/>
    <col min="15371" max="15371" width="36.140625" customWidth="1" style="248"/>
    <col min="15372" max="15372" width="8.85546875" customWidth="1" style="248"/>
    <col min="15373" max="15373" width="22" customWidth="1" style="248"/>
    <col min="15374" max="15374" width="21.42578125" customWidth="1" style="248"/>
    <col min="15375" max="15375" width="23" customWidth="1" style="248"/>
    <col min="15376" max="15376" width="13.42578125" customWidth="1" style="248"/>
    <col min="15377" max="15595" width="9" customWidth="1" style="248"/>
    <col min="15596" max="15596" width="4.140625" customWidth="1" style="248"/>
    <col min="15597" max="15597" width="8.140625" customWidth="1" style="248"/>
    <col min="15598" max="15598" width="9.140625" customWidth="1" style="248"/>
    <col min="15599" max="15600" width="16" customWidth="1" style="248"/>
    <col min="15601" max="15601" width="40.28515625" customWidth="1" style="248"/>
    <col min="15602" max="15602" width="21.7109375" customWidth="1" style="248"/>
    <col min="15603" max="15603" width="28.7109375" customWidth="1" style="248"/>
    <col min="15604" max="15604" width="12" customWidth="1" style="248"/>
    <col min="15605" max="15605" width="13.7109375" customWidth="1" style="248"/>
    <col min="15606" max="15606" width="23.5703125" customWidth="1" style="248"/>
    <col min="15607" max="15607" width="19.5703125" customWidth="1" style="248"/>
    <col min="15608" max="15608" width="15.85546875" customWidth="1" style="248"/>
    <col min="15609" max="15609" width="15.28515625" customWidth="1" style="248"/>
    <col min="15610" max="15610" width="13" customWidth="1" style="248"/>
    <col min="15611" max="15611" width="27.85546875" customWidth="1" style="248"/>
    <col min="15612" max="15612" width="27.5703125" customWidth="1" style="248"/>
    <col min="15613" max="15613" width="31.140625" customWidth="1" style="248"/>
    <col min="15614" max="15614" width="38.28515625" customWidth="1" style="248"/>
    <col min="15615" max="15615" width="45.28515625" customWidth="1" style="248"/>
    <col min="15616" max="15616" width="35.42578125" customWidth="1" style="248"/>
    <col min="15617" max="15617" width="28.28515625" customWidth="1" style="248"/>
    <col min="15618" max="15618" width="14" customWidth="1" style="248"/>
    <col min="15619" max="15619" width="18" customWidth="1" style="248"/>
    <col min="15620" max="15620" width="21.7109375" customWidth="1" style="248"/>
    <col min="15621" max="15621" width="30.28515625" customWidth="1" style="248"/>
    <col min="15622" max="15622" width="17.42578125" customWidth="1" style="248"/>
    <col min="15623" max="15623" width="36.28515625" customWidth="1" style="248"/>
    <col min="15624" max="15624" width="45.140625" customWidth="1" style="248"/>
    <col min="15625" max="15625" width="19.5703125" customWidth="1" style="248"/>
    <col min="15626" max="15626" width="24.140625" customWidth="1" style="248"/>
    <col min="15627" max="15627" width="36.140625" customWidth="1" style="248"/>
    <col min="15628" max="15628" width="8.85546875" customWidth="1" style="248"/>
    <col min="15629" max="15629" width="22" customWidth="1" style="248"/>
    <col min="15630" max="15630" width="21.42578125" customWidth="1" style="248"/>
    <col min="15631" max="15631" width="23" customWidth="1" style="248"/>
    <col min="15632" max="15632" width="13.42578125" customWidth="1" style="248"/>
    <col min="15633" max="15851" width="9" customWidth="1" style="248"/>
    <col min="15852" max="15852" width="4.140625" customWidth="1" style="248"/>
    <col min="15853" max="15853" width="8.140625" customWidth="1" style="248"/>
    <col min="15854" max="15854" width="9.140625" customWidth="1" style="248"/>
    <col min="15855" max="15856" width="16" customWidth="1" style="248"/>
    <col min="15857" max="15857" width="40.28515625" customWidth="1" style="248"/>
    <col min="15858" max="15858" width="21.7109375" customWidth="1" style="248"/>
    <col min="15859" max="15859" width="28.7109375" customWidth="1" style="248"/>
    <col min="15860" max="15860" width="12" customWidth="1" style="248"/>
    <col min="15861" max="15861" width="13.7109375" customWidth="1" style="248"/>
    <col min="15862" max="15862" width="23.5703125" customWidth="1" style="248"/>
    <col min="15863" max="15863" width="19.5703125" customWidth="1" style="248"/>
    <col min="15864" max="15864" width="15.85546875" customWidth="1" style="248"/>
    <col min="15865" max="15865" width="15.28515625" customWidth="1" style="248"/>
    <col min="15866" max="15866" width="13" customWidth="1" style="248"/>
    <col min="15867" max="15867" width="27.85546875" customWidth="1" style="248"/>
    <col min="15868" max="15868" width="27.5703125" customWidth="1" style="248"/>
    <col min="15869" max="15869" width="31.140625" customWidth="1" style="248"/>
    <col min="15870" max="15870" width="38.28515625" customWidth="1" style="248"/>
    <col min="15871" max="15871" width="45.28515625" customWidth="1" style="248"/>
    <col min="15872" max="15872" width="35.42578125" customWidth="1" style="248"/>
    <col min="15873" max="15873" width="28.28515625" customWidth="1" style="248"/>
    <col min="15874" max="15874" width="14" customWidth="1" style="248"/>
    <col min="15875" max="15875" width="18" customWidth="1" style="248"/>
    <col min="15876" max="15876" width="21.7109375" customWidth="1" style="248"/>
    <col min="15877" max="15877" width="30.28515625" customWidth="1" style="248"/>
    <col min="15878" max="15878" width="17.42578125" customWidth="1" style="248"/>
    <col min="15879" max="15879" width="36.28515625" customWidth="1" style="248"/>
    <col min="15880" max="15880" width="45.140625" customWidth="1" style="248"/>
    <col min="15881" max="15881" width="19.5703125" customWidth="1" style="248"/>
    <col min="15882" max="15882" width="24.140625" customWidth="1" style="248"/>
    <col min="15883" max="15883" width="36.140625" customWidth="1" style="248"/>
    <col min="15884" max="15884" width="8.85546875" customWidth="1" style="248"/>
    <col min="15885" max="15885" width="22" customWidth="1" style="248"/>
    <col min="15886" max="15886" width="21.42578125" customWidth="1" style="248"/>
    <col min="15887" max="15887" width="23" customWidth="1" style="248"/>
    <col min="15888" max="15888" width="13.42578125" customWidth="1" style="248"/>
    <col min="15889" max="16107" width="9" customWidth="1" style="248"/>
    <col min="16108" max="16108" width="4.140625" customWidth="1" style="248"/>
    <col min="16109" max="16109" width="8.140625" customWidth="1" style="248"/>
    <col min="16110" max="16110" width="9.140625" customWidth="1" style="248"/>
    <col min="16111" max="16112" width="16" customWidth="1" style="248"/>
    <col min="16113" max="16113" width="40.28515625" customWidth="1" style="248"/>
    <col min="16114" max="16114" width="21.7109375" customWidth="1" style="248"/>
    <col min="16115" max="16115" width="28.7109375" customWidth="1" style="248"/>
    <col min="16116" max="16116" width="12" customWidth="1" style="248"/>
    <col min="16117" max="16117" width="13.7109375" customWidth="1" style="248"/>
    <col min="16118" max="16118" width="23.5703125" customWidth="1" style="248"/>
    <col min="16119" max="16119" width="19.5703125" customWidth="1" style="248"/>
    <col min="16120" max="16120" width="15.85546875" customWidth="1" style="248"/>
    <col min="16121" max="16121" width="15.28515625" customWidth="1" style="248"/>
    <col min="16122" max="16122" width="13" customWidth="1" style="248"/>
    <col min="16123" max="16123" width="27.85546875" customWidth="1" style="248"/>
    <col min="16124" max="16124" width="27.5703125" customWidth="1" style="248"/>
    <col min="16125" max="16125" width="31.140625" customWidth="1" style="248"/>
    <col min="16126" max="16126" width="38.28515625" customWidth="1" style="248"/>
    <col min="16127" max="16127" width="45.28515625" customWidth="1" style="248"/>
    <col min="16128" max="16128" width="35.42578125" customWidth="1" style="248"/>
    <col min="16129" max="16129" width="28.28515625" customWidth="1" style="248"/>
    <col min="16130" max="16130" width="14" customWidth="1" style="248"/>
    <col min="16131" max="16131" width="18" customWidth="1" style="248"/>
    <col min="16132" max="16132" width="21.7109375" customWidth="1" style="248"/>
    <col min="16133" max="16133" width="30.28515625" customWidth="1" style="248"/>
    <col min="16134" max="16134" width="17.42578125" customWidth="1" style="248"/>
    <col min="16135" max="16135" width="36.28515625" customWidth="1" style="248"/>
    <col min="16136" max="16136" width="45.140625" customWidth="1" style="248"/>
    <col min="16137" max="16137" width="19.5703125" customWidth="1" style="248"/>
    <col min="16138" max="16138" width="24.140625" customWidth="1" style="248"/>
    <col min="16139" max="16139" width="36.140625" customWidth="1" style="248"/>
    <col min="16140" max="16140" width="8.85546875" customWidth="1" style="248"/>
    <col min="16141" max="16141" width="22" customWidth="1" style="248"/>
    <col min="16142" max="16142" width="21.42578125" customWidth="1" style="248"/>
    <col min="16143" max="16143" width="23" customWidth="1" style="248"/>
    <col min="16144" max="16144" width="13.42578125" customWidth="1" style="248"/>
    <col min="16145" max="16384" width="9" customWidth="1" style="248"/>
  </cols>
  <sheetData>
    <row r="1">
      <c r="B1" s="251" t="s">
        <v>537</v>
      </c>
      <c r="G1" s="1253" t="s">
        <v>1</v>
      </c>
    </row>
    <row r="2">
      <c r="B2" s="251" t="s">
        <v>538</v>
      </c>
    </row>
    <row r="3">
      <c r="B3" s="251" t="s">
        <v>539</v>
      </c>
    </row>
    <row r="4">
      <c r="B4" s="252" t="s">
        <v>540</v>
      </c>
    </row>
    <row r="5">
      <c r="A5" s="253"/>
      <c r="B5" s="254" t="s">
        <v>541</v>
      </c>
    </row>
    <row r="6" ht="15.75" s="244" customFormat="1">
      <c r="A6" s="255"/>
      <c r="B6" s="1107" t="s">
        <v>10</v>
      </c>
      <c r="C6" s="1107" t="s">
        <v>4</v>
      </c>
      <c r="D6" s="1107" t="s">
        <v>542</v>
      </c>
      <c r="E6" s="1107" t="s">
        <v>543</v>
      </c>
      <c r="F6" s="1107" t="s">
        <v>544</v>
      </c>
      <c r="G6" s="1107" t="s">
        <v>545</v>
      </c>
      <c r="H6" s="1107"/>
      <c r="I6" s="256" t="s">
        <v>546</v>
      </c>
      <c r="J6" s="256" t="s">
        <v>547</v>
      </c>
      <c r="K6" s="1109" t="s">
        <v>548</v>
      </c>
      <c r="M6" s="266"/>
      <c r="N6" s="266"/>
    </row>
    <row r="7" ht="15.75" s="244" customFormat="1">
      <c r="A7" s="255"/>
      <c r="B7" s="1108"/>
      <c r="C7" s="1108"/>
      <c r="D7" s="1108"/>
      <c r="E7" s="1108"/>
      <c r="F7" s="1108"/>
      <c r="G7" s="257" t="s">
        <v>549</v>
      </c>
      <c r="H7" s="257" t="s">
        <v>550</v>
      </c>
      <c r="I7" s="257" t="s">
        <v>551</v>
      </c>
      <c r="J7" s="257" t="s">
        <v>551</v>
      </c>
      <c r="K7" s="1110"/>
      <c r="M7" s="266"/>
      <c r="N7" s="266"/>
    </row>
    <row r="8" ht="18.75" customHeight="1" s="245" customFormat="1">
      <c r="B8" s="258">
        <v>1</v>
      </c>
      <c r="C8" s="259"/>
      <c r="D8" s="258" t="s">
        <v>552</v>
      </c>
      <c r="E8" s="260">
        <v>43832</v>
      </c>
      <c r="F8" s="260">
        <v>43842</v>
      </c>
      <c r="G8" s="259" t="s">
        <v>435</v>
      </c>
      <c r="H8" s="259" t="s">
        <v>63</v>
      </c>
      <c r="I8" s="267">
        <v>2877448</v>
      </c>
      <c r="J8" s="258"/>
      <c r="K8" s="1111" t="s">
        <v>553</v>
      </c>
      <c r="M8" s="268"/>
      <c r="N8" s="268"/>
    </row>
    <row r="9" s="245" customFormat="1">
      <c r="B9" s="258">
        <f>+B8+1</f>
        <v>2</v>
      </c>
      <c r="C9" s="259"/>
      <c r="D9" s="258" t="s">
        <v>24</v>
      </c>
      <c r="E9" s="260"/>
      <c r="F9" s="260">
        <v>43821</v>
      </c>
      <c r="G9" s="259" t="s">
        <v>435</v>
      </c>
      <c r="H9" s="259" t="s">
        <v>63</v>
      </c>
      <c r="I9" s="267">
        <v>2877448</v>
      </c>
      <c r="J9" s="258"/>
      <c r="K9" s="1112"/>
      <c r="M9" s="268"/>
      <c r="N9" s="268"/>
    </row>
    <row r="10" s="245" customFormat="1">
      <c r="B10" s="258">
        <f ref="B10:B57" t="shared" si="0">+B9+1</f>
        <v>3</v>
      </c>
      <c r="C10" s="259"/>
      <c r="D10" s="258" t="s">
        <v>554</v>
      </c>
      <c r="E10" s="260"/>
      <c r="F10" s="260">
        <v>43819</v>
      </c>
      <c r="G10" s="259" t="s">
        <v>435</v>
      </c>
      <c r="H10" s="259" t="s">
        <v>63</v>
      </c>
      <c r="I10" s="267">
        <v>2877448</v>
      </c>
      <c r="J10" s="258"/>
      <c r="K10" s="1112"/>
      <c r="M10" s="268"/>
      <c r="N10" s="268"/>
    </row>
    <row r="11" s="245" customFormat="1">
      <c r="B11" s="258">
        <f t="shared" si="0"/>
        <v>4</v>
      </c>
      <c r="C11" s="259"/>
      <c r="D11" s="258" t="s">
        <v>555</v>
      </c>
      <c r="E11" s="260"/>
      <c r="F11" s="260">
        <v>43810</v>
      </c>
      <c r="G11" s="259" t="s">
        <v>435</v>
      </c>
      <c r="H11" s="259" t="s">
        <v>63</v>
      </c>
      <c r="I11" s="267">
        <v>2877448</v>
      </c>
      <c r="J11" s="258"/>
      <c r="K11" s="1112"/>
      <c r="M11" s="268"/>
      <c r="N11" s="268"/>
    </row>
    <row r="12" s="245" customFormat="1">
      <c r="B12" s="258">
        <f t="shared" si="0"/>
        <v>5</v>
      </c>
      <c r="C12" s="259"/>
      <c r="D12" s="258" t="s">
        <v>556</v>
      </c>
      <c r="E12" s="260"/>
      <c r="F12" s="260">
        <v>43830</v>
      </c>
      <c r="G12" s="259" t="s">
        <v>435</v>
      </c>
      <c r="H12" s="259" t="s">
        <v>63</v>
      </c>
      <c r="I12" s="267">
        <v>2877448</v>
      </c>
      <c r="J12" s="258"/>
      <c r="K12" s="1112"/>
      <c r="M12" s="268"/>
      <c r="N12" s="268"/>
    </row>
    <row r="13" s="245" customFormat="1">
      <c r="B13" s="258">
        <f t="shared" si="0"/>
        <v>6</v>
      </c>
      <c r="C13" s="259"/>
      <c r="D13" s="258" t="s">
        <v>557</v>
      </c>
      <c r="E13" s="260">
        <v>43812</v>
      </c>
      <c r="F13" s="261"/>
      <c r="G13" s="259" t="s">
        <v>435</v>
      </c>
      <c r="H13" s="259" t="s">
        <v>63</v>
      </c>
      <c r="I13" s="267">
        <v>2877448</v>
      </c>
      <c r="J13" s="258"/>
      <c r="K13" s="1112"/>
      <c r="M13" s="268"/>
      <c r="N13" s="268"/>
    </row>
    <row r="14" s="245" customFormat="1">
      <c r="B14" s="258">
        <f t="shared" si="0"/>
        <v>7</v>
      </c>
      <c r="C14" s="259"/>
      <c r="D14" s="258" t="s">
        <v>558</v>
      </c>
      <c r="E14" s="260">
        <v>43823</v>
      </c>
      <c r="F14" s="261"/>
      <c r="G14" s="259" t="s">
        <v>435</v>
      </c>
      <c r="H14" s="259" t="s">
        <v>63</v>
      </c>
      <c r="I14" s="267">
        <v>2877448</v>
      </c>
      <c r="J14" s="258"/>
      <c r="K14" s="1112"/>
      <c r="M14" s="268"/>
      <c r="N14" s="268"/>
    </row>
    <row r="15" s="245" customFormat="1">
      <c r="B15" s="258">
        <f t="shared" si="0"/>
        <v>8</v>
      </c>
      <c r="C15" s="259"/>
      <c r="D15" s="258" t="s">
        <v>559</v>
      </c>
      <c r="E15" s="260">
        <v>43822</v>
      </c>
      <c r="F15" s="261"/>
      <c r="G15" s="259" t="s">
        <v>435</v>
      </c>
      <c r="H15" s="259" t="s">
        <v>63</v>
      </c>
      <c r="I15" s="267">
        <v>2877448</v>
      </c>
      <c r="J15" s="258"/>
      <c r="K15" s="1112"/>
      <c r="M15" s="268"/>
      <c r="N15" s="268"/>
    </row>
    <row r="16" s="245" customFormat="1">
      <c r="B16" s="258">
        <f t="shared" si="0"/>
        <v>9</v>
      </c>
      <c r="C16" s="259"/>
      <c r="D16" s="258" t="s">
        <v>560</v>
      </c>
      <c r="E16" s="260">
        <v>43817</v>
      </c>
      <c r="F16" s="261"/>
      <c r="G16" s="259" t="s">
        <v>435</v>
      </c>
      <c r="H16" s="259" t="s">
        <v>63</v>
      </c>
      <c r="I16" s="267">
        <v>2877448</v>
      </c>
      <c r="J16" s="258"/>
      <c r="K16" s="1112"/>
      <c r="M16" s="268"/>
      <c r="N16" s="268"/>
    </row>
    <row r="17" s="245" customFormat="1">
      <c r="B17" s="258">
        <f t="shared" si="0"/>
        <v>10</v>
      </c>
      <c r="C17" s="259"/>
      <c r="D17" s="258" t="s">
        <v>561</v>
      </c>
      <c r="E17" s="260">
        <v>43832</v>
      </c>
      <c r="F17" s="261"/>
      <c r="G17" s="259" t="s">
        <v>435</v>
      </c>
      <c r="H17" s="259" t="s">
        <v>63</v>
      </c>
      <c r="I17" s="267">
        <v>2877448</v>
      </c>
      <c r="J17" s="258"/>
      <c r="K17" s="1112"/>
      <c r="M17" s="268"/>
      <c r="N17" s="268"/>
    </row>
    <row r="18" s="245" customFormat="1">
      <c r="B18" s="258">
        <f t="shared" si="0"/>
        <v>11</v>
      </c>
      <c r="C18" s="259"/>
      <c r="D18" s="258" t="s">
        <v>562</v>
      </c>
      <c r="E18" s="260">
        <v>43820</v>
      </c>
      <c r="F18" s="261"/>
      <c r="G18" s="259" t="s">
        <v>62</v>
      </c>
      <c r="H18" s="259" t="s">
        <v>63</v>
      </c>
      <c r="I18" s="267">
        <v>2515000</v>
      </c>
      <c r="J18" s="258"/>
      <c r="K18" s="1112"/>
      <c r="M18" s="268"/>
      <c r="N18" s="268"/>
    </row>
    <row r="19" s="245" customFormat="1">
      <c r="B19" s="258">
        <f t="shared" si="0"/>
        <v>12</v>
      </c>
      <c r="C19" s="259"/>
      <c r="D19" s="258" t="s">
        <v>563</v>
      </c>
      <c r="E19" s="260">
        <v>43820</v>
      </c>
      <c r="F19" s="261"/>
      <c r="G19" s="259" t="s">
        <v>62</v>
      </c>
      <c r="H19" s="259" t="s">
        <v>63</v>
      </c>
      <c r="I19" s="267">
        <v>2515000</v>
      </c>
      <c r="J19" s="258"/>
      <c r="K19" s="1112"/>
      <c r="M19" s="268"/>
      <c r="N19" s="268"/>
    </row>
    <row r="20" s="245" customFormat="1">
      <c r="B20" s="258">
        <f t="shared" si="0"/>
        <v>13</v>
      </c>
      <c r="C20" s="259"/>
      <c r="D20" s="258" t="s">
        <v>564</v>
      </c>
      <c r="E20" s="260">
        <v>43820</v>
      </c>
      <c r="F20" s="261"/>
      <c r="G20" s="259" t="s">
        <v>62</v>
      </c>
      <c r="H20" s="259" t="s">
        <v>63</v>
      </c>
      <c r="I20" s="267">
        <v>2515000</v>
      </c>
      <c r="J20" s="258"/>
      <c r="K20" s="1112"/>
      <c r="M20" s="268"/>
      <c r="N20" s="268"/>
    </row>
    <row r="21" s="245" customFormat="1">
      <c r="B21" s="258">
        <f t="shared" si="0"/>
        <v>14</v>
      </c>
      <c r="C21" s="259"/>
      <c r="D21" s="258" t="s">
        <v>565</v>
      </c>
      <c r="E21" s="260">
        <v>43825</v>
      </c>
      <c r="F21" s="261"/>
      <c r="G21" s="259" t="s">
        <v>62</v>
      </c>
      <c r="H21" s="259" t="s">
        <v>63</v>
      </c>
      <c r="I21" s="267">
        <v>2515000</v>
      </c>
      <c r="J21" s="258"/>
      <c r="K21" s="1112"/>
      <c r="M21" s="268"/>
      <c r="N21" s="268"/>
    </row>
    <row r="22" s="245" customFormat="1">
      <c r="B22" s="258">
        <f t="shared" si="0"/>
        <v>15</v>
      </c>
      <c r="C22" s="259"/>
      <c r="D22" s="258" t="s">
        <v>566</v>
      </c>
      <c r="E22" s="260">
        <v>43824</v>
      </c>
      <c r="F22" s="261"/>
      <c r="G22" s="259" t="s">
        <v>62</v>
      </c>
      <c r="H22" s="259" t="s">
        <v>63</v>
      </c>
      <c r="I22" s="267">
        <v>2515000</v>
      </c>
      <c r="J22" s="258"/>
      <c r="K22" s="1112"/>
      <c r="M22" s="268"/>
      <c r="N22" s="268"/>
    </row>
    <row r="23" s="245" customFormat="1">
      <c r="B23" s="258">
        <f t="shared" si="0"/>
        <v>16</v>
      </c>
      <c r="C23" s="259"/>
      <c r="D23" s="258" t="s">
        <v>567</v>
      </c>
      <c r="E23" s="260">
        <v>43829</v>
      </c>
      <c r="F23" s="261"/>
      <c r="G23" s="259" t="s">
        <v>62</v>
      </c>
      <c r="H23" s="259" t="s">
        <v>63</v>
      </c>
      <c r="I23" s="267">
        <v>2515000</v>
      </c>
      <c r="J23" s="258"/>
      <c r="K23" s="1112"/>
      <c r="M23" s="268"/>
      <c r="N23" s="268"/>
    </row>
    <row r="24" s="245" customFormat="1">
      <c r="B24" s="258">
        <f t="shared" si="0"/>
        <v>17</v>
      </c>
      <c r="C24" s="259"/>
      <c r="D24" s="258" t="s">
        <v>122</v>
      </c>
      <c r="E24" s="260">
        <v>43829</v>
      </c>
      <c r="F24" s="261"/>
      <c r="G24" s="259" t="s">
        <v>62</v>
      </c>
      <c r="H24" s="259" t="s">
        <v>63</v>
      </c>
      <c r="I24" s="267">
        <v>2515000</v>
      </c>
      <c r="J24" s="258"/>
      <c r="K24" s="1112"/>
      <c r="M24" s="268"/>
      <c r="N24" s="268"/>
    </row>
    <row r="25" s="245" customFormat="1">
      <c r="B25" s="258">
        <f t="shared" si="0"/>
        <v>18</v>
      </c>
      <c r="C25" s="259"/>
      <c r="D25" s="258" t="s">
        <v>568</v>
      </c>
      <c r="E25" s="260"/>
      <c r="F25" s="260">
        <v>43830</v>
      </c>
      <c r="G25" s="259" t="s">
        <v>62</v>
      </c>
      <c r="H25" s="259" t="s">
        <v>63</v>
      </c>
      <c r="I25" s="267">
        <v>2515000</v>
      </c>
      <c r="J25" s="258"/>
      <c r="K25" s="1112"/>
      <c r="M25" s="268"/>
      <c r="N25" s="268"/>
    </row>
    <row r="26" s="245" customFormat="1">
      <c r="B26" s="258">
        <f t="shared" si="0"/>
        <v>19</v>
      </c>
      <c r="C26" s="259"/>
      <c r="D26" s="258" t="s">
        <v>569</v>
      </c>
      <c r="E26" s="260"/>
      <c r="F26" s="260">
        <v>43830</v>
      </c>
      <c r="G26" s="259" t="s">
        <v>62</v>
      </c>
      <c r="H26" s="259" t="s">
        <v>63</v>
      </c>
      <c r="I26" s="267">
        <v>2515000</v>
      </c>
      <c r="J26" s="258"/>
      <c r="K26" s="1112"/>
      <c r="M26" s="268"/>
      <c r="N26" s="268"/>
    </row>
    <row r="27" s="245" customFormat="1">
      <c r="B27" s="258">
        <f t="shared" si="0"/>
        <v>20</v>
      </c>
      <c r="C27" s="259"/>
      <c r="D27" s="258" t="s">
        <v>570</v>
      </c>
      <c r="E27" s="260"/>
      <c r="F27" s="260">
        <v>43816</v>
      </c>
      <c r="G27" s="259" t="s">
        <v>62</v>
      </c>
      <c r="H27" s="259" t="s">
        <v>63</v>
      </c>
      <c r="I27" s="267">
        <v>2515000</v>
      </c>
      <c r="J27" s="258"/>
      <c r="K27" s="1112"/>
      <c r="M27" s="268"/>
      <c r="N27" s="268"/>
    </row>
    <row r="28" s="245" customFormat="1">
      <c r="B28" s="258">
        <f t="shared" si="0"/>
        <v>21</v>
      </c>
      <c r="C28" s="259"/>
      <c r="D28" s="258" t="s">
        <v>571</v>
      </c>
      <c r="E28" s="260"/>
      <c r="F28" s="260">
        <v>43830</v>
      </c>
      <c r="G28" s="259" t="s">
        <v>62</v>
      </c>
      <c r="H28" s="259" t="s">
        <v>63</v>
      </c>
      <c r="I28" s="267">
        <v>2515000</v>
      </c>
      <c r="J28" s="258"/>
      <c r="K28" s="1112"/>
      <c r="M28" s="268"/>
      <c r="N28" s="268"/>
    </row>
    <row r="29" s="245" customFormat="1">
      <c r="B29" s="258">
        <f t="shared" si="0"/>
        <v>22</v>
      </c>
      <c r="C29" s="259"/>
      <c r="D29" s="258" t="s">
        <v>572</v>
      </c>
      <c r="E29" s="260">
        <v>43791</v>
      </c>
      <c r="F29" s="261"/>
      <c r="G29" s="259" t="s">
        <v>573</v>
      </c>
      <c r="H29" s="259" t="s">
        <v>421</v>
      </c>
      <c r="I29" s="267">
        <v>4276349</v>
      </c>
      <c r="J29" s="258"/>
      <c r="K29" s="1112"/>
      <c r="M29" s="268"/>
      <c r="N29" s="268"/>
    </row>
    <row r="30" s="245" customFormat="1">
      <c r="B30" s="258">
        <f t="shared" si="0"/>
        <v>23</v>
      </c>
      <c r="C30" s="259"/>
      <c r="D30" s="258" t="s">
        <v>574</v>
      </c>
      <c r="E30" s="260">
        <v>43806</v>
      </c>
      <c r="F30" s="261"/>
      <c r="G30" s="259" t="s">
        <v>573</v>
      </c>
      <c r="H30" s="259" t="s">
        <v>421</v>
      </c>
      <c r="I30" s="267">
        <v>4276349</v>
      </c>
      <c r="J30" s="258"/>
      <c r="K30" s="1112"/>
      <c r="M30" s="268"/>
      <c r="N30" s="268"/>
    </row>
    <row r="31" s="245" customFormat="1">
      <c r="B31" s="258">
        <f t="shared" si="0"/>
        <v>24</v>
      </c>
      <c r="C31" s="259"/>
      <c r="D31" s="258" t="s">
        <v>575</v>
      </c>
      <c r="E31" s="260">
        <v>43811</v>
      </c>
      <c r="F31" s="261"/>
      <c r="G31" s="259" t="s">
        <v>573</v>
      </c>
      <c r="H31" s="259" t="s">
        <v>421</v>
      </c>
      <c r="I31" s="267">
        <v>4276349</v>
      </c>
      <c r="J31" s="258"/>
      <c r="K31" s="1112"/>
      <c r="M31" s="268"/>
      <c r="N31" s="268"/>
    </row>
    <row r="32" s="245" customFormat="1">
      <c r="B32" s="258">
        <f t="shared" si="0"/>
        <v>25</v>
      </c>
      <c r="C32" s="259"/>
      <c r="D32" s="258" t="s">
        <v>576</v>
      </c>
      <c r="E32" s="260">
        <v>43815</v>
      </c>
      <c r="F32" s="261"/>
      <c r="G32" s="259" t="s">
        <v>573</v>
      </c>
      <c r="H32" s="259" t="s">
        <v>421</v>
      </c>
      <c r="I32" s="267">
        <v>4276349</v>
      </c>
      <c r="J32" s="258"/>
      <c r="K32" s="1112"/>
      <c r="M32" s="268"/>
      <c r="N32" s="268"/>
    </row>
    <row r="33" s="245" customFormat="1">
      <c r="B33" s="258">
        <f t="shared" si="0"/>
        <v>26</v>
      </c>
      <c r="C33" s="259"/>
      <c r="D33" s="258" t="s">
        <v>577</v>
      </c>
      <c r="E33" s="260">
        <v>43826</v>
      </c>
      <c r="F33" s="261"/>
      <c r="G33" s="259" t="s">
        <v>573</v>
      </c>
      <c r="H33" s="259" t="s">
        <v>421</v>
      </c>
      <c r="I33" s="267">
        <v>4276349</v>
      </c>
      <c r="J33" s="258"/>
      <c r="K33" s="1112"/>
      <c r="M33" s="268"/>
      <c r="N33" s="268"/>
    </row>
    <row r="34" s="245" customFormat="1">
      <c r="B34" s="258">
        <f t="shared" si="0"/>
        <v>27</v>
      </c>
      <c r="C34" s="259"/>
      <c r="D34" s="258" t="s">
        <v>578</v>
      </c>
      <c r="E34" s="260">
        <v>43830</v>
      </c>
      <c r="F34" s="261"/>
      <c r="G34" s="259" t="s">
        <v>573</v>
      </c>
      <c r="H34" s="259" t="s">
        <v>421</v>
      </c>
      <c r="I34" s="267">
        <v>4276349</v>
      </c>
      <c r="J34" s="258"/>
      <c r="K34" s="1112"/>
      <c r="M34" s="268"/>
      <c r="N34" s="268"/>
    </row>
    <row r="35" s="245" customFormat="1">
      <c r="B35" s="258">
        <f t="shared" si="0"/>
        <v>28</v>
      </c>
      <c r="C35" s="259"/>
      <c r="D35" s="258" t="s">
        <v>579</v>
      </c>
      <c r="E35" s="260">
        <v>43834</v>
      </c>
      <c r="F35" s="261"/>
      <c r="G35" s="259" t="s">
        <v>573</v>
      </c>
      <c r="H35" s="259" t="s">
        <v>421</v>
      </c>
      <c r="I35" s="267">
        <v>4276349</v>
      </c>
      <c r="J35" s="258"/>
      <c r="K35" s="1112"/>
      <c r="M35" s="268"/>
      <c r="N35" s="268"/>
    </row>
    <row r="36" s="245" customFormat="1">
      <c r="B36" s="258">
        <f t="shared" si="0"/>
        <v>29</v>
      </c>
      <c r="C36" s="259"/>
      <c r="D36" s="258" t="s">
        <v>580</v>
      </c>
      <c r="E36" s="260">
        <v>43839</v>
      </c>
      <c r="F36" s="261"/>
      <c r="G36" s="259" t="s">
        <v>573</v>
      </c>
      <c r="H36" s="259" t="s">
        <v>421</v>
      </c>
      <c r="I36" s="267">
        <v>4276349</v>
      </c>
      <c r="J36" s="258"/>
      <c r="K36" s="1112"/>
      <c r="M36" s="268"/>
      <c r="N36" s="268"/>
    </row>
    <row r="37" s="245" customFormat="1">
      <c r="B37" s="258">
        <f t="shared" si="0"/>
        <v>30</v>
      </c>
      <c r="C37" s="259"/>
      <c r="D37" s="258" t="s">
        <v>581</v>
      </c>
      <c r="E37" s="260">
        <v>43839</v>
      </c>
      <c r="F37" s="261"/>
      <c r="G37" s="259" t="s">
        <v>573</v>
      </c>
      <c r="H37" s="259" t="s">
        <v>421</v>
      </c>
      <c r="I37" s="267">
        <v>4276349</v>
      </c>
      <c r="J37" s="258"/>
      <c r="K37" s="1112"/>
      <c r="M37" s="268"/>
      <c r="N37" s="268"/>
    </row>
    <row r="38" s="245" customFormat="1">
      <c r="B38" s="258">
        <f t="shared" si="0"/>
        <v>31</v>
      </c>
      <c r="C38" s="259"/>
      <c r="D38" s="258" t="s">
        <v>582</v>
      </c>
      <c r="E38" s="260">
        <v>43815</v>
      </c>
      <c r="F38" s="261">
        <v>43830</v>
      </c>
      <c r="G38" s="259" t="s">
        <v>573</v>
      </c>
      <c r="H38" s="259" t="s">
        <v>421</v>
      </c>
      <c r="I38" s="267">
        <v>4276349</v>
      </c>
      <c r="J38" s="258"/>
      <c r="K38" s="1112"/>
      <c r="M38" s="268"/>
      <c r="N38" s="268"/>
    </row>
    <row r="39" s="245" customFormat="1">
      <c r="B39" s="258">
        <f t="shared" si="0"/>
        <v>32</v>
      </c>
      <c r="C39" s="259"/>
      <c r="D39" s="258" t="s">
        <v>583</v>
      </c>
      <c r="E39" s="260">
        <v>43830</v>
      </c>
      <c r="F39" s="261">
        <v>43832</v>
      </c>
      <c r="G39" s="259" t="s">
        <v>573</v>
      </c>
      <c r="H39" s="259" t="s">
        <v>421</v>
      </c>
      <c r="I39" s="267">
        <v>4276349</v>
      </c>
      <c r="J39" s="258"/>
      <c r="K39" s="1112"/>
      <c r="M39" s="268"/>
      <c r="N39" s="268"/>
    </row>
    <row r="40" s="245" customFormat="1">
      <c r="B40" s="258">
        <f t="shared" si="0"/>
        <v>33</v>
      </c>
      <c r="C40" s="259"/>
      <c r="D40" s="258" t="s">
        <v>584</v>
      </c>
      <c r="E40" s="260"/>
      <c r="F40" s="261">
        <v>43861</v>
      </c>
      <c r="G40" s="259" t="s">
        <v>573</v>
      </c>
      <c r="H40" s="259" t="s">
        <v>421</v>
      </c>
      <c r="I40" s="267">
        <v>4276349</v>
      </c>
      <c r="J40" s="258"/>
      <c r="K40" s="1112"/>
      <c r="M40" s="268"/>
      <c r="N40" s="268"/>
    </row>
    <row r="41" s="245" customFormat="1">
      <c r="B41" s="258">
        <f t="shared" si="0"/>
        <v>34</v>
      </c>
      <c r="C41" s="259"/>
      <c r="D41" s="258" t="s">
        <v>585</v>
      </c>
      <c r="E41" s="260"/>
      <c r="F41" s="261">
        <v>43830</v>
      </c>
      <c r="G41" s="259" t="s">
        <v>573</v>
      </c>
      <c r="H41" s="259" t="s">
        <v>421</v>
      </c>
      <c r="I41" s="267">
        <v>4276349</v>
      </c>
      <c r="J41" s="258"/>
      <c r="K41" s="1112"/>
      <c r="M41" s="268"/>
      <c r="N41" s="268"/>
    </row>
    <row r="42" s="245" customFormat="1">
      <c r="B42" s="258">
        <f t="shared" si="0"/>
        <v>35</v>
      </c>
      <c r="C42" s="259"/>
      <c r="D42" s="258" t="s">
        <v>586</v>
      </c>
      <c r="E42" s="260"/>
      <c r="F42" s="261">
        <v>43838</v>
      </c>
      <c r="G42" s="259" t="s">
        <v>573</v>
      </c>
      <c r="H42" s="259" t="s">
        <v>421</v>
      </c>
      <c r="I42" s="267">
        <v>4276349</v>
      </c>
      <c r="J42" s="258"/>
      <c r="K42" s="1112"/>
      <c r="M42" s="268"/>
      <c r="N42" s="268"/>
    </row>
    <row r="43" s="245" customFormat="1">
      <c r="B43" s="258">
        <f t="shared" si="0"/>
        <v>36</v>
      </c>
      <c r="C43" s="259"/>
      <c r="D43" s="258" t="s">
        <v>587</v>
      </c>
      <c r="E43" s="260"/>
      <c r="F43" s="261">
        <v>43836</v>
      </c>
      <c r="G43" s="259" t="s">
        <v>573</v>
      </c>
      <c r="H43" s="259" t="s">
        <v>421</v>
      </c>
      <c r="I43" s="267">
        <v>4276349</v>
      </c>
      <c r="J43" s="258"/>
      <c r="K43" s="1112"/>
      <c r="M43" s="268"/>
      <c r="N43" s="268"/>
    </row>
    <row r="44" s="245" customFormat="1">
      <c r="B44" s="258">
        <f t="shared" si="0"/>
        <v>37</v>
      </c>
      <c r="C44" s="259"/>
      <c r="D44" s="258" t="s">
        <v>588</v>
      </c>
      <c r="E44" s="260">
        <v>43809</v>
      </c>
      <c r="F44" s="261"/>
      <c r="G44" s="259" t="s">
        <v>589</v>
      </c>
      <c r="H44" s="259" t="s">
        <v>421</v>
      </c>
      <c r="I44" s="267">
        <v>4276349</v>
      </c>
      <c r="J44" s="258"/>
      <c r="K44" s="1112"/>
      <c r="M44" s="268"/>
      <c r="N44" s="268"/>
    </row>
    <row r="45" s="245" customFormat="1">
      <c r="B45" s="258">
        <f t="shared" si="0"/>
        <v>38</v>
      </c>
      <c r="C45" s="259"/>
      <c r="D45" s="258" t="s">
        <v>590</v>
      </c>
      <c r="E45" s="260">
        <v>43812</v>
      </c>
      <c r="F45" s="261"/>
      <c r="G45" s="259" t="s">
        <v>589</v>
      </c>
      <c r="H45" s="259" t="s">
        <v>421</v>
      </c>
      <c r="I45" s="267">
        <v>4276349</v>
      </c>
      <c r="J45" s="258"/>
      <c r="K45" s="1112"/>
      <c r="M45" s="268"/>
      <c r="N45" s="268"/>
    </row>
    <row r="46" s="245" customFormat="1">
      <c r="B46" s="258">
        <f t="shared" si="0"/>
        <v>39</v>
      </c>
      <c r="C46" s="259"/>
      <c r="D46" s="258" t="s">
        <v>591</v>
      </c>
      <c r="E46" s="260">
        <v>43812</v>
      </c>
      <c r="F46" s="261"/>
      <c r="G46" s="259" t="s">
        <v>589</v>
      </c>
      <c r="H46" s="259" t="s">
        <v>421</v>
      </c>
      <c r="I46" s="267">
        <v>4276349</v>
      </c>
      <c r="J46" s="258"/>
      <c r="K46" s="1112"/>
      <c r="M46" s="268"/>
      <c r="N46" s="268"/>
    </row>
    <row r="47" s="245" customFormat="1">
      <c r="B47" s="258">
        <f t="shared" si="0"/>
        <v>40</v>
      </c>
      <c r="C47" s="259"/>
      <c r="D47" s="258" t="s">
        <v>592</v>
      </c>
      <c r="E47" s="260">
        <v>43813</v>
      </c>
      <c r="F47" s="261"/>
      <c r="G47" s="259" t="s">
        <v>589</v>
      </c>
      <c r="H47" s="259" t="s">
        <v>421</v>
      </c>
      <c r="I47" s="267">
        <v>4276349</v>
      </c>
      <c r="J47" s="258"/>
      <c r="K47" s="1112"/>
      <c r="M47" s="268"/>
      <c r="N47" s="268"/>
    </row>
    <row r="48" s="245" customFormat="1">
      <c r="B48" s="258">
        <f t="shared" si="0"/>
        <v>41</v>
      </c>
      <c r="C48" s="259"/>
      <c r="D48" s="258" t="s">
        <v>593</v>
      </c>
      <c r="E48" s="260">
        <v>43813</v>
      </c>
      <c r="F48" s="261"/>
      <c r="G48" s="259" t="s">
        <v>589</v>
      </c>
      <c r="H48" s="259" t="s">
        <v>421</v>
      </c>
      <c r="I48" s="267">
        <v>4276349</v>
      </c>
      <c r="J48" s="258"/>
      <c r="K48" s="1112"/>
      <c r="M48" s="268"/>
      <c r="N48" s="268"/>
    </row>
    <row r="49" s="245" customFormat="1">
      <c r="B49" s="258">
        <f t="shared" si="0"/>
        <v>42</v>
      </c>
      <c r="C49" s="259"/>
      <c r="D49" s="258" t="s">
        <v>594</v>
      </c>
      <c r="E49" s="260">
        <v>43813</v>
      </c>
      <c r="F49" s="261"/>
      <c r="G49" s="259" t="s">
        <v>589</v>
      </c>
      <c r="H49" s="259" t="s">
        <v>421</v>
      </c>
      <c r="I49" s="267">
        <v>4276349</v>
      </c>
      <c r="J49" s="258"/>
      <c r="K49" s="1112"/>
      <c r="M49" s="268"/>
      <c r="N49" s="268"/>
    </row>
    <row r="50" s="245" customFormat="1">
      <c r="B50" s="258">
        <f t="shared" si="0"/>
        <v>43</v>
      </c>
      <c r="C50" s="259"/>
      <c r="D50" s="258" t="s">
        <v>595</v>
      </c>
      <c r="E50" s="260">
        <v>43823</v>
      </c>
      <c r="F50" s="261"/>
      <c r="G50" s="259" t="s">
        <v>589</v>
      </c>
      <c r="H50" s="259" t="s">
        <v>421</v>
      </c>
      <c r="I50" s="267">
        <v>4276349</v>
      </c>
      <c r="J50" s="258"/>
      <c r="K50" s="1112"/>
      <c r="M50" s="268"/>
      <c r="N50" s="268"/>
    </row>
    <row r="51" s="245" customFormat="1">
      <c r="B51" s="258">
        <f t="shared" si="0"/>
        <v>44</v>
      </c>
      <c r="C51" s="259"/>
      <c r="D51" s="258" t="s">
        <v>596</v>
      </c>
      <c r="E51" s="260">
        <v>43838</v>
      </c>
      <c r="F51" s="261"/>
      <c r="G51" s="259" t="s">
        <v>589</v>
      </c>
      <c r="H51" s="259" t="s">
        <v>421</v>
      </c>
      <c r="I51" s="267">
        <v>4276349</v>
      </c>
      <c r="J51" s="258"/>
      <c r="K51" s="1112"/>
      <c r="M51" s="268"/>
      <c r="N51" s="268"/>
    </row>
    <row r="52" s="245" customFormat="1">
      <c r="B52" s="258">
        <f t="shared" si="0"/>
        <v>45</v>
      </c>
      <c r="C52" s="259"/>
      <c r="D52" s="258" t="s">
        <v>597</v>
      </c>
      <c r="E52" s="260">
        <v>43839</v>
      </c>
      <c r="F52" s="261"/>
      <c r="G52" s="259" t="s">
        <v>589</v>
      </c>
      <c r="H52" s="259" t="s">
        <v>421</v>
      </c>
      <c r="I52" s="267">
        <v>4276349</v>
      </c>
      <c r="J52" s="258"/>
      <c r="K52" s="1112"/>
      <c r="M52" s="268"/>
      <c r="N52" s="268"/>
    </row>
    <row r="53" s="245" customFormat="1">
      <c r="B53" s="258">
        <f t="shared" si="0"/>
        <v>46</v>
      </c>
      <c r="C53" s="259"/>
      <c r="D53" s="258" t="s">
        <v>598</v>
      </c>
      <c r="E53" s="260"/>
      <c r="F53" s="260">
        <v>43823</v>
      </c>
      <c r="G53" s="259" t="s">
        <v>589</v>
      </c>
      <c r="H53" s="259" t="s">
        <v>421</v>
      </c>
      <c r="I53" s="267">
        <v>4276349</v>
      </c>
      <c r="J53" s="258"/>
      <c r="K53" s="1112"/>
      <c r="M53" s="268"/>
      <c r="N53" s="268"/>
    </row>
    <row r="54" s="245" customFormat="1">
      <c r="B54" s="258">
        <f t="shared" si="0"/>
        <v>47</v>
      </c>
      <c r="C54" s="259"/>
      <c r="D54" s="258" t="s">
        <v>599</v>
      </c>
      <c r="E54" s="260"/>
      <c r="F54" s="260">
        <v>43814</v>
      </c>
      <c r="G54" s="259" t="s">
        <v>589</v>
      </c>
      <c r="H54" s="259" t="s">
        <v>421</v>
      </c>
      <c r="I54" s="267">
        <v>4276349</v>
      </c>
      <c r="J54" s="258"/>
      <c r="K54" s="1112"/>
      <c r="M54" s="268"/>
      <c r="N54" s="268"/>
    </row>
    <row r="55" s="245" customFormat="1">
      <c r="B55" s="258">
        <f t="shared" si="0"/>
        <v>48</v>
      </c>
      <c r="C55" s="259"/>
      <c r="D55" s="258" t="s">
        <v>600</v>
      </c>
      <c r="E55" s="260"/>
      <c r="F55" s="260">
        <v>43824</v>
      </c>
      <c r="G55" s="259" t="s">
        <v>589</v>
      </c>
      <c r="H55" s="259" t="s">
        <v>421</v>
      </c>
      <c r="I55" s="267">
        <v>4276349</v>
      </c>
      <c r="J55" s="258"/>
      <c r="K55" s="1112"/>
      <c r="M55" s="268"/>
      <c r="N55" s="268"/>
    </row>
    <row r="56" s="245" customFormat="1">
      <c r="B56" s="258">
        <f t="shared" si="0"/>
        <v>49</v>
      </c>
      <c r="C56" s="259"/>
      <c r="D56" s="258" t="s">
        <v>601</v>
      </c>
      <c r="E56" s="260">
        <v>43829</v>
      </c>
      <c r="F56" s="261"/>
      <c r="G56" s="259" t="s">
        <v>602</v>
      </c>
      <c r="H56" s="259" t="s">
        <v>63</v>
      </c>
      <c r="I56" s="267">
        <v>3310723</v>
      </c>
      <c r="J56" s="258"/>
      <c r="K56" s="1112"/>
      <c r="M56" s="268"/>
      <c r="N56" s="268"/>
    </row>
    <row r="57" s="245" customFormat="1">
      <c r="B57" s="258">
        <f t="shared" si="0"/>
        <v>50</v>
      </c>
      <c r="C57" s="259"/>
      <c r="D57" s="258" t="s">
        <v>603</v>
      </c>
      <c r="E57" s="260">
        <v>43829</v>
      </c>
      <c r="F57" s="261"/>
      <c r="G57" s="259" t="s">
        <v>602</v>
      </c>
      <c r="H57" s="259" t="s">
        <v>63</v>
      </c>
      <c r="I57" s="267">
        <v>3310723</v>
      </c>
      <c r="J57" s="258"/>
      <c r="K57" s="1113"/>
      <c r="M57" s="268"/>
      <c r="N57" s="268"/>
    </row>
    <row r="58" s="246" customFormat="1">
      <c r="B58" s="262"/>
      <c r="C58" s="263"/>
      <c r="D58" s="262"/>
      <c r="E58" s="264"/>
      <c r="F58" s="265"/>
      <c r="G58" s="263"/>
      <c r="H58" s="263"/>
      <c r="I58" s="269"/>
      <c r="J58" s="262"/>
      <c r="K58" s="270"/>
      <c r="M58" s="271"/>
      <c r="N58" s="271"/>
    </row>
    <row r="59" ht="18.75" customHeight="1" s="245" customFormat="1">
      <c r="B59" s="258">
        <v>1</v>
      </c>
      <c r="C59" s="259"/>
      <c r="D59" s="258" t="s">
        <v>604</v>
      </c>
      <c r="E59" s="260"/>
      <c r="F59" s="261">
        <v>43851</v>
      </c>
      <c r="G59" s="259" t="s">
        <v>435</v>
      </c>
      <c r="H59" s="259" t="s">
        <v>63</v>
      </c>
      <c r="I59" s="267">
        <v>2877448</v>
      </c>
      <c r="J59" s="258"/>
      <c r="K59" s="1114" t="s">
        <v>605</v>
      </c>
      <c r="M59" s="268"/>
      <c r="N59" s="268"/>
    </row>
    <row r="60" s="245" customFormat="1">
      <c r="B60" s="258">
        <f>+B59+1</f>
        <v>2</v>
      </c>
      <c r="C60" s="259"/>
      <c r="D60" s="258" t="s">
        <v>334</v>
      </c>
      <c r="E60" s="260"/>
      <c r="F60" s="261">
        <v>43848</v>
      </c>
      <c r="G60" s="259" t="s">
        <v>435</v>
      </c>
      <c r="H60" s="259" t="s">
        <v>63</v>
      </c>
      <c r="I60" s="267">
        <v>2877448</v>
      </c>
      <c r="J60" s="258"/>
      <c r="K60" s="1115"/>
      <c r="M60" s="268"/>
      <c r="N60" s="268"/>
    </row>
    <row r="61" s="245" customFormat="1">
      <c r="B61" s="258">
        <f ref="B61:B124" t="shared" si="1">+B60+1</f>
        <v>3</v>
      </c>
      <c r="C61" s="259"/>
      <c r="D61" s="258" t="s">
        <v>606</v>
      </c>
      <c r="E61" s="260">
        <v>43849</v>
      </c>
      <c r="F61" s="261"/>
      <c r="G61" s="259" t="s">
        <v>435</v>
      </c>
      <c r="H61" s="259" t="s">
        <v>63</v>
      </c>
      <c r="I61" s="267">
        <v>2877448</v>
      </c>
      <c r="J61" s="258"/>
      <c r="K61" s="1115"/>
      <c r="M61" s="268"/>
      <c r="N61" s="268"/>
    </row>
    <row r="62" s="245" customFormat="1">
      <c r="B62" s="258">
        <f t="shared" si="1"/>
        <v>4</v>
      </c>
      <c r="C62" s="259"/>
      <c r="D62" s="258" t="s">
        <v>607</v>
      </c>
      <c r="E62" s="260">
        <v>43859</v>
      </c>
      <c r="F62" s="261"/>
      <c r="G62" s="259" t="s">
        <v>435</v>
      </c>
      <c r="H62" s="259" t="s">
        <v>63</v>
      </c>
      <c r="I62" s="267">
        <v>2877448</v>
      </c>
      <c r="J62" s="258"/>
      <c r="K62" s="1115"/>
      <c r="M62" s="268"/>
      <c r="N62" s="268"/>
    </row>
    <row r="63" s="245" customFormat="1">
      <c r="B63" s="258">
        <f t="shared" si="1"/>
        <v>5</v>
      </c>
      <c r="C63" s="259"/>
      <c r="D63" s="258" t="s">
        <v>332</v>
      </c>
      <c r="E63" s="260">
        <v>43851</v>
      </c>
      <c r="F63" s="261"/>
      <c r="G63" s="259" t="s">
        <v>435</v>
      </c>
      <c r="H63" s="259" t="s">
        <v>63</v>
      </c>
      <c r="I63" s="267">
        <v>2877448</v>
      </c>
      <c r="J63" s="258"/>
      <c r="K63" s="1115"/>
      <c r="M63" s="268"/>
      <c r="N63" s="268"/>
    </row>
    <row r="64" s="245" customFormat="1">
      <c r="B64" s="258">
        <f t="shared" si="1"/>
        <v>6</v>
      </c>
      <c r="C64" s="259"/>
      <c r="D64" s="258" t="s">
        <v>608</v>
      </c>
      <c r="E64" s="260">
        <v>43863</v>
      </c>
      <c r="F64" s="261"/>
      <c r="G64" s="259" t="s">
        <v>435</v>
      </c>
      <c r="H64" s="259" t="s">
        <v>63</v>
      </c>
      <c r="I64" s="267">
        <v>2877448</v>
      </c>
      <c r="J64" s="258"/>
      <c r="K64" s="1115"/>
      <c r="M64" s="268"/>
      <c r="N64" s="268"/>
    </row>
    <row r="65" s="245" customFormat="1">
      <c r="B65" s="258">
        <f t="shared" si="1"/>
        <v>7</v>
      </c>
      <c r="C65" s="259"/>
      <c r="D65" s="258" t="s">
        <v>609</v>
      </c>
      <c r="E65" s="260">
        <v>43862</v>
      </c>
      <c r="F65" s="261"/>
      <c r="G65" s="259" t="s">
        <v>435</v>
      </c>
      <c r="H65" s="259" t="s">
        <v>63</v>
      </c>
      <c r="I65" s="267">
        <v>2877448</v>
      </c>
      <c r="J65" s="258"/>
      <c r="K65" s="1115"/>
      <c r="M65" s="268"/>
      <c r="N65" s="268"/>
    </row>
    <row r="66" s="245" customFormat="1">
      <c r="B66" s="258">
        <f t="shared" si="1"/>
        <v>8</v>
      </c>
      <c r="C66" s="259"/>
      <c r="D66" s="258" t="s">
        <v>610</v>
      </c>
      <c r="E66" s="260">
        <v>43862</v>
      </c>
      <c r="F66" s="261"/>
      <c r="G66" s="259" t="s">
        <v>435</v>
      </c>
      <c r="H66" s="259" t="s">
        <v>63</v>
      </c>
      <c r="I66" s="267">
        <v>2877448</v>
      </c>
      <c r="J66" s="258"/>
      <c r="K66" s="1115"/>
      <c r="M66" s="268"/>
      <c r="N66" s="268"/>
    </row>
    <row r="67" s="245" customFormat="1">
      <c r="B67" s="258">
        <f t="shared" si="1"/>
        <v>9</v>
      </c>
      <c r="C67" s="259"/>
      <c r="D67" s="258" t="s">
        <v>336</v>
      </c>
      <c r="E67" s="260">
        <v>43870</v>
      </c>
      <c r="F67" s="261"/>
      <c r="G67" s="259" t="s">
        <v>435</v>
      </c>
      <c r="H67" s="259" t="s">
        <v>63</v>
      </c>
      <c r="I67" s="267">
        <v>2877448</v>
      </c>
      <c r="J67" s="258"/>
      <c r="K67" s="1115"/>
      <c r="M67" s="268"/>
      <c r="N67" s="268"/>
    </row>
    <row r="68" s="245" customFormat="1">
      <c r="B68" s="258">
        <f t="shared" si="1"/>
        <v>10</v>
      </c>
      <c r="C68" s="259"/>
      <c r="D68" s="258" t="s">
        <v>611</v>
      </c>
      <c r="E68" s="260">
        <v>43875</v>
      </c>
      <c r="F68" s="261"/>
      <c r="G68" s="259" t="s">
        <v>435</v>
      </c>
      <c r="H68" s="259" t="s">
        <v>63</v>
      </c>
      <c r="I68" s="267">
        <v>2877448</v>
      </c>
      <c r="J68" s="258"/>
      <c r="K68" s="1115"/>
      <c r="M68" s="268"/>
      <c r="N68" s="268"/>
    </row>
    <row r="69" s="245" customFormat="1">
      <c r="B69" s="258">
        <f t="shared" si="1"/>
        <v>11</v>
      </c>
      <c r="C69" s="259"/>
      <c r="D69" s="258" t="s">
        <v>612</v>
      </c>
      <c r="E69" s="260">
        <v>43879</v>
      </c>
      <c r="F69" s="261"/>
      <c r="G69" s="259" t="s">
        <v>435</v>
      </c>
      <c r="H69" s="259" t="s">
        <v>63</v>
      </c>
      <c r="I69" s="267">
        <v>2877448</v>
      </c>
      <c r="J69" s="258"/>
      <c r="K69" s="1115"/>
      <c r="M69" s="268"/>
      <c r="N69" s="268"/>
    </row>
    <row r="70" s="245" customFormat="1">
      <c r="B70" s="258">
        <f t="shared" si="1"/>
        <v>12</v>
      </c>
      <c r="C70" s="259"/>
      <c r="D70" s="258" t="s">
        <v>566</v>
      </c>
      <c r="E70" s="260">
        <v>43862</v>
      </c>
      <c r="F70" s="261"/>
      <c r="G70" s="260" t="s">
        <v>62</v>
      </c>
      <c r="H70" s="261" t="s">
        <v>63</v>
      </c>
      <c r="I70" s="267">
        <v>2515000</v>
      </c>
      <c r="J70" s="258"/>
      <c r="K70" s="1115"/>
      <c r="M70" s="268"/>
      <c r="N70" s="268"/>
    </row>
    <row r="71" s="245" customFormat="1">
      <c r="B71" s="258">
        <f t="shared" si="1"/>
        <v>13</v>
      </c>
      <c r="C71" s="259"/>
      <c r="D71" s="258" t="s">
        <v>613</v>
      </c>
      <c r="E71" s="260"/>
      <c r="F71" s="261">
        <v>43845</v>
      </c>
      <c r="G71" s="259" t="s">
        <v>573</v>
      </c>
      <c r="H71" s="259" t="s">
        <v>614</v>
      </c>
      <c r="I71" s="267">
        <v>4276349</v>
      </c>
      <c r="J71" s="258"/>
      <c r="K71" s="1115"/>
      <c r="M71" s="268"/>
      <c r="N71" s="268"/>
    </row>
    <row r="72" s="245" customFormat="1">
      <c r="B72" s="258">
        <f t="shared" si="1"/>
        <v>14</v>
      </c>
      <c r="C72" s="259"/>
      <c r="D72" s="258" t="s">
        <v>615</v>
      </c>
      <c r="E72" s="260"/>
      <c r="F72" s="261">
        <v>43845</v>
      </c>
      <c r="G72" s="259" t="s">
        <v>573</v>
      </c>
      <c r="H72" s="259" t="s">
        <v>614</v>
      </c>
      <c r="I72" s="267">
        <v>4276349</v>
      </c>
      <c r="J72" s="258"/>
      <c r="K72" s="1115"/>
      <c r="M72" s="268"/>
      <c r="N72" s="268"/>
    </row>
    <row r="73" s="245" customFormat="1">
      <c r="B73" s="258">
        <f t="shared" si="1"/>
        <v>15</v>
      </c>
      <c r="C73" s="259"/>
      <c r="D73" s="258" t="s">
        <v>616</v>
      </c>
      <c r="E73" s="260"/>
      <c r="F73" s="261">
        <v>43845</v>
      </c>
      <c r="G73" s="259" t="s">
        <v>573</v>
      </c>
      <c r="H73" s="259" t="s">
        <v>614</v>
      </c>
      <c r="I73" s="267">
        <v>4276349</v>
      </c>
      <c r="J73" s="258"/>
      <c r="K73" s="1115"/>
      <c r="M73" s="268"/>
      <c r="N73" s="268"/>
    </row>
    <row r="74" s="245" customFormat="1">
      <c r="B74" s="258">
        <f t="shared" si="1"/>
        <v>16</v>
      </c>
      <c r="C74" s="259"/>
      <c r="D74" s="258" t="s">
        <v>617</v>
      </c>
      <c r="E74" s="260"/>
      <c r="F74" s="261">
        <v>43845</v>
      </c>
      <c r="G74" s="259" t="s">
        <v>573</v>
      </c>
      <c r="H74" s="259" t="s">
        <v>614</v>
      </c>
      <c r="I74" s="267">
        <v>4276349</v>
      </c>
      <c r="J74" s="258"/>
      <c r="K74" s="1115"/>
      <c r="M74" s="268"/>
      <c r="N74" s="268"/>
    </row>
    <row r="75" s="245" customFormat="1">
      <c r="B75" s="258">
        <f t="shared" si="1"/>
        <v>17</v>
      </c>
      <c r="C75" s="259"/>
      <c r="D75" s="258" t="s">
        <v>618</v>
      </c>
      <c r="E75" s="260"/>
      <c r="F75" s="261">
        <v>43845</v>
      </c>
      <c r="G75" s="259" t="s">
        <v>573</v>
      </c>
      <c r="H75" s="259" t="s">
        <v>614</v>
      </c>
      <c r="I75" s="267">
        <v>4276349</v>
      </c>
      <c r="J75" s="258"/>
      <c r="K75" s="1115"/>
      <c r="M75" s="268"/>
      <c r="N75" s="268"/>
    </row>
    <row r="76" s="245" customFormat="1">
      <c r="B76" s="258">
        <f t="shared" si="1"/>
        <v>18</v>
      </c>
      <c r="C76" s="259"/>
      <c r="D76" s="258" t="s">
        <v>619</v>
      </c>
      <c r="E76" s="260"/>
      <c r="F76" s="261">
        <v>43845</v>
      </c>
      <c r="G76" s="259" t="s">
        <v>573</v>
      </c>
      <c r="H76" s="259" t="s">
        <v>614</v>
      </c>
      <c r="I76" s="267">
        <v>4276349</v>
      </c>
      <c r="J76" s="258"/>
      <c r="K76" s="1115"/>
      <c r="M76" s="268"/>
      <c r="N76" s="268"/>
    </row>
    <row r="77" s="245" customFormat="1">
      <c r="B77" s="258">
        <f t="shared" si="1"/>
        <v>19</v>
      </c>
      <c r="C77" s="259"/>
      <c r="D77" s="258" t="s">
        <v>620</v>
      </c>
      <c r="E77" s="260"/>
      <c r="F77" s="261">
        <v>43845</v>
      </c>
      <c r="G77" s="259" t="s">
        <v>573</v>
      </c>
      <c r="H77" s="259" t="s">
        <v>614</v>
      </c>
      <c r="I77" s="267">
        <v>4276349</v>
      </c>
      <c r="J77" s="258"/>
      <c r="K77" s="1115"/>
      <c r="M77" s="268"/>
      <c r="N77" s="268"/>
    </row>
    <row r="78" s="245" customFormat="1">
      <c r="B78" s="258">
        <f t="shared" si="1"/>
        <v>20</v>
      </c>
      <c r="C78" s="259"/>
      <c r="D78" s="258" t="s">
        <v>621</v>
      </c>
      <c r="E78" s="260"/>
      <c r="F78" s="261">
        <v>43845</v>
      </c>
      <c r="G78" s="259" t="s">
        <v>573</v>
      </c>
      <c r="H78" s="259" t="s">
        <v>614</v>
      </c>
      <c r="I78" s="267">
        <v>4276349</v>
      </c>
      <c r="J78" s="258"/>
      <c r="K78" s="1115"/>
      <c r="M78" s="268"/>
      <c r="N78" s="268"/>
    </row>
    <row r="79" s="245" customFormat="1">
      <c r="B79" s="258">
        <f t="shared" si="1"/>
        <v>21</v>
      </c>
      <c r="C79" s="259"/>
      <c r="D79" s="258" t="s">
        <v>622</v>
      </c>
      <c r="E79" s="260"/>
      <c r="F79" s="261">
        <v>43845</v>
      </c>
      <c r="G79" s="259" t="s">
        <v>573</v>
      </c>
      <c r="H79" s="259" t="s">
        <v>614</v>
      </c>
      <c r="I79" s="267">
        <v>4276349</v>
      </c>
      <c r="J79" s="258"/>
      <c r="K79" s="1115"/>
      <c r="M79" s="268"/>
      <c r="N79" s="268"/>
    </row>
    <row r="80" s="245" customFormat="1">
      <c r="B80" s="258">
        <f t="shared" si="1"/>
        <v>22</v>
      </c>
      <c r="C80" s="259"/>
      <c r="D80" s="258" t="s">
        <v>623</v>
      </c>
      <c r="E80" s="260"/>
      <c r="F80" s="261">
        <v>43845</v>
      </c>
      <c r="G80" s="259" t="s">
        <v>573</v>
      </c>
      <c r="H80" s="259" t="s">
        <v>614</v>
      </c>
      <c r="I80" s="267">
        <v>4276349</v>
      </c>
      <c r="J80" s="258"/>
      <c r="K80" s="1115"/>
      <c r="M80" s="268"/>
      <c r="N80" s="268"/>
    </row>
    <row r="81" s="245" customFormat="1">
      <c r="B81" s="258">
        <f t="shared" si="1"/>
        <v>23</v>
      </c>
      <c r="C81" s="259"/>
      <c r="D81" s="258" t="s">
        <v>624</v>
      </c>
      <c r="E81" s="260"/>
      <c r="F81" s="261">
        <v>43845</v>
      </c>
      <c r="G81" s="259" t="s">
        <v>573</v>
      </c>
      <c r="H81" s="259" t="s">
        <v>614</v>
      </c>
      <c r="I81" s="267">
        <v>4276349</v>
      </c>
      <c r="J81" s="258"/>
      <c r="K81" s="1115"/>
      <c r="M81" s="268"/>
      <c r="N81" s="268"/>
    </row>
    <row r="82" s="245" customFormat="1">
      <c r="B82" s="258">
        <f t="shared" si="1"/>
        <v>24</v>
      </c>
      <c r="C82" s="259"/>
      <c r="D82" s="258" t="s">
        <v>625</v>
      </c>
      <c r="E82" s="260"/>
      <c r="F82" s="261">
        <v>43845</v>
      </c>
      <c r="G82" s="259" t="s">
        <v>573</v>
      </c>
      <c r="H82" s="259" t="s">
        <v>614</v>
      </c>
      <c r="I82" s="267">
        <v>4276349</v>
      </c>
      <c r="J82" s="258"/>
      <c r="K82" s="1115"/>
      <c r="M82" s="268"/>
      <c r="N82" s="268"/>
    </row>
    <row r="83" s="245" customFormat="1">
      <c r="B83" s="258">
        <f t="shared" si="1"/>
        <v>25</v>
      </c>
      <c r="C83" s="259"/>
      <c r="D83" s="258" t="s">
        <v>326</v>
      </c>
      <c r="E83" s="260"/>
      <c r="F83" s="261">
        <v>43845</v>
      </c>
      <c r="G83" s="259" t="s">
        <v>573</v>
      </c>
      <c r="H83" s="259" t="s">
        <v>614</v>
      </c>
      <c r="I83" s="267">
        <v>4276349</v>
      </c>
      <c r="J83" s="258"/>
      <c r="K83" s="1115"/>
      <c r="M83" s="268"/>
      <c r="N83" s="268"/>
    </row>
    <row r="84" s="245" customFormat="1">
      <c r="B84" s="258">
        <f t="shared" si="1"/>
        <v>26</v>
      </c>
      <c r="C84" s="259"/>
      <c r="D84" s="258" t="s">
        <v>626</v>
      </c>
      <c r="E84" s="260"/>
      <c r="F84" s="261">
        <v>43845</v>
      </c>
      <c r="G84" s="259" t="s">
        <v>573</v>
      </c>
      <c r="H84" s="259" t="s">
        <v>614</v>
      </c>
      <c r="I84" s="267">
        <v>4276349</v>
      </c>
      <c r="J84" s="258"/>
      <c r="K84" s="1115"/>
      <c r="M84" s="268"/>
      <c r="N84" s="268"/>
    </row>
    <row r="85" s="245" customFormat="1">
      <c r="B85" s="258">
        <f t="shared" si="1"/>
        <v>27</v>
      </c>
      <c r="C85" s="259"/>
      <c r="D85" s="258" t="s">
        <v>627</v>
      </c>
      <c r="E85" s="260"/>
      <c r="F85" s="261">
        <v>43845</v>
      </c>
      <c r="G85" s="259" t="s">
        <v>573</v>
      </c>
      <c r="H85" s="259" t="s">
        <v>614</v>
      </c>
      <c r="I85" s="267">
        <v>4276349</v>
      </c>
      <c r="J85" s="258"/>
      <c r="K85" s="1115"/>
      <c r="M85" s="268"/>
      <c r="N85" s="268"/>
    </row>
    <row r="86" s="245" customFormat="1">
      <c r="B86" s="258">
        <f t="shared" si="1"/>
        <v>28</v>
      </c>
      <c r="C86" s="259"/>
      <c r="D86" s="258" t="s">
        <v>628</v>
      </c>
      <c r="E86" s="260"/>
      <c r="F86" s="261">
        <v>43845</v>
      </c>
      <c r="G86" s="259" t="s">
        <v>573</v>
      </c>
      <c r="H86" s="259" t="s">
        <v>614</v>
      </c>
      <c r="I86" s="267">
        <v>4276349</v>
      </c>
      <c r="J86" s="258"/>
      <c r="K86" s="1115"/>
      <c r="M86" s="268"/>
      <c r="N86" s="268"/>
    </row>
    <row r="87" s="245" customFormat="1">
      <c r="B87" s="258">
        <f t="shared" si="1"/>
        <v>29</v>
      </c>
      <c r="C87" s="259"/>
      <c r="D87" s="258" t="s">
        <v>629</v>
      </c>
      <c r="E87" s="260"/>
      <c r="F87" s="261">
        <v>43845</v>
      </c>
      <c r="G87" s="259" t="s">
        <v>573</v>
      </c>
      <c r="H87" s="259" t="s">
        <v>614</v>
      </c>
      <c r="I87" s="267">
        <v>4276349</v>
      </c>
      <c r="J87" s="258"/>
      <c r="K87" s="1115"/>
      <c r="M87" s="268"/>
      <c r="N87" s="268"/>
    </row>
    <row r="88" s="245" customFormat="1">
      <c r="B88" s="258">
        <f t="shared" si="1"/>
        <v>30</v>
      </c>
      <c r="C88" s="259"/>
      <c r="D88" s="258" t="s">
        <v>630</v>
      </c>
      <c r="E88" s="260"/>
      <c r="F88" s="261">
        <v>43845</v>
      </c>
      <c r="G88" s="259" t="s">
        <v>573</v>
      </c>
      <c r="H88" s="259" t="s">
        <v>614</v>
      </c>
      <c r="I88" s="267">
        <v>4276349</v>
      </c>
      <c r="J88" s="258"/>
      <c r="K88" s="1115"/>
      <c r="M88" s="268"/>
      <c r="N88" s="268"/>
    </row>
    <row r="89" s="245" customFormat="1">
      <c r="B89" s="258">
        <f t="shared" si="1"/>
        <v>31</v>
      </c>
      <c r="C89" s="259"/>
      <c r="D89" s="258" t="s">
        <v>631</v>
      </c>
      <c r="E89" s="260"/>
      <c r="F89" s="261">
        <v>43845</v>
      </c>
      <c r="G89" s="259" t="s">
        <v>573</v>
      </c>
      <c r="H89" s="259" t="s">
        <v>614</v>
      </c>
      <c r="I89" s="267">
        <v>4276349</v>
      </c>
      <c r="J89" s="258"/>
      <c r="K89" s="1115"/>
      <c r="M89" s="268"/>
      <c r="N89" s="268"/>
    </row>
    <row r="90" s="245" customFormat="1">
      <c r="B90" s="258">
        <f t="shared" si="1"/>
        <v>32</v>
      </c>
      <c r="C90" s="259"/>
      <c r="D90" s="258" t="s">
        <v>632</v>
      </c>
      <c r="E90" s="260"/>
      <c r="F90" s="261">
        <v>43845</v>
      </c>
      <c r="G90" s="259" t="s">
        <v>573</v>
      </c>
      <c r="H90" s="259" t="s">
        <v>614</v>
      </c>
      <c r="I90" s="267">
        <v>4276349</v>
      </c>
      <c r="J90" s="258"/>
      <c r="K90" s="1115"/>
      <c r="M90" s="268"/>
      <c r="N90" s="268"/>
    </row>
    <row r="91" s="245" customFormat="1">
      <c r="B91" s="258">
        <f t="shared" si="1"/>
        <v>33</v>
      </c>
      <c r="C91" s="259"/>
      <c r="D91" s="258" t="s">
        <v>633</v>
      </c>
      <c r="E91" s="260"/>
      <c r="F91" s="261">
        <v>43845</v>
      </c>
      <c r="G91" s="259" t="s">
        <v>573</v>
      </c>
      <c r="H91" s="259" t="s">
        <v>614</v>
      </c>
      <c r="I91" s="267">
        <v>4276349</v>
      </c>
      <c r="J91" s="258"/>
      <c r="K91" s="1115"/>
      <c r="M91" s="268"/>
      <c r="N91" s="268"/>
    </row>
    <row r="92" s="245" customFormat="1">
      <c r="B92" s="258">
        <f t="shared" si="1"/>
        <v>34</v>
      </c>
      <c r="C92" s="259"/>
      <c r="D92" s="258" t="s">
        <v>634</v>
      </c>
      <c r="E92" s="260"/>
      <c r="F92" s="261">
        <v>43845</v>
      </c>
      <c r="G92" s="259" t="s">
        <v>573</v>
      </c>
      <c r="H92" s="259" t="s">
        <v>614</v>
      </c>
      <c r="I92" s="267">
        <v>4276349</v>
      </c>
      <c r="J92" s="258"/>
      <c r="K92" s="1115"/>
      <c r="M92" s="268"/>
      <c r="N92" s="268"/>
    </row>
    <row r="93" s="245" customFormat="1">
      <c r="B93" s="258">
        <f t="shared" si="1"/>
        <v>35</v>
      </c>
      <c r="C93" s="259"/>
      <c r="D93" s="258" t="s">
        <v>635</v>
      </c>
      <c r="E93" s="260"/>
      <c r="F93" s="261">
        <v>43845</v>
      </c>
      <c r="G93" s="259" t="s">
        <v>573</v>
      </c>
      <c r="H93" s="259" t="s">
        <v>614</v>
      </c>
      <c r="I93" s="267">
        <v>4276349</v>
      </c>
      <c r="J93" s="258"/>
      <c r="K93" s="1115"/>
      <c r="M93" s="268"/>
      <c r="N93" s="268"/>
    </row>
    <row r="94" s="245" customFormat="1">
      <c r="B94" s="258">
        <f t="shared" si="1"/>
        <v>36</v>
      </c>
      <c r="C94" s="259"/>
      <c r="D94" s="258" t="s">
        <v>636</v>
      </c>
      <c r="E94" s="260"/>
      <c r="F94" s="261">
        <v>43845</v>
      </c>
      <c r="G94" s="259" t="s">
        <v>573</v>
      </c>
      <c r="H94" s="259" t="s">
        <v>614</v>
      </c>
      <c r="I94" s="267">
        <v>4276349</v>
      </c>
      <c r="J94" s="258"/>
      <c r="K94" s="1115"/>
      <c r="M94" s="268"/>
      <c r="N94" s="268"/>
    </row>
    <row r="95" s="245" customFormat="1">
      <c r="B95" s="258">
        <f t="shared" si="1"/>
        <v>37</v>
      </c>
      <c r="C95" s="259"/>
      <c r="D95" s="258" t="s">
        <v>637</v>
      </c>
      <c r="E95" s="260"/>
      <c r="F95" s="261">
        <v>43845</v>
      </c>
      <c r="G95" s="259" t="s">
        <v>573</v>
      </c>
      <c r="H95" s="259" t="s">
        <v>614</v>
      </c>
      <c r="I95" s="267">
        <v>4276349</v>
      </c>
      <c r="J95" s="258"/>
      <c r="K95" s="1115"/>
      <c r="M95" s="268"/>
      <c r="N95" s="268"/>
    </row>
    <row r="96" s="245" customFormat="1">
      <c r="B96" s="258">
        <f t="shared" si="1"/>
        <v>38</v>
      </c>
      <c r="C96" s="259"/>
      <c r="D96" s="258" t="s">
        <v>638</v>
      </c>
      <c r="E96" s="260"/>
      <c r="F96" s="261">
        <v>43845</v>
      </c>
      <c r="G96" s="259" t="s">
        <v>573</v>
      </c>
      <c r="H96" s="259" t="s">
        <v>614</v>
      </c>
      <c r="I96" s="267">
        <v>4276349</v>
      </c>
      <c r="J96" s="258"/>
      <c r="K96" s="1115"/>
      <c r="M96" s="268"/>
      <c r="N96" s="268"/>
    </row>
    <row r="97" s="245" customFormat="1">
      <c r="B97" s="258">
        <f t="shared" si="1"/>
        <v>39</v>
      </c>
      <c r="C97" s="259"/>
      <c r="D97" s="258" t="s">
        <v>639</v>
      </c>
      <c r="E97" s="260"/>
      <c r="F97" s="261">
        <v>43845</v>
      </c>
      <c r="G97" s="259" t="s">
        <v>573</v>
      </c>
      <c r="H97" s="259" t="s">
        <v>614</v>
      </c>
      <c r="I97" s="267">
        <v>4276349</v>
      </c>
      <c r="J97" s="258"/>
      <c r="K97" s="1115"/>
      <c r="M97" s="268"/>
      <c r="N97" s="268"/>
    </row>
    <row r="98" s="245" customFormat="1">
      <c r="B98" s="258">
        <f t="shared" si="1"/>
        <v>40</v>
      </c>
      <c r="C98" s="259"/>
      <c r="D98" s="258" t="s">
        <v>640</v>
      </c>
      <c r="E98" s="260"/>
      <c r="F98" s="261">
        <v>43845</v>
      </c>
      <c r="G98" s="259" t="s">
        <v>573</v>
      </c>
      <c r="H98" s="259" t="s">
        <v>614</v>
      </c>
      <c r="I98" s="267">
        <v>4276349</v>
      </c>
      <c r="J98" s="258"/>
      <c r="K98" s="1115"/>
      <c r="M98" s="268"/>
      <c r="N98" s="268"/>
    </row>
    <row r="99" s="245" customFormat="1">
      <c r="B99" s="258">
        <f t="shared" si="1"/>
        <v>41</v>
      </c>
      <c r="C99" s="259"/>
      <c r="D99" s="258" t="s">
        <v>641</v>
      </c>
      <c r="E99" s="260"/>
      <c r="F99" s="261">
        <v>43845</v>
      </c>
      <c r="G99" s="259" t="s">
        <v>573</v>
      </c>
      <c r="H99" s="259" t="s">
        <v>614</v>
      </c>
      <c r="I99" s="267">
        <v>4276349</v>
      </c>
      <c r="J99" s="258"/>
      <c r="K99" s="1115"/>
      <c r="M99" s="268"/>
      <c r="N99" s="268"/>
    </row>
    <row r="100" s="245" customFormat="1">
      <c r="B100" s="258">
        <f t="shared" si="1"/>
        <v>42</v>
      </c>
      <c r="C100" s="259"/>
      <c r="D100" s="258" t="s">
        <v>642</v>
      </c>
      <c r="E100" s="260"/>
      <c r="F100" s="261">
        <v>43845</v>
      </c>
      <c r="G100" s="259" t="s">
        <v>573</v>
      </c>
      <c r="H100" s="259" t="s">
        <v>614</v>
      </c>
      <c r="I100" s="267">
        <v>4276349</v>
      </c>
      <c r="J100" s="258"/>
      <c r="K100" s="1115"/>
      <c r="M100" s="268"/>
      <c r="N100" s="268"/>
    </row>
    <row r="101" s="245" customFormat="1">
      <c r="B101" s="258">
        <f t="shared" si="1"/>
        <v>43</v>
      </c>
      <c r="C101" s="259"/>
      <c r="D101" s="258" t="s">
        <v>643</v>
      </c>
      <c r="E101" s="260"/>
      <c r="F101" s="261">
        <v>43845</v>
      </c>
      <c r="G101" s="259" t="s">
        <v>573</v>
      </c>
      <c r="H101" s="259" t="s">
        <v>614</v>
      </c>
      <c r="I101" s="267">
        <v>4276349</v>
      </c>
      <c r="J101" s="258"/>
      <c r="K101" s="1115"/>
      <c r="M101" s="268"/>
      <c r="N101" s="268"/>
    </row>
    <row r="102" s="245" customFormat="1">
      <c r="B102" s="258">
        <f t="shared" si="1"/>
        <v>44</v>
      </c>
      <c r="C102" s="259"/>
      <c r="D102" s="258" t="s">
        <v>644</v>
      </c>
      <c r="E102" s="260"/>
      <c r="F102" s="261">
        <v>43845</v>
      </c>
      <c r="G102" s="259" t="s">
        <v>573</v>
      </c>
      <c r="H102" s="259" t="s">
        <v>614</v>
      </c>
      <c r="I102" s="267">
        <v>4276349</v>
      </c>
      <c r="J102" s="258"/>
      <c r="K102" s="1115"/>
      <c r="M102" s="268"/>
      <c r="N102" s="268"/>
    </row>
    <row r="103" s="245" customFormat="1">
      <c r="B103" s="258">
        <f t="shared" si="1"/>
        <v>45</v>
      </c>
      <c r="C103" s="259"/>
      <c r="D103" s="258" t="s">
        <v>645</v>
      </c>
      <c r="E103" s="260"/>
      <c r="F103" s="261">
        <v>43845</v>
      </c>
      <c r="G103" s="259" t="s">
        <v>573</v>
      </c>
      <c r="H103" s="259" t="s">
        <v>614</v>
      </c>
      <c r="I103" s="267">
        <v>4276349</v>
      </c>
      <c r="J103" s="258"/>
      <c r="K103" s="1115"/>
      <c r="M103" s="268"/>
      <c r="N103" s="268"/>
    </row>
    <row r="104" s="245" customFormat="1">
      <c r="B104" s="258">
        <f t="shared" si="1"/>
        <v>46</v>
      </c>
      <c r="C104" s="259"/>
      <c r="D104" s="258" t="s">
        <v>646</v>
      </c>
      <c r="E104" s="260"/>
      <c r="F104" s="261">
        <v>43845</v>
      </c>
      <c r="G104" s="259" t="s">
        <v>573</v>
      </c>
      <c r="H104" s="259" t="s">
        <v>614</v>
      </c>
      <c r="I104" s="267">
        <v>4276349</v>
      </c>
      <c r="J104" s="258"/>
      <c r="K104" s="1115"/>
      <c r="M104" s="268"/>
      <c r="N104" s="268"/>
    </row>
    <row r="105" s="245" customFormat="1">
      <c r="B105" s="258">
        <f t="shared" si="1"/>
        <v>47</v>
      </c>
      <c r="C105" s="259"/>
      <c r="D105" s="258" t="s">
        <v>647</v>
      </c>
      <c r="E105" s="260"/>
      <c r="F105" s="261">
        <v>43845</v>
      </c>
      <c r="G105" s="259" t="s">
        <v>573</v>
      </c>
      <c r="H105" s="259" t="s">
        <v>614</v>
      </c>
      <c r="I105" s="267">
        <v>4276349</v>
      </c>
      <c r="J105" s="258"/>
      <c r="K105" s="1115"/>
      <c r="M105" s="268"/>
      <c r="N105" s="268"/>
    </row>
    <row r="106" s="245" customFormat="1">
      <c r="B106" s="258">
        <f t="shared" si="1"/>
        <v>48</v>
      </c>
      <c r="C106" s="259"/>
      <c r="D106" s="258" t="s">
        <v>648</v>
      </c>
      <c r="E106" s="260"/>
      <c r="F106" s="261">
        <v>43845</v>
      </c>
      <c r="G106" s="259" t="s">
        <v>573</v>
      </c>
      <c r="H106" s="259" t="s">
        <v>614</v>
      </c>
      <c r="I106" s="267">
        <v>4276349</v>
      </c>
      <c r="J106" s="258"/>
      <c r="K106" s="1115"/>
      <c r="M106" s="268"/>
      <c r="N106" s="268"/>
    </row>
    <row r="107" s="245" customFormat="1">
      <c r="B107" s="258">
        <f t="shared" si="1"/>
        <v>49</v>
      </c>
      <c r="C107" s="259"/>
      <c r="D107" s="258" t="s">
        <v>649</v>
      </c>
      <c r="E107" s="260"/>
      <c r="F107" s="261">
        <v>43845</v>
      </c>
      <c r="G107" s="259" t="s">
        <v>573</v>
      </c>
      <c r="H107" s="259" t="s">
        <v>614</v>
      </c>
      <c r="I107" s="267">
        <v>4276349</v>
      </c>
      <c r="J107" s="258"/>
      <c r="K107" s="1115"/>
      <c r="M107" s="268"/>
      <c r="N107" s="268"/>
    </row>
    <row r="108" s="245" customFormat="1">
      <c r="B108" s="258">
        <f t="shared" si="1"/>
        <v>50</v>
      </c>
      <c r="C108" s="259"/>
      <c r="D108" s="258" t="s">
        <v>650</v>
      </c>
      <c r="E108" s="260"/>
      <c r="F108" s="261">
        <v>43845</v>
      </c>
      <c r="G108" s="259" t="s">
        <v>573</v>
      </c>
      <c r="H108" s="259" t="s">
        <v>614</v>
      </c>
      <c r="I108" s="267">
        <v>4276349</v>
      </c>
      <c r="J108" s="258"/>
      <c r="K108" s="1115"/>
      <c r="M108" s="268"/>
      <c r="N108" s="268"/>
    </row>
    <row r="109" s="245" customFormat="1">
      <c r="B109" s="258">
        <f t="shared" si="1"/>
        <v>51</v>
      </c>
      <c r="C109" s="259"/>
      <c r="D109" s="258" t="s">
        <v>651</v>
      </c>
      <c r="E109" s="260"/>
      <c r="F109" s="261">
        <v>43845</v>
      </c>
      <c r="G109" s="259" t="s">
        <v>573</v>
      </c>
      <c r="H109" s="259" t="s">
        <v>614</v>
      </c>
      <c r="I109" s="267">
        <v>4276349</v>
      </c>
      <c r="J109" s="258"/>
      <c r="K109" s="1115"/>
      <c r="M109" s="268"/>
      <c r="N109" s="268"/>
    </row>
    <row r="110" s="245" customFormat="1">
      <c r="B110" s="258">
        <f t="shared" si="1"/>
        <v>52</v>
      </c>
      <c r="C110" s="259"/>
      <c r="D110" s="258" t="s">
        <v>652</v>
      </c>
      <c r="E110" s="260"/>
      <c r="F110" s="261">
        <v>43845</v>
      </c>
      <c r="G110" s="259" t="s">
        <v>573</v>
      </c>
      <c r="H110" s="259" t="s">
        <v>614</v>
      </c>
      <c r="I110" s="267">
        <v>4276349</v>
      </c>
      <c r="J110" s="258"/>
      <c r="K110" s="1115"/>
      <c r="M110" s="268"/>
      <c r="N110" s="268"/>
    </row>
    <row r="111" s="245" customFormat="1">
      <c r="B111" s="258">
        <f t="shared" si="1"/>
        <v>53</v>
      </c>
      <c r="C111" s="259"/>
      <c r="D111" s="258" t="s">
        <v>653</v>
      </c>
      <c r="E111" s="260"/>
      <c r="F111" s="261">
        <v>43845</v>
      </c>
      <c r="G111" s="259" t="s">
        <v>573</v>
      </c>
      <c r="H111" s="259" t="s">
        <v>614</v>
      </c>
      <c r="I111" s="267">
        <v>4276349</v>
      </c>
      <c r="J111" s="258"/>
      <c r="K111" s="1115"/>
      <c r="M111" s="268"/>
      <c r="N111" s="268"/>
    </row>
    <row r="112" s="245" customFormat="1">
      <c r="B112" s="258">
        <f t="shared" si="1"/>
        <v>54</v>
      </c>
      <c r="C112" s="259"/>
      <c r="D112" s="258" t="s">
        <v>654</v>
      </c>
      <c r="E112" s="260"/>
      <c r="F112" s="261">
        <v>43845</v>
      </c>
      <c r="G112" s="259" t="s">
        <v>573</v>
      </c>
      <c r="H112" s="259" t="s">
        <v>614</v>
      </c>
      <c r="I112" s="267">
        <v>4276349</v>
      </c>
      <c r="J112" s="258"/>
      <c r="K112" s="1115"/>
      <c r="M112" s="268"/>
      <c r="N112" s="268"/>
    </row>
    <row r="113" s="245" customFormat="1">
      <c r="B113" s="258">
        <f t="shared" si="1"/>
        <v>55</v>
      </c>
      <c r="C113" s="259"/>
      <c r="D113" s="258" t="s">
        <v>655</v>
      </c>
      <c r="E113" s="260"/>
      <c r="F113" s="261">
        <v>43845</v>
      </c>
      <c r="G113" s="259" t="s">
        <v>573</v>
      </c>
      <c r="H113" s="259" t="s">
        <v>614</v>
      </c>
      <c r="I113" s="267">
        <v>4276349</v>
      </c>
      <c r="J113" s="258"/>
      <c r="K113" s="1115"/>
      <c r="M113" s="268"/>
      <c r="N113" s="268"/>
    </row>
    <row r="114" s="245" customFormat="1">
      <c r="B114" s="258">
        <f t="shared" si="1"/>
        <v>56</v>
      </c>
      <c r="C114" s="259"/>
      <c r="D114" s="258" t="s">
        <v>656</v>
      </c>
      <c r="E114" s="260"/>
      <c r="F114" s="261">
        <v>43845</v>
      </c>
      <c r="G114" s="259" t="s">
        <v>573</v>
      </c>
      <c r="H114" s="259" t="s">
        <v>614</v>
      </c>
      <c r="I114" s="267">
        <v>4276349</v>
      </c>
      <c r="J114" s="258"/>
      <c r="K114" s="1115"/>
      <c r="M114" s="268"/>
      <c r="N114" s="268"/>
    </row>
    <row r="115" s="245" customFormat="1">
      <c r="B115" s="258">
        <f t="shared" si="1"/>
        <v>57</v>
      </c>
      <c r="C115" s="259"/>
      <c r="D115" s="258" t="s">
        <v>657</v>
      </c>
      <c r="E115" s="260"/>
      <c r="F115" s="261">
        <v>43845</v>
      </c>
      <c r="G115" s="259" t="s">
        <v>573</v>
      </c>
      <c r="H115" s="259" t="s">
        <v>614</v>
      </c>
      <c r="I115" s="267">
        <v>4276349</v>
      </c>
      <c r="J115" s="258"/>
      <c r="K115" s="1115"/>
      <c r="M115" s="268"/>
      <c r="N115" s="268"/>
    </row>
    <row r="116" s="245" customFormat="1">
      <c r="B116" s="258">
        <f t="shared" si="1"/>
        <v>58</v>
      </c>
      <c r="C116" s="259"/>
      <c r="D116" s="258" t="s">
        <v>658</v>
      </c>
      <c r="E116" s="260"/>
      <c r="F116" s="261">
        <v>43845</v>
      </c>
      <c r="G116" s="259" t="s">
        <v>573</v>
      </c>
      <c r="H116" s="259" t="s">
        <v>614</v>
      </c>
      <c r="I116" s="267">
        <v>4276349</v>
      </c>
      <c r="J116" s="258"/>
      <c r="K116" s="1115"/>
      <c r="M116" s="268"/>
      <c r="N116" s="268"/>
    </row>
    <row r="117" s="245" customFormat="1">
      <c r="B117" s="258">
        <f t="shared" si="1"/>
        <v>59</v>
      </c>
      <c r="C117" s="259"/>
      <c r="D117" s="258" t="s">
        <v>659</v>
      </c>
      <c r="E117" s="260"/>
      <c r="F117" s="261">
        <v>43845</v>
      </c>
      <c r="G117" s="259" t="s">
        <v>573</v>
      </c>
      <c r="H117" s="259" t="s">
        <v>614</v>
      </c>
      <c r="I117" s="267">
        <v>4276349</v>
      </c>
      <c r="J117" s="258"/>
      <c r="K117" s="1115"/>
      <c r="M117" s="268"/>
      <c r="N117" s="268"/>
    </row>
    <row r="118" s="245" customFormat="1">
      <c r="B118" s="258">
        <f t="shared" si="1"/>
        <v>60</v>
      </c>
      <c r="C118" s="259"/>
      <c r="D118" s="258" t="s">
        <v>660</v>
      </c>
      <c r="E118" s="260"/>
      <c r="F118" s="261">
        <v>43845</v>
      </c>
      <c r="G118" s="259" t="s">
        <v>573</v>
      </c>
      <c r="H118" s="259" t="s">
        <v>614</v>
      </c>
      <c r="I118" s="267">
        <v>4276349</v>
      </c>
      <c r="J118" s="258"/>
      <c r="K118" s="1115"/>
      <c r="M118" s="268"/>
      <c r="N118" s="268"/>
    </row>
    <row r="119" s="245" customFormat="1">
      <c r="B119" s="258">
        <f t="shared" si="1"/>
        <v>61</v>
      </c>
      <c r="C119" s="259"/>
      <c r="D119" s="258" t="s">
        <v>661</v>
      </c>
      <c r="E119" s="260"/>
      <c r="F119" s="261">
        <v>43845</v>
      </c>
      <c r="G119" s="259" t="s">
        <v>573</v>
      </c>
      <c r="H119" s="259" t="s">
        <v>614</v>
      </c>
      <c r="I119" s="267">
        <v>4276349</v>
      </c>
      <c r="J119" s="258"/>
      <c r="K119" s="1115"/>
      <c r="M119" s="268"/>
      <c r="N119" s="268"/>
    </row>
    <row r="120" s="245" customFormat="1">
      <c r="B120" s="258">
        <f t="shared" si="1"/>
        <v>62</v>
      </c>
      <c r="C120" s="259"/>
      <c r="D120" s="258" t="s">
        <v>662</v>
      </c>
      <c r="E120" s="260"/>
      <c r="F120" s="261">
        <v>43845</v>
      </c>
      <c r="G120" s="259" t="s">
        <v>573</v>
      </c>
      <c r="H120" s="259" t="s">
        <v>614</v>
      </c>
      <c r="I120" s="267">
        <v>4276349</v>
      </c>
      <c r="J120" s="258"/>
      <c r="K120" s="1115"/>
      <c r="M120" s="268"/>
      <c r="N120" s="268"/>
    </row>
    <row r="121" s="245" customFormat="1">
      <c r="B121" s="258">
        <f t="shared" si="1"/>
        <v>63</v>
      </c>
      <c r="C121" s="259"/>
      <c r="D121" s="258" t="s">
        <v>572</v>
      </c>
      <c r="E121" s="260"/>
      <c r="F121" s="261">
        <v>43845</v>
      </c>
      <c r="G121" s="259" t="s">
        <v>573</v>
      </c>
      <c r="H121" s="259" t="s">
        <v>614</v>
      </c>
      <c r="I121" s="267">
        <v>4276349</v>
      </c>
      <c r="J121" s="258"/>
      <c r="K121" s="1115"/>
      <c r="M121" s="268"/>
      <c r="N121" s="268"/>
    </row>
    <row r="122" s="245" customFormat="1">
      <c r="B122" s="258">
        <f t="shared" si="1"/>
        <v>64</v>
      </c>
      <c r="C122" s="259"/>
      <c r="D122" s="258" t="s">
        <v>574</v>
      </c>
      <c r="E122" s="260"/>
      <c r="F122" s="261">
        <v>43845</v>
      </c>
      <c r="G122" s="259" t="s">
        <v>573</v>
      </c>
      <c r="H122" s="259" t="s">
        <v>614</v>
      </c>
      <c r="I122" s="267">
        <v>4276349</v>
      </c>
      <c r="J122" s="258"/>
      <c r="K122" s="1115"/>
      <c r="M122" s="268"/>
      <c r="N122" s="268"/>
    </row>
    <row r="123" s="245" customFormat="1">
      <c r="B123" s="258">
        <f t="shared" si="1"/>
        <v>65</v>
      </c>
      <c r="C123" s="259"/>
      <c r="D123" s="258" t="s">
        <v>575</v>
      </c>
      <c r="E123" s="260"/>
      <c r="F123" s="261">
        <v>43845</v>
      </c>
      <c r="G123" s="259" t="s">
        <v>573</v>
      </c>
      <c r="H123" s="259" t="s">
        <v>614</v>
      </c>
      <c r="I123" s="267">
        <v>4276349</v>
      </c>
      <c r="J123" s="258"/>
      <c r="K123" s="1115"/>
      <c r="M123" s="268"/>
      <c r="N123" s="268"/>
    </row>
    <row r="124" s="245" customFormat="1">
      <c r="B124" s="258">
        <f t="shared" si="1"/>
        <v>66</v>
      </c>
      <c r="C124" s="259"/>
      <c r="D124" s="258" t="s">
        <v>576</v>
      </c>
      <c r="E124" s="260"/>
      <c r="F124" s="261">
        <v>43845</v>
      </c>
      <c r="G124" s="259" t="s">
        <v>573</v>
      </c>
      <c r="H124" s="259" t="s">
        <v>614</v>
      </c>
      <c r="I124" s="267">
        <v>4276349</v>
      </c>
      <c r="J124" s="258"/>
      <c r="K124" s="1115"/>
      <c r="M124" s="268"/>
      <c r="N124" s="268"/>
    </row>
    <row r="125" s="245" customFormat="1">
      <c r="B125" s="258">
        <f ref="B125:B186" t="shared" si="2">+B124+1</f>
        <v>67</v>
      </c>
      <c r="C125" s="259"/>
      <c r="D125" s="258" t="s">
        <v>577</v>
      </c>
      <c r="E125" s="260"/>
      <c r="F125" s="261">
        <v>43845</v>
      </c>
      <c r="G125" s="259" t="s">
        <v>573</v>
      </c>
      <c r="H125" s="259" t="s">
        <v>614</v>
      </c>
      <c r="I125" s="267">
        <v>4276349</v>
      </c>
      <c r="J125" s="258"/>
      <c r="K125" s="1115"/>
      <c r="M125" s="268"/>
      <c r="N125" s="268"/>
    </row>
    <row r="126" s="245" customFormat="1">
      <c r="B126" s="258">
        <f t="shared" si="2"/>
        <v>68</v>
      </c>
      <c r="C126" s="259"/>
      <c r="D126" s="258" t="s">
        <v>578</v>
      </c>
      <c r="E126" s="260"/>
      <c r="F126" s="261">
        <v>43845</v>
      </c>
      <c r="G126" s="259" t="s">
        <v>573</v>
      </c>
      <c r="H126" s="259" t="s">
        <v>614</v>
      </c>
      <c r="I126" s="267">
        <v>4276349</v>
      </c>
      <c r="J126" s="258"/>
      <c r="K126" s="1115"/>
      <c r="M126" s="268"/>
      <c r="N126" s="268"/>
    </row>
    <row r="127" s="245" customFormat="1">
      <c r="B127" s="258">
        <f t="shared" si="2"/>
        <v>69</v>
      </c>
      <c r="C127" s="259"/>
      <c r="D127" s="258" t="s">
        <v>579</v>
      </c>
      <c r="E127" s="260"/>
      <c r="F127" s="261">
        <v>43845</v>
      </c>
      <c r="G127" s="259" t="s">
        <v>573</v>
      </c>
      <c r="H127" s="259" t="s">
        <v>614</v>
      </c>
      <c r="I127" s="267">
        <v>4276349</v>
      </c>
      <c r="J127" s="258"/>
      <c r="K127" s="1115"/>
      <c r="M127" s="268"/>
      <c r="N127" s="268"/>
    </row>
    <row r="128" s="245" customFormat="1">
      <c r="B128" s="258">
        <f t="shared" si="2"/>
        <v>70</v>
      </c>
      <c r="C128" s="259"/>
      <c r="D128" s="258" t="s">
        <v>580</v>
      </c>
      <c r="E128" s="260"/>
      <c r="F128" s="261">
        <v>43845</v>
      </c>
      <c r="G128" s="259" t="s">
        <v>573</v>
      </c>
      <c r="H128" s="259" t="s">
        <v>614</v>
      </c>
      <c r="I128" s="267">
        <v>4276349</v>
      </c>
      <c r="J128" s="258"/>
      <c r="K128" s="1115"/>
      <c r="M128" s="268"/>
      <c r="N128" s="268"/>
    </row>
    <row r="129" s="245" customFormat="1">
      <c r="B129" s="258">
        <f t="shared" si="2"/>
        <v>71</v>
      </c>
      <c r="C129" s="259"/>
      <c r="D129" s="258" t="s">
        <v>581</v>
      </c>
      <c r="E129" s="260"/>
      <c r="F129" s="261">
        <v>43845</v>
      </c>
      <c r="G129" s="259" t="s">
        <v>573</v>
      </c>
      <c r="H129" s="259" t="s">
        <v>614</v>
      </c>
      <c r="I129" s="267">
        <v>4276349</v>
      </c>
      <c r="J129" s="258"/>
      <c r="K129" s="1115"/>
      <c r="M129" s="268"/>
      <c r="N129" s="268"/>
    </row>
    <row r="130" s="245" customFormat="1">
      <c r="B130" s="258">
        <f t="shared" si="2"/>
        <v>72</v>
      </c>
      <c r="C130" s="259"/>
      <c r="D130" s="258" t="s">
        <v>584</v>
      </c>
      <c r="E130" s="260"/>
      <c r="F130" s="261">
        <v>43845</v>
      </c>
      <c r="G130" s="259" t="s">
        <v>573</v>
      </c>
      <c r="H130" s="259" t="s">
        <v>614</v>
      </c>
      <c r="I130" s="267">
        <v>4276349</v>
      </c>
      <c r="J130" s="258"/>
      <c r="K130" s="1115"/>
      <c r="M130" s="268"/>
      <c r="N130" s="268"/>
    </row>
    <row r="131" s="245" customFormat="1">
      <c r="B131" s="258">
        <f t="shared" si="2"/>
        <v>73</v>
      </c>
      <c r="C131" s="259"/>
      <c r="D131" s="258" t="s">
        <v>663</v>
      </c>
      <c r="E131" s="260"/>
      <c r="F131" s="261">
        <v>43845</v>
      </c>
      <c r="G131" s="259" t="s">
        <v>664</v>
      </c>
      <c r="H131" s="259" t="s">
        <v>614</v>
      </c>
      <c r="I131" s="267">
        <v>4276349</v>
      </c>
      <c r="J131" s="258"/>
      <c r="K131" s="1115"/>
      <c r="M131" s="268"/>
      <c r="N131" s="268"/>
    </row>
    <row r="132" s="245" customFormat="1">
      <c r="B132" s="258">
        <f t="shared" si="2"/>
        <v>74</v>
      </c>
      <c r="C132" s="259"/>
      <c r="D132" s="258" t="s">
        <v>665</v>
      </c>
      <c r="E132" s="260"/>
      <c r="F132" s="261">
        <v>43845</v>
      </c>
      <c r="G132" s="259" t="s">
        <v>664</v>
      </c>
      <c r="H132" s="259" t="s">
        <v>614</v>
      </c>
      <c r="I132" s="267">
        <v>4276349</v>
      </c>
      <c r="J132" s="258"/>
      <c r="K132" s="1115"/>
      <c r="M132" s="268"/>
      <c r="N132" s="268"/>
    </row>
    <row r="133" s="245" customFormat="1">
      <c r="B133" s="258">
        <f t="shared" si="2"/>
        <v>75</v>
      </c>
      <c r="C133" s="259"/>
      <c r="D133" s="258" t="s">
        <v>666</v>
      </c>
      <c r="E133" s="260"/>
      <c r="F133" s="261">
        <v>43845</v>
      </c>
      <c r="G133" s="259" t="s">
        <v>664</v>
      </c>
      <c r="H133" s="259" t="s">
        <v>614</v>
      </c>
      <c r="I133" s="267">
        <v>4276349</v>
      </c>
      <c r="J133" s="258"/>
      <c r="K133" s="1115"/>
      <c r="M133" s="268"/>
      <c r="N133" s="268"/>
    </row>
    <row r="134" s="245" customFormat="1">
      <c r="B134" s="258">
        <f t="shared" si="2"/>
        <v>76</v>
      </c>
      <c r="C134" s="259"/>
      <c r="D134" s="258" t="s">
        <v>667</v>
      </c>
      <c r="E134" s="260"/>
      <c r="F134" s="261">
        <v>43845</v>
      </c>
      <c r="G134" s="259" t="s">
        <v>664</v>
      </c>
      <c r="H134" s="259" t="s">
        <v>614</v>
      </c>
      <c r="I134" s="267">
        <v>4276349</v>
      </c>
      <c r="J134" s="258"/>
      <c r="K134" s="1115"/>
      <c r="M134" s="268"/>
      <c r="N134" s="268"/>
    </row>
    <row r="135" s="245" customFormat="1">
      <c r="B135" s="258">
        <f t="shared" si="2"/>
        <v>77</v>
      </c>
      <c r="C135" s="259"/>
      <c r="D135" s="258" t="s">
        <v>668</v>
      </c>
      <c r="E135" s="260"/>
      <c r="F135" s="261">
        <v>43845</v>
      </c>
      <c r="G135" s="259" t="s">
        <v>664</v>
      </c>
      <c r="H135" s="259" t="s">
        <v>614</v>
      </c>
      <c r="I135" s="267">
        <v>4276349</v>
      </c>
      <c r="J135" s="258"/>
      <c r="K135" s="1115"/>
      <c r="M135" s="268"/>
      <c r="N135" s="268"/>
    </row>
    <row r="136" s="245" customFormat="1">
      <c r="B136" s="258">
        <f t="shared" si="2"/>
        <v>78</v>
      </c>
      <c r="C136" s="259"/>
      <c r="D136" s="258" t="s">
        <v>669</v>
      </c>
      <c r="E136" s="260"/>
      <c r="F136" s="261">
        <v>43845</v>
      </c>
      <c r="G136" s="259" t="s">
        <v>664</v>
      </c>
      <c r="H136" s="259" t="s">
        <v>614</v>
      </c>
      <c r="I136" s="267">
        <v>4276349</v>
      </c>
      <c r="J136" s="258"/>
      <c r="K136" s="1115"/>
      <c r="M136" s="268"/>
      <c r="N136" s="268"/>
    </row>
    <row r="137" s="245" customFormat="1">
      <c r="B137" s="258">
        <f t="shared" si="2"/>
        <v>79</v>
      </c>
      <c r="C137" s="259"/>
      <c r="D137" s="258" t="s">
        <v>670</v>
      </c>
      <c r="E137" s="260"/>
      <c r="F137" s="261">
        <v>43845</v>
      </c>
      <c r="G137" s="259" t="s">
        <v>664</v>
      </c>
      <c r="H137" s="259" t="s">
        <v>614</v>
      </c>
      <c r="I137" s="267">
        <v>4276349</v>
      </c>
      <c r="J137" s="258"/>
      <c r="K137" s="1115"/>
      <c r="M137" s="268"/>
      <c r="N137" s="268"/>
    </row>
    <row r="138" s="245" customFormat="1">
      <c r="B138" s="258">
        <f t="shared" si="2"/>
        <v>80</v>
      </c>
      <c r="C138" s="259"/>
      <c r="D138" s="258" t="s">
        <v>671</v>
      </c>
      <c r="E138" s="260"/>
      <c r="F138" s="261">
        <v>43845</v>
      </c>
      <c r="G138" s="259" t="s">
        <v>664</v>
      </c>
      <c r="H138" s="259" t="s">
        <v>614</v>
      </c>
      <c r="I138" s="267">
        <v>4276349</v>
      </c>
      <c r="J138" s="258"/>
      <c r="K138" s="1115"/>
      <c r="M138" s="268"/>
      <c r="N138" s="268"/>
    </row>
    <row r="139" s="245" customFormat="1">
      <c r="B139" s="258">
        <f t="shared" si="2"/>
        <v>81</v>
      </c>
      <c r="C139" s="259"/>
      <c r="D139" s="258" t="s">
        <v>672</v>
      </c>
      <c r="E139" s="260"/>
      <c r="F139" s="261">
        <v>43845</v>
      </c>
      <c r="G139" s="259" t="s">
        <v>664</v>
      </c>
      <c r="H139" s="259" t="s">
        <v>614</v>
      </c>
      <c r="I139" s="267">
        <v>4276349</v>
      </c>
      <c r="J139" s="258"/>
      <c r="K139" s="1115"/>
      <c r="M139" s="268"/>
      <c r="N139" s="268"/>
    </row>
    <row r="140" s="245" customFormat="1">
      <c r="B140" s="258">
        <f t="shared" si="2"/>
        <v>82</v>
      </c>
      <c r="C140" s="259"/>
      <c r="D140" s="258" t="s">
        <v>673</v>
      </c>
      <c r="E140" s="260"/>
      <c r="F140" s="261">
        <v>43845</v>
      </c>
      <c r="G140" s="259" t="s">
        <v>664</v>
      </c>
      <c r="H140" s="259" t="s">
        <v>614</v>
      </c>
      <c r="I140" s="267">
        <v>4276349</v>
      </c>
      <c r="J140" s="258"/>
      <c r="K140" s="1115"/>
      <c r="M140" s="268"/>
      <c r="N140" s="268"/>
    </row>
    <row r="141" s="245" customFormat="1">
      <c r="B141" s="258">
        <f t="shared" si="2"/>
        <v>83</v>
      </c>
      <c r="C141" s="259"/>
      <c r="D141" s="258" t="s">
        <v>674</v>
      </c>
      <c r="E141" s="260"/>
      <c r="F141" s="261">
        <v>43845</v>
      </c>
      <c r="G141" s="259" t="s">
        <v>664</v>
      </c>
      <c r="H141" s="259" t="s">
        <v>614</v>
      </c>
      <c r="I141" s="267">
        <v>4276349</v>
      </c>
      <c r="J141" s="258"/>
      <c r="K141" s="1115"/>
      <c r="M141" s="268"/>
      <c r="N141" s="268"/>
    </row>
    <row r="142" s="245" customFormat="1">
      <c r="B142" s="258">
        <f t="shared" si="2"/>
        <v>84</v>
      </c>
      <c r="C142" s="259"/>
      <c r="D142" s="258" t="s">
        <v>675</v>
      </c>
      <c r="E142" s="260"/>
      <c r="F142" s="261">
        <v>43845</v>
      </c>
      <c r="G142" s="259" t="s">
        <v>664</v>
      </c>
      <c r="H142" s="259" t="s">
        <v>614</v>
      </c>
      <c r="I142" s="267">
        <v>4276349</v>
      </c>
      <c r="J142" s="258"/>
      <c r="K142" s="1115"/>
      <c r="M142" s="268"/>
      <c r="N142" s="268"/>
    </row>
    <row r="143" s="245" customFormat="1">
      <c r="B143" s="258">
        <f t="shared" si="2"/>
        <v>85</v>
      </c>
      <c r="C143" s="259"/>
      <c r="D143" s="258" t="s">
        <v>676</v>
      </c>
      <c r="E143" s="260"/>
      <c r="F143" s="261">
        <v>43845</v>
      </c>
      <c r="G143" s="259" t="s">
        <v>664</v>
      </c>
      <c r="H143" s="259" t="s">
        <v>614</v>
      </c>
      <c r="I143" s="267">
        <v>4276349</v>
      </c>
      <c r="J143" s="258"/>
      <c r="K143" s="1115"/>
      <c r="M143" s="268"/>
      <c r="N143" s="268"/>
    </row>
    <row r="144" s="245" customFormat="1">
      <c r="B144" s="258">
        <f t="shared" si="2"/>
        <v>86</v>
      </c>
      <c r="C144" s="259"/>
      <c r="D144" s="258" t="s">
        <v>677</v>
      </c>
      <c r="E144" s="260"/>
      <c r="F144" s="261">
        <v>43845</v>
      </c>
      <c r="G144" s="259" t="s">
        <v>664</v>
      </c>
      <c r="H144" s="259" t="s">
        <v>614</v>
      </c>
      <c r="I144" s="267">
        <v>4276349</v>
      </c>
      <c r="J144" s="258"/>
      <c r="K144" s="1115"/>
      <c r="M144" s="268"/>
      <c r="N144" s="268"/>
    </row>
    <row r="145" s="245" customFormat="1">
      <c r="B145" s="258">
        <f t="shared" si="2"/>
        <v>87</v>
      </c>
      <c r="C145" s="259"/>
      <c r="D145" s="258" t="s">
        <v>678</v>
      </c>
      <c r="E145" s="260"/>
      <c r="F145" s="261">
        <v>43845</v>
      </c>
      <c r="G145" s="259" t="s">
        <v>664</v>
      </c>
      <c r="H145" s="259" t="s">
        <v>614</v>
      </c>
      <c r="I145" s="267">
        <v>4276349</v>
      </c>
      <c r="J145" s="258"/>
      <c r="K145" s="1115"/>
      <c r="M145" s="268"/>
      <c r="N145" s="268"/>
    </row>
    <row r="146" s="245" customFormat="1">
      <c r="B146" s="258">
        <f t="shared" si="2"/>
        <v>88</v>
      </c>
      <c r="C146" s="259"/>
      <c r="D146" s="258" t="s">
        <v>679</v>
      </c>
      <c r="E146" s="260"/>
      <c r="F146" s="261">
        <v>43845</v>
      </c>
      <c r="G146" s="259" t="s">
        <v>664</v>
      </c>
      <c r="H146" s="259" t="s">
        <v>614</v>
      </c>
      <c r="I146" s="267">
        <v>4276349</v>
      </c>
      <c r="J146" s="258"/>
      <c r="K146" s="1115"/>
      <c r="M146" s="268"/>
      <c r="N146" s="268"/>
    </row>
    <row r="147" s="245" customFormat="1">
      <c r="B147" s="258">
        <f t="shared" si="2"/>
        <v>89</v>
      </c>
      <c r="C147" s="259"/>
      <c r="D147" s="258" t="s">
        <v>680</v>
      </c>
      <c r="E147" s="260"/>
      <c r="F147" s="261">
        <v>43845</v>
      </c>
      <c r="G147" s="259" t="s">
        <v>664</v>
      </c>
      <c r="H147" s="259" t="s">
        <v>614</v>
      </c>
      <c r="I147" s="267">
        <v>4276349</v>
      </c>
      <c r="J147" s="258"/>
      <c r="K147" s="1115"/>
      <c r="M147" s="268"/>
      <c r="N147" s="268"/>
    </row>
    <row r="148" s="245" customFormat="1">
      <c r="B148" s="258">
        <f t="shared" si="2"/>
        <v>90</v>
      </c>
      <c r="C148" s="259"/>
      <c r="D148" s="258" t="s">
        <v>681</v>
      </c>
      <c r="E148" s="260"/>
      <c r="F148" s="261">
        <v>43845</v>
      </c>
      <c r="G148" s="259" t="s">
        <v>664</v>
      </c>
      <c r="H148" s="259" t="s">
        <v>614</v>
      </c>
      <c r="I148" s="267">
        <v>4276349</v>
      </c>
      <c r="J148" s="258"/>
      <c r="K148" s="1115"/>
      <c r="M148" s="268"/>
      <c r="N148" s="268"/>
    </row>
    <row r="149" s="245" customFormat="1">
      <c r="B149" s="258">
        <f t="shared" si="2"/>
        <v>91</v>
      </c>
      <c r="C149" s="259"/>
      <c r="D149" s="258" t="s">
        <v>682</v>
      </c>
      <c r="E149" s="260"/>
      <c r="F149" s="261">
        <v>43845</v>
      </c>
      <c r="G149" s="259" t="s">
        <v>664</v>
      </c>
      <c r="H149" s="259" t="s">
        <v>614</v>
      </c>
      <c r="I149" s="267">
        <v>4276349</v>
      </c>
      <c r="J149" s="258"/>
      <c r="K149" s="1115"/>
      <c r="M149" s="268"/>
      <c r="N149" s="268"/>
    </row>
    <row r="150" s="245" customFormat="1">
      <c r="B150" s="258">
        <f t="shared" si="2"/>
        <v>92</v>
      </c>
      <c r="C150" s="259"/>
      <c r="D150" s="258" t="s">
        <v>683</v>
      </c>
      <c r="E150" s="260"/>
      <c r="F150" s="261">
        <v>43845</v>
      </c>
      <c r="G150" s="259" t="s">
        <v>664</v>
      </c>
      <c r="H150" s="259" t="s">
        <v>614</v>
      </c>
      <c r="I150" s="267">
        <v>4276349</v>
      </c>
      <c r="J150" s="258"/>
      <c r="K150" s="1115"/>
      <c r="M150" s="268"/>
      <c r="N150" s="268"/>
    </row>
    <row r="151" s="245" customFormat="1">
      <c r="B151" s="258">
        <f t="shared" si="2"/>
        <v>93</v>
      </c>
      <c r="C151" s="259"/>
      <c r="D151" s="258" t="s">
        <v>684</v>
      </c>
      <c r="E151" s="260"/>
      <c r="F151" s="261">
        <v>43845</v>
      </c>
      <c r="G151" s="259" t="s">
        <v>664</v>
      </c>
      <c r="H151" s="259" t="s">
        <v>614</v>
      </c>
      <c r="I151" s="267">
        <v>4276349</v>
      </c>
      <c r="J151" s="258"/>
      <c r="K151" s="1115"/>
      <c r="M151" s="268"/>
      <c r="N151" s="268"/>
    </row>
    <row r="152" s="245" customFormat="1">
      <c r="B152" s="258">
        <f t="shared" si="2"/>
        <v>94</v>
      </c>
      <c r="C152" s="259"/>
      <c r="D152" s="258" t="s">
        <v>685</v>
      </c>
      <c r="E152" s="260"/>
      <c r="F152" s="261">
        <v>43845</v>
      </c>
      <c r="G152" s="259" t="s">
        <v>664</v>
      </c>
      <c r="H152" s="259" t="s">
        <v>614</v>
      </c>
      <c r="I152" s="267">
        <v>4276349</v>
      </c>
      <c r="J152" s="258"/>
      <c r="K152" s="1115"/>
      <c r="M152" s="268"/>
      <c r="N152" s="268"/>
    </row>
    <row r="153" s="245" customFormat="1">
      <c r="B153" s="258">
        <f t="shared" si="2"/>
        <v>95</v>
      </c>
      <c r="C153" s="259"/>
      <c r="D153" s="258" t="s">
        <v>686</v>
      </c>
      <c r="E153" s="260"/>
      <c r="F153" s="261">
        <v>43845</v>
      </c>
      <c r="G153" s="259" t="s">
        <v>664</v>
      </c>
      <c r="H153" s="259" t="s">
        <v>614</v>
      </c>
      <c r="I153" s="267">
        <v>4276349</v>
      </c>
      <c r="J153" s="258"/>
      <c r="K153" s="1115"/>
      <c r="M153" s="268"/>
      <c r="N153" s="268"/>
    </row>
    <row r="154" s="245" customFormat="1">
      <c r="B154" s="258">
        <f t="shared" si="2"/>
        <v>96</v>
      </c>
      <c r="C154" s="259"/>
      <c r="D154" s="258" t="s">
        <v>687</v>
      </c>
      <c r="E154" s="260"/>
      <c r="F154" s="261">
        <v>43845</v>
      </c>
      <c r="G154" s="259" t="s">
        <v>664</v>
      </c>
      <c r="H154" s="259" t="s">
        <v>614</v>
      </c>
      <c r="I154" s="267">
        <v>4276349</v>
      </c>
      <c r="J154" s="258"/>
      <c r="K154" s="1115"/>
      <c r="M154" s="268"/>
      <c r="N154" s="268"/>
    </row>
    <row r="155" s="245" customFormat="1">
      <c r="B155" s="258">
        <f t="shared" si="2"/>
        <v>97</v>
      </c>
      <c r="C155" s="259"/>
      <c r="D155" s="258" t="s">
        <v>688</v>
      </c>
      <c r="E155" s="260"/>
      <c r="F155" s="261">
        <v>43845</v>
      </c>
      <c r="G155" s="259" t="s">
        <v>664</v>
      </c>
      <c r="H155" s="259" t="s">
        <v>614</v>
      </c>
      <c r="I155" s="267">
        <v>4276349</v>
      </c>
      <c r="J155" s="258"/>
      <c r="K155" s="1115"/>
      <c r="M155" s="268"/>
      <c r="N155" s="268"/>
    </row>
    <row r="156" s="245" customFormat="1">
      <c r="B156" s="258">
        <f t="shared" si="2"/>
        <v>98</v>
      </c>
      <c r="C156" s="259"/>
      <c r="D156" s="258" t="s">
        <v>689</v>
      </c>
      <c r="E156" s="260"/>
      <c r="F156" s="261">
        <v>43845</v>
      </c>
      <c r="G156" s="259" t="s">
        <v>664</v>
      </c>
      <c r="H156" s="259" t="s">
        <v>614</v>
      </c>
      <c r="I156" s="267">
        <v>4276349</v>
      </c>
      <c r="J156" s="258"/>
      <c r="K156" s="1115"/>
      <c r="M156" s="268"/>
      <c r="N156" s="268"/>
    </row>
    <row r="157" s="245" customFormat="1">
      <c r="B157" s="258">
        <f t="shared" si="2"/>
        <v>99</v>
      </c>
      <c r="C157" s="259"/>
      <c r="D157" s="258" t="s">
        <v>690</v>
      </c>
      <c r="E157" s="260"/>
      <c r="F157" s="261">
        <v>43845</v>
      </c>
      <c r="G157" s="259" t="s">
        <v>664</v>
      </c>
      <c r="H157" s="259" t="s">
        <v>614</v>
      </c>
      <c r="I157" s="267">
        <v>4276349</v>
      </c>
      <c r="J157" s="258"/>
      <c r="K157" s="1115"/>
      <c r="M157" s="268"/>
      <c r="N157" s="268"/>
    </row>
    <row r="158" s="245" customFormat="1">
      <c r="B158" s="258">
        <f t="shared" si="2"/>
        <v>100</v>
      </c>
      <c r="C158" s="259"/>
      <c r="D158" s="258" t="s">
        <v>691</v>
      </c>
      <c r="E158" s="260"/>
      <c r="F158" s="261">
        <v>43845</v>
      </c>
      <c r="G158" s="259" t="s">
        <v>664</v>
      </c>
      <c r="H158" s="259" t="s">
        <v>614</v>
      </c>
      <c r="I158" s="267">
        <v>4276349</v>
      </c>
      <c r="J158" s="258"/>
      <c r="K158" s="1115"/>
      <c r="M158" s="268"/>
      <c r="N158" s="268"/>
    </row>
    <row r="159" s="245" customFormat="1">
      <c r="B159" s="258">
        <f t="shared" si="2"/>
        <v>101</v>
      </c>
      <c r="C159" s="259"/>
      <c r="D159" s="258" t="s">
        <v>692</v>
      </c>
      <c r="E159" s="260"/>
      <c r="F159" s="261">
        <v>43845</v>
      </c>
      <c r="G159" s="259" t="s">
        <v>664</v>
      </c>
      <c r="H159" s="259" t="s">
        <v>614</v>
      </c>
      <c r="I159" s="267">
        <v>4276349</v>
      </c>
      <c r="J159" s="258"/>
      <c r="K159" s="1115"/>
      <c r="M159" s="268"/>
      <c r="N159" s="268"/>
    </row>
    <row r="160" s="245" customFormat="1">
      <c r="B160" s="258">
        <f t="shared" si="2"/>
        <v>102</v>
      </c>
      <c r="C160" s="259"/>
      <c r="D160" s="258" t="s">
        <v>693</v>
      </c>
      <c r="E160" s="260"/>
      <c r="F160" s="261">
        <v>43845</v>
      </c>
      <c r="G160" s="259" t="s">
        <v>664</v>
      </c>
      <c r="H160" s="259" t="s">
        <v>614</v>
      </c>
      <c r="I160" s="267">
        <v>4276349</v>
      </c>
      <c r="J160" s="258"/>
      <c r="K160" s="1115"/>
      <c r="M160" s="268"/>
      <c r="N160" s="268"/>
    </row>
    <row r="161" s="245" customFormat="1">
      <c r="B161" s="258">
        <f t="shared" si="2"/>
        <v>103</v>
      </c>
      <c r="C161" s="259"/>
      <c r="D161" s="258" t="s">
        <v>694</v>
      </c>
      <c r="E161" s="260"/>
      <c r="F161" s="261">
        <v>43845</v>
      </c>
      <c r="G161" s="259" t="s">
        <v>664</v>
      </c>
      <c r="H161" s="259" t="s">
        <v>614</v>
      </c>
      <c r="I161" s="267">
        <v>4276349</v>
      </c>
      <c r="J161" s="258"/>
      <c r="K161" s="1115"/>
      <c r="M161" s="268"/>
      <c r="N161" s="268"/>
    </row>
    <row r="162" s="245" customFormat="1">
      <c r="B162" s="258">
        <f t="shared" si="2"/>
        <v>104</v>
      </c>
      <c r="C162" s="259"/>
      <c r="D162" s="258" t="s">
        <v>695</v>
      </c>
      <c r="E162" s="260"/>
      <c r="F162" s="261">
        <v>43845</v>
      </c>
      <c r="G162" s="259" t="s">
        <v>664</v>
      </c>
      <c r="H162" s="259" t="s">
        <v>614</v>
      </c>
      <c r="I162" s="267">
        <v>4276349</v>
      </c>
      <c r="J162" s="258"/>
      <c r="K162" s="1115"/>
      <c r="M162" s="268"/>
      <c r="N162" s="268"/>
    </row>
    <row r="163" s="245" customFormat="1">
      <c r="B163" s="258">
        <f t="shared" si="2"/>
        <v>105</v>
      </c>
      <c r="C163" s="259"/>
      <c r="D163" s="258" t="s">
        <v>696</v>
      </c>
      <c r="E163" s="260"/>
      <c r="F163" s="261">
        <v>43845</v>
      </c>
      <c r="G163" s="259" t="s">
        <v>664</v>
      </c>
      <c r="H163" s="259" t="s">
        <v>614</v>
      </c>
      <c r="I163" s="267">
        <v>4276349</v>
      </c>
      <c r="J163" s="258"/>
      <c r="K163" s="1115"/>
      <c r="M163" s="268"/>
      <c r="N163" s="268"/>
    </row>
    <row r="164" s="245" customFormat="1">
      <c r="B164" s="258">
        <f t="shared" si="2"/>
        <v>106</v>
      </c>
      <c r="C164" s="259"/>
      <c r="D164" s="258" t="s">
        <v>697</v>
      </c>
      <c r="E164" s="260"/>
      <c r="F164" s="261">
        <v>43845</v>
      </c>
      <c r="G164" s="259" t="s">
        <v>664</v>
      </c>
      <c r="H164" s="259" t="s">
        <v>614</v>
      </c>
      <c r="I164" s="267">
        <v>4276349</v>
      </c>
      <c r="J164" s="258"/>
      <c r="K164" s="1115"/>
      <c r="M164" s="268"/>
      <c r="N164" s="268"/>
    </row>
    <row r="165" s="245" customFormat="1">
      <c r="B165" s="258">
        <f t="shared" si="2"/>
        <v>107</v>
      </c>
      <c r="C165" s="259"/>
      <c r="D165" s="258" t="s">
        <v>698</v>
      </c>
      <c r="E165" s="260"/>
      <c r="F165" s="261">
        <v>43845</v>
      </c>
      <c r="G165" s="259" t="s">
        <v>664</v>
      </c>
      <c r="H165" s="259" t="s">
        <v>614</v>
      </c>
      <c r="I165" s="267">
        <v>4276349</v>
      </c>
      <c r="J165" s="258"/>
      <c r="K165" s="1115"/>
      <c r="M165" s="268"/>
      <c r="N165" s="268"/>
    </row>
    <row r="166" s="245" customFormat="1">
      <c r="B166" s="258">
        <f t="shared" si="2"/>
        <v>108</v>
      </c>
      <c r="C166" s="259"/>
      <c r="D166" s="258" t="s">
        <v>699</v>
      </c>
      <c r="E166" s="260"/>
      <c r="F166" s="261">
        <v>43845</v>
      </c>
      <c r="G166" s="259" t="s">
        <v>664</v>
      </c>
      <c r="H166" s="259" t="s">
        <v>614</v>
      </c>
      <c r="I166" s="267">
        <v>4276349</v>
      </c>
      <c r="J166" s="258"/>
      <c r="K166" s="1115"/>
      <c r="M166" s="268"/>
      <c r="N166" s="268"/>
    </row>
    <row r="167" s="245" customFormat="1">
      <c r="B167" s="258">
        <f t="shared" si="2"/>
        <v>109</v>
      </c>
      <c r="C167" s="259"/>
      <c r="D167" s="258" t="s">
        <v>700</v>
      </c>
      <c r="E167" s="260"/>
      <c r="F167" s="261">
        <v>43845</v>
      </c>
      <c r="G167" s="259" t="s">
        <v>664</v>
      </c>
      <c r="H167" s="259" t="s">
        <v>614</v>
      </c>
      <c r="I167" s="267">
        <v>4276349</v>
      </c>
      <c r="J167" s="258"/>
      <c r="K167" s="1115"/>
      <c r="M167" s="268"/>
      <c r="N167" s="268"/>
    </row>
    <row r="168" s="245" customFormat="1">
      <c r="B168" s="258">
        <f t="shared" si="2"/>
        <v>110</v>
      </c>
      <c r="C168" s="259"/>
      <c r="D168" s="258" t="s">
        <v>701</v>
      </c>
      <c r="E168" s="260"/>
      <c r="F168" s="261">
        <v>43845</v>
      </c>
      <c r="G168" s="259" t="s">
        <v>664</v>
      </c>
      <c r="H168" s="259" t="s">
        <v>614</v>
      </c>
      <c r="I168" s="267">
        <v>4276349</v>
      </c>
      <c r="J168" s="258"/>
      <c r="K168" s="1115"/>
      <c r="M168" s="268"/>
      <c r="N168" s="268"/>
    </row>
    <row r="169" s="245" customFormat="1">
      <c r="B169" s="258">
        <f t="shared" si="2"/>
        <v>111</v>
      </c>
      <c r="C169" s="259"/>
      <c r="D169" s="258" t="s">
        <v>702</v>
      </c>
      <c r="E169" s="260"/>
      <c r="F169" s="261">
        <v>43845</v>
      </c>
      <c r="G169" s="259" t="s">
        <v>664</v>
      </c>
      <c r="H169" s="259" t="s">
        <v>614</v>
      </c>
      <c r="I169" s="267">
        <v>4276349</v>
      </c>
      <c r="J169" s="258"/>
      <c r="K169" s="1115"/>
      <c r="M169" s="268"/>
      <c r="N169" s="268"/>
    </row>
    <row r="170" s="245" customFormat="1">
      <c r="B170" s="258">
        <f t="shared" si="2"/>
        <v>112</v>
      </c>
      <c r="C170" s="259"/>
      <c r="D170" s="258" t="s">
        <v>703</v>
      </c>
      <c r="E170" s="260"/>
      <c r="F170" s="261">
        <v>43845</v>
      </c>
      <c r="G170" s="259" t="s">
        <v>664</v>
      </c>
      <c r="H170" s="259" t="s">
        <v>614</v>
      </c>
      <c r="I170" s="267">
        <v>4276349</v>
      </c>
      <c r="J170" s="258"/>
      <c r="K170" s="1115"/>
      <c r="M170" s="268"/>
      <c r="N170" s="268"/>
    </row>
    <row r="171" s="245" customFormat="1">
      <c r="B171" s="258">
        <f t="shared" si="2"/>
        <v>113</v>
      </c>
      <c r="C171" s="259"/>
      <c r="D171" s="258" t="s">
        <v>704</v>
      </c>
      <c r="E171" s="260"/>
      <c r="F171" s="261">
        <v>43845</v>
      </c>
      <c r="G171" s="259" t="s">
        <v>664</v>
      </c>
      <c r="H171" s="259" t="s">
        <v>614</v>
      </c>
      <c r="I171" s="267">
        <v>4276349</v>
      </c>
      <c r="J171" s="258"/>
      <c r="K171" s="1115"/>
      <c r="M171" s="268"/>
      <c r="N171" s="268"/>
    </row>
    <row r="172" s="245" customFormat="1">
      <c r="B172" s="258">
        <f t="shared" si="2"/>
        <v>114</v>
      </c>
      <c r="C172" s="259"/>
      <c r="D172" s="258" t="s">
        <v>294</v>
      </c>
      <c r="E172" s="260"/>
      <c r="F172" s="261">
        <v>43845</v>
      </c>
      <c r="G172" s="259" t="s">
        <v>664</v>
      </c>
      <c r="H172" s="259" t="s">
        <v>614</v>
      </c>
      <c r="I172" s="267">
        <v>4276349</v>
      </c>
      <c r="J172" s="258"/>
      <c r="K172" s="1115"/>
      <c r="M172" s="268"/>
      <c r="N172" s="268"/>
    </row>
    <row r="173" s="245" customFormat="1">
      <c r="B173" s="258">
        <f t="shared" si="2"/>
        <v>115</v>
      </c>
      <c r="C173" s="259"/>
      <c r="D173" s="258" t="s">
        <v>705</v>
      </c>
      <c r="E173" s="260"/>
      <c r="F173" s="261">
        <v>43845</v>
      </c>
      <c r="G173" s="259" t="s">
        <v>664</v>
      </c>
      <c r="H173" s="259" t="s">
        <v>614</v>
      </c>
      <c r="I173" s="267">
        <v>4276349</v>
      </c>
      <c r="J173" s="258"/>
      <c r="K173" s="1115"/>
      <c r="M173" s="268"/>
      <c r="N173" s="268"/>
    </row>
    <row r="174" s="245" customFormat="1">
      <c r="B174" s="258">
        <f t="shared" si="2"/>
        <v>116</v>
      </c>
      <c r="C174" s="259"/>
      <c r="D174" s="258" t="s">
        <v>588</v>
      </c>
      <c r="E174" s="260"/>
      <c r="F174" s="261">
        <v>43845</v>
      </c>
      <c r="G174" s="259" t="s">
        <v>664</v>
      </c>
      <c r="H174" s="259" t="s">
        <v>614</v>
      </c>
      <c r="I174" s="267">
        <v>4276349</v>
      </c>
      <c r="J174" s="258"/>
      <c r="K174" s="1115"/>
      <c r="M174" s="268"/>
      <c r="N174" s="268"/>
    </row>
    <row r="175" s="245" customFormat="1">
      <c r="B175" s="258">
        <f t="shared" si="2"/>
        <v>117</v>
      </c>
      <c r="C175" s="259"/>
      <c r="D175" s="258" t="s">
        <v>590</v>
      </c>
      <c r="E175" s="260"/>
      <c r="F175" s="261">
        <v>43845</v>
      </c>
      <c r="G175" s="259" t="s">
        <v>664</v>
      </c>
      <c r="H175" s="259" t="s">
        <v>614</v>
      </c>
      <c r="I175" s="267">
        <v>4276349</v>
      </c>
      <c r="J175" s="258"/>
      <c r="K175" s="1115"/>
      <c r="M175" s="268"/>
      <c r="N175" s="268"/>
    </row>
    <row r="176" s="245" customFormat="1">
      <c r="B176" s="258">
        <f t="shared" si="2"/>
        <v>118</v>
      </c>
      <c r="C176" s="259"/>
      <c r="D176" s="258" t="s">
        <v>591</v>
      </c>
      <c r="E176" s="260"/>
      <c r="F176" s="261">
        <v>43845</v>
      </c>
      <c r="G176" s="259" t="s">
        <v>664</v>
      </c>
      <c r="H176" s="259" t="s">
        <v>614</v>
      </c>
      <c r="I176" s="267">
        <v>4276349</v>
      </c>
      <c r="J176" s="258"/>
      <c r="K176" s="1115"/>
      <c r="M176" s="268"/>
      <c r="N176" s="268"/>
    </row>
    <row r="177" s="245" customFormat="1">
      <c r="B177" s="258">
        <f t="shared" si="2"/>
        <v>119</v>
      </c>
      <c r="C177" s="259"/>
      <c r="D177" s="258" t="s">
        <v>592</v>
      </c>
      <c r="E177" s="260"/>
      <c r="F177" s="261">
        <v>43845</v>
      </c>
      <c r="G177" s="259" t="s">
        <v>664</v>
      </c>
      <c r="H177" s="259" t="s">
        <v>614</v>
      </c>
      <c r="I177" s="267">
        <v>4276349</v>
      </c>
      <c r="J177" s="258"/>
      <c r="K177" s="1115"/>
      <c r="M177" s="268"/>
      <c r="N177" s="268"/>
    </row>
    <row r="178" s="245" customFormat="1">
      <c r="B178" s="258">
        <f t="shared" si="2"/>
        <v>120</v>
      </c>
      <c r="C178" s="259"/>
      <c r="D178" s="258" t="s">
        <v>593</v>
      </c>
      <c r="E178" s="260"/>
      <c r="F178" s="261">
        <v>43845</v>
      </c>
      <c r="G178" s="259" t="s">
        <v>664</v>
      </c>
      <c r="H178" s="259" t="s">
        <v>614</v>
      </c>
      <c r="I178" s="267">
        <v>4276349</v>
      </c>
      <c r="J178" s="258"/>
      <c r="K178" s="1115"/>
      <c r="M178" s="268"/>
      <c r="N178" s="268"/>
    </row>
    <row r="179" s="245" customFormat="1">
      <c r="B179" s="258">
        <f t="shared" si="2"/>
        <v>121</v>
      </c>
      <c r="C179" s="259"/>
      <c r="D179" s="258" t="s">
        <v>594</v>
      </c>
      <c r="E179" s="260"/>
      <c r="F179" s="261">
        <v>43845</v>
      </c>
      <c r="G179" s="259" t="s">
        <v>664</v>
      </c>
      <c r="H179" s="259" t="s">
        <v>614</v>
      </c>
      <c r="I179" s="267">
        <v>4276349</v>
      </c>
      <c r="J179" s="258"/>
      <c r="K179" s="1115"/>
      <c r="M179" s="268"/>
      <c r="N179" s="268"/>
    </row>
    <row r="180" s="245" customFormat="1">
      <c r="B180" s="258">
        <f t="shared" si="2"/>
        <v>122</v>
      </c>
      <c r="C180" s="259"/>
      <c r="D180" s="258" t="s">
        <v>595</v>
      </c>
      <c r="E180" s="260"/>
      <c r="F180" s="261">
        <v>43845</v>
      </c>
      <c r="G180" s="259" t="s">
        <v>664</v>
      </c>
      <c r="H180" s="259" t="s">
        <v>614</v>
      </c>
      <c r="I180" s="267">
        <v>4276349</v>
      </c>
      <c r="J180" s="258"/>
      <c r="K180" s="1115"/>
      <c r="M180" s="268"/>
      <c r="N180" s="268"/>
    </row>
    <row r="181" s="245" customFormat="1">
      <c r="B181" s="258">
        <f t="shared" si="2"/>
        <v>123</v>
      </c>
      <c r="C181" s="259"/>
      <c r="D181" s="258" t="s">
        <v>596</v>
      </c>
      <c r="E181" s="260"/>
      <c r="F181" s="261">
        <v>43845</v>
      </c>
      <c r="G181" s="259" t="s">
        <v>664</v>
      </c>
      <c r="H181" s="259" t="s">
        <v>614</v>
      </c>
      <c r="I181" s="267">
        <v>4276349</v>
      </c>
      <c r="J181" s="258"/>
      <c r="K181" s="1115"/>
      <c r="M181" s="268"/>
      <c r="N181" s="268"/>
    </row>
    <row r="182" s="245" customFormat="1">
      <c r="B182" s="258">
        <f t="shared" si="2"/>
        <v>124</v>
      </c>
      <c r="C182" s="259"/>
      <c r="D182" s="258" t="s">
        <v>597</v>
      </c>
      <c r="E182" s="260"/>
      <c r="F182" s="261">
        <v>43845</v>
      </c>
      <c r="G182" s="259" t="s">
        <v>664</v>
      </c>
      <c r="H182" s="259" t="s">
        <v>614</v>
      </c>
      <c r="I182" s="267">
        <v>4276349</v>
      </c>
      <c r="J182" s="258"/>
      <c r="K182" s="1115"/>
      <c r="M182" s="268"/>
      <c r="N182" s="268"/>
    </row>
    <row r="183" s="245" customFormat="1">
      <c r="B183" s="258">
        <f t="shared" si="2"/>
        <v>125</v>
      </c>
      <c r="C183" s="259"/>
      <c r="D183" s="258" t="s">
        <v>706</v>
      </c>
      <c r="E183" s="260"/>
      <c r="F183" s="261">
        <v>43861</v>
      </c>
      <c r="G183" s="260" t="s">
        <v>707</v>
      </c>
      <c r="H183" s="261" t="s">
        <v>708</v>
      </c>
      <c r="I183" s="267">
        <v>4276349</v>
      </c>
      <c r="J183" s="258"/>
      <c r="K183" s="1115"/>
      <c r="M183" s="268"/>
      <c r="N183" s="268"/>
    </row>
    <row r="184" s="245" customFormat="1">
      <c r="B184" s="258">
        <f t="shared" si="2"/>
        <v>126</v>
      </c>
      <c r="C184" s="259"/>
      <c r="D184" s="258" t="s">
        <v>709</v>
      </c>
      <c r="E184" s="260"/>
      <c r="F184" s="261">
        <v>43865</v>
      </c>
      <c r="G184" s="260" t="s">
        <v>602</v>
      </c>
      <c r="H184" s="261" t="s">
        <v>63</v>
      </c>
      <c r="I184" s="267">
        <v>3310723</v>
      </c>
      <c r="J184" s="258"/>
      <c r="K184" s="1115"/>
      <c r="M184" s="268"/>
      <c r="N184" s="268"/>
    </row>
    <row r="185" s="245" customFormat="1">
      <c r="B185" s="258">
        <f t="shared" si="2"/>
        <v>127</v>
      </c>
      <c r="C185" s="259"/>
      <c r="D185" s="258" t="s">
        <v>710</v>
      </c>
      <c r="E185" s="260">
        <v>43851</v>
      </c>
      <c r="F185" s="261"/>
      <c r="G185" s="260" t="s">
        <v>602</v>
      </c>
      <c r="H185" s="261" t="s">
        <v>63</v>
      </c>
      <c r="I185" s="267">
        <v>3310723</v>
      </c>
      <c r="J185" s="258"/>
      <c r="K185" s="1115"/>
      <c r="M185" s="268"/>
      <c r="N185" s="268"/>
    </row>
    <row r="186" s="245" customFormat="1">
      <c r="B186" s="258">
        <f t="shared" si="2"/>
        <v>128</v>
      </c>
      <c r="C186" s="259"/>
      <c r="D186" s="258" t="s">
        <v>711</v>
      </c>
      <c r="E186" s="260">
        <v>43867</v>
      </c>
      <c r="F186" s="261"/>
      <c r="G186" s="260" t="s">
        <v>602</v>
      </c>
      <c r="H186" s="261" t="s">
        <v>63</v>
      </c>
      <c r="I186" s="267">
        <v>3310723</v>
      </c>
      <c r="J186" s="258"/>
      <c r="K186" s="1116"/>
      <c r="M186" s="268"/>
      <c r="N186" s="268"/>
    </row>
    <row r="187" s="246" customFormat="1">
      <c r="B187" s="262"/>
      <c r="C187" s="263"/>
      <c r="D187" s="262"/>
      <c r="E187" s="264"/>
      <c r="F187" s="265"/>
      <c r="G187" s="264"/>
      <c r="H187" s="265"/>
      <c r="I187" s="269"/>
      <c r="J187" s="262"/>
      <c r="K187" s="272"/>
      <c r="M187" s="271"/>
      <c r="N187" s="271"/>
    </row>
    <row r="188" ht="18.75" customHeight="1" s="245" customFormat="1">
      <c r="B188" s="258">
        <v>1</v>
      </c>
      <c r="C188" s="259"/>
      <c r="D188" s="258" t="s">
        <v>608</v>
      </c>
      <c r="E188" s="260"/>
      <c r="F188" s="261">
        <v>43875</v>
      </c>
      <c r="G188" s="260" t="s">
        <v>435</v>
      </c>
      <c r="H188" s="261" t="s">
        <v>63</v>
      </c>
      <c r="I188" s="267">
        <v>2877448</v>
      </c>
      <c r="J188" s="258"/>
      <c r="K188" s="1114" t="s">
        <v>712</v>
      </c>
      <c r="M188" s="268"/>
      <c r="N188" s="268"/>
    </row>
    <row r="189" s="245" customFormat="1">
      <c r="B189" s="258">
        <f>+B188+1</f>
        <v>2</v>
      </c>
      <c r="C189" s="259"/>
      <c r="D189" s="258" t="s">
        <v>606</v>
      </c>
      <c r="E189" s="260"/>
      <c r="F189" s="261">
        <v>43878</v>
      </c>
      <c r="G189" s="260" t="s">
        <v>435</v>
      </c>
      <c r="H189" s="261" t="s">
        <v>63</v>
      </c>
      <c r="I189" s="267">
        <v>2877448</v>
      </c>
      <c r="J189" s="258" t="s">
        <v>78</v>
      </c>
      <c r="K189" s="1115"/>
      <c r="M189" s="268"/>
      <c r="N189" s="268"/>
    </row>
    <row r="190" s="245" customFormat="1">
      <c r="B190" s="258">
        <f ref="B190:B235" t="shared" si="3">+B189+1</f>
        <v>3</v>
      </c>
      <c r="C190" s="259"/>
      <c r="D190" s="258" t="s">
        <v>713</v>
      </c>
      <c r="E190" s="260"/>
      <c r="F190" s="260">
        <v>43894</v>
      </c>
      <c r="G190" s="260" t="s">
        <v>435</v>
      </c>
      <c r="H190" s="261" t="s">
        <v>63</v>
      </c>
      <c r="I190" s="267">
        <v>2877448</v>
      </c>
      <c r="J190" s="258"/>
      <c r="K190" s="1115"/>
      <c r="M190" s="268"/>
      <c r="N190" s="268"/>
    </row>
    <row r="191" s="245" customFormat="1">
      <c r="B191" s="258">
        <f t="shared" si="3"/>
        <v>4</v>
      </c>
      <c r="C191" s="259"/>
      <c r="D191" s="258" t="s">
        <v>714</v>
      </c>
      <c r="E191" s="260"/>
      <c r="F191" s="260">
        <v>43892</v>
      </c>
      <c r="G191" s="260" t="s">
        <v>435</v>
      </c>
      <c r="H191" s="261" t="s">
        <v>63</v>
      </c>
      <c r="I191" s="267">
        <v>2877448</v>
      </c>
      <c r="J191" s="258"/>
      <c r="K191" s="1115"/>
      <c r="M191" s="268"/>
      <c r="N191" s="268"/>
    </row>
    <row r="192" s="245" customFormat="1">
      <c r="B192" s="258">
        <f t="shared" si="3"/>
        <v>5</v>
      </c>
      <c r="C192" s="259"/>
      <c r="D192" s="258" t="s">
        <v>715</v>
      </c>
      <c r="E192" s="260"/>
      <c r="F192" s="260">
        <v>43888</v>
      </c>
      <c r="G192" s="260" t="s">
        <v>435</v>
      </c>
      <c r="H192" s="261" t="s">
        <v>63</v>
      </c>
      <c r="I192" s="267">
        <v>2877448</v>
      </c>
      <c r="J192" s="258"/>
      <c r="K192" s="1115"/>
      <c r="M192" s="268"/>
      <c r="N192" s="268"/>
    </row>
    <row r="193" s="245" customFormat="1">
      <c r="B193" s="258">
        <f t="shared" si="3"/>
        <v>6</v>
      </c>
      <c r="C193" s="259"/>
      <c r="D193" s="258" t="s">
        <v>716</v>
      </c>
      <c r="E193" s="260"/>
      <c r="F193" s="260">
        <v>43890</v>
      </c>
      <c r="G193" s="260" t="s">
        <v>435</v>
      </c>
      <c r="H193" s="261" t="s">
        <v>63</v>
      </c>
      <c r="I193" s="267">
        <v>2877448</v>
      </c>
      <c r="J193" s="258"/>
      <c r="K193" s="1115"/>
      <c r="M193" s="268"/>
      <c r="N193" s="268"/>
    </row>
    <row r="194" s="245" customFormat="1">
      <c r="B194" s="258">
        <f t="shared" si="3"/>
        <v>7</v>
      </c>
      <c r="C194" s="259"/>
      <c r="D194" s="258" t="s">
        <v>559</v>
      </c>
      <c r="E194" s="260"/>
      <c r="F194" s="260">
        <v>43893</v>
      </c>
      <c r="G194" s="260" t="s">
        <v>435</v>
      </c>
      <c r="H194" s="261" t="s">
        <v>63</v>
      </c>
      <c r="I194" s="267">
        <v>2877448</v>
      </c>
      <c r="J194" s="258"/>
      <c r="K194" s="1115"/>
      <c r="M194" s="268"/>
      <c r="N194" s="268"/>
    </row>
    <row r="195" s="245" customFormat="1">
      <c r="B195" s="258">
        <f t="shared" si="3"/>
        <v>8</v>
      </c>
      <c r="C195" s="259"/>
      <c r="D195" s="258" t="s">
        <v>340</v>
      </c>
      <c r="E195" s="260">
        <v>43888</v>
      </c>
      <c r="F195" s="261"/>
      <c r="G195" s="260" t="s">
        <v>435</v>
      </c>
      <c r="H195" s="261" t="s">
        <v>63</v>
      </c>
      <c r="I195" s="267">
        <v>2877448</v>
      </c>
      <c r="J195" s="258"/>
      <c r="K195" s="1115"/>
      <c r="M195" s="268">
        <f>I195/29*(30-27)</f>
        <v>297667.034482759</v>
      </c>
      <c r="N195" s="268"/>
    </row>
    <row r="196" s="245" customFormat="1">
      <c r="B196" s="258">
        <f t="shared" si="3"/>
        <v>9</v>
      </c>
      <c r="C196" s="259"/>
      <c r="D196" s="258" t="s">
        <v>342</v>
      </c>
      <c r="E196" s="260">
        <v>43892</v>
      </c>
      <c r="F196" s="261"/>
      <c r="G196" s="260" t="s">
        <v>435</v>
      </c>
      <c r="H196" s="261" t="s">
        <v>63</v>
      </c>
      <c r="I196" s="267">
        <v>2877448</v>
      </c>
      <c r="J196" s="258"/>
      <c r="K196" s="1115"/>
      <c r="M196" s="268">
        <f>I196/31*(32-2)</f>
        <v>2784627.09677419</v>
      </c>
      <c r="N196" s="268"/>
    </row>
    <row r="197" s="245" customFormat="1">
      <c r="B197" s="258">
        <f t="shared" si="3"/>
        <v>10</v>
      </c>
      <c r="C197" s="259"/>
      <c r="D197" s="258" t="s">
        <v>717</v>
      </c>
      <c r="E197" s="260">
        <v>43893</v>
      </c>
      <c r="F197" s="261"/>
      <c r="G197" s="260" t="s">
        <v>435</v>
      </c>
      <c r="H197" s="261" t="s">
        <v>63</v>
      </c>
      <c r="I197" s="267">
        <v>2877448</v>
      </c>
      <c r="J197" s="258"/>
      <c r="K197" s="1115"/>
      <c r="M197" s="268">
        <f>I197/31*(32-3)</f>
        <v>2691806.19354839</v>
      </c>
      <c r="N197" s="268"/>
    </row>
    <row r="198" s="245" customFormat="1">
      <c r="B198" s="258">
        <f t="shared" si="3"/>
        <v>11</v>
      </c>
      <c r="C198" s="259"/>
      <c r="D198" s="258" t="s">
        <v>718</v>
      </c>
      <c r="E198" s="260">
        <v>43894</v>
      </c>
      <c r="F198" s="261"/>
      <c r="G198" s="260" t="s">
        <v>435</v>
      </c>
      <c r="H198" s="261" t="s">
        <v>63</v>
      </c>
      <c r="I198" s="267">
        <v>2877448</v>
      </c>
      <c r="J198" s="258"/>
      <c r="K198" s="1115"/>
      <c r="M198" s="268">
        <f>I198/31*(32-4)</f>
        <v>2598985.29032258</v>
      </c>
      <c r="N198" s="268"/>
    </row>
    <row r="199" s="245" customFormat="1">
      <c r="B199" s="258">
        <f t="shared" si="3"/>
        <v>12</v>
      </c>
      <c r="C199" s="259"/>
      <c r="D199" s="258" t="s">
        <v>344</v>
      </c>
      <c r="E199" s="260">
        <v>43894</v>
      </c>
      <c r="F199" s="261"/>
      <c r="G199" s="260" t="s">
        <v>435</v>
      </c>
      <c r="H199" s="261" t="s">
        <v>63</v>
      </c>
      <c r="I199" s="267">
        <v>2877448</v>
      </c>
      <c r="J199" s="258"/>
      <c r="K199" s="1115"/>
      <c r="M199" s="268">
        <f>I199/31*(32-4)</f>
        <v>2598985.29032258</v>
      </c>
      <c r="N199" s="268"/>
    </row>
    <row r="200" s="245" customFormat="1">
      <c r="B200" s="258">
        <f t="shared" si="3"/>
        <v>13</v>
      </c>
      <c r="C200" s="259"/>
      <c r="D200" s="258" t="s">
        <v>346</v>
      </c>
      <c r="E200" s="260">
        <v>43894</v>
      </c>
      <c r="F200" s="261"/>
      <c r="G200" s="260" t="s">
        <v>435</v>
      </c>
      <c r="H200" s="261" t="s">
        <v>63</v>
      </c>
      <c r="I200" s="267">
        <v>2877448</v>
      </c>
      <c r="J200" s="258"/>
      <c r="K200" s="1115"/>
      <c r="M200" s="268">
        <f>I200/31*(32-4)</f>
        <v>2598985.29032258</v>
      </c>
      <c r="N200" s="268"/>
    </row>
    <row r="201" s="245" customFormat="1">
      <c r="B201" s="258">
        <f t="shared" si="3"/>
        <v>14</v>
      </c>
      <c r="C201" s="259"/>
      <c r="D201" s="258" t="s">
        <v>348</v>
      </c>
      <c r="E201" s="260">
        <v>43897</v>
      </c>
      <c r="F201" s="261"/>
      <c r="G201" s="260" t="s">
        <v>435</v>
      </c>
      <c r="H201" s="261" t="s">
        <v>63</v>
      </c>
      <c r="I201" s="267">
        <v>2877448</v>
      </c>
      <c r="J201" s="258"/>
      <c r="K201" s="1115"/>
      <c r="M201" s="268">
        <f>I201/31*(32-7)</f>
        <v>2320522.58064516</v>
      </c>
      <c r="N201" s="268"/>
    </row>
    <row r="202" s="245" customFormat="1">
      <c r="B202" s="258">
        <f t="shared" si="3"/>
        <v>15</v>
      </c>
      <c r="C202" s="259"/>
      <c r="D202" s="258" t="s">
        <v>719</v>
      </c>
      <c r="E202" s="260">
        <v>43897</v>
      </c>
      <c r="F202" s="261"/>
      <c r="G202" s="260" t="s">
        <v>435</v>
      </c>
      <c r="H202" s="261" t="s">
        <v>63</v>
      </c>
      <c r="I202" s="267">
        <v>2877448</v>
      </c>
      <c r="J202" s="258"/>
      <c r="K202" s="1115"/>
      <c r="M202" s="268">
        <f>I202/31*(32-7)</f>
        <v>2320522.58064516</v>
      </c>
      <c r="N202" s="268"/>
    </row>
    <row r="203" s="245" customFormat="1">
      <c r="B203" s="258">
        <f t="shared" si="3"/>
        <v>16</v>
      </c>
      <c r="C203" s="259"/>
      <c r="D203" s="258" t="s">
        <v>350</v>
      </c>
      <c r="E203" s="260">
        <v>43898</v>
      </c>
      <c r="F203" s="261"/>
      <c r="G203" s="260" t="s">
        <v>435</v>
      </c>
      <c r="H203" s="261" t="s">
        <v>63</v>
      </c>
      <c r="I203" s="267">
        <v>2877448</v>
      </c>
      <c r="J203" s="258"/>
      <c r="K203" s="1115"/>
      <c r="M203" s="268">
        <f>I203/31*(32-8)</f>
        <v>2227701.67741936</v>
      </c>
      <c r="N203" s="268"/>
    </row>
    <row r="204" s="245" customFormat="1">
      <c r="B204" s="258">
        <f t="shared" si="3"/>
        <v>17</v>
      </c>
      <c r="C204" s="259"/>
      <c r="D204" s="258" t="s">
        <v>720</v>
      </c>
      <c r="E204" s="260">
        <v>43881</v>
      </c>
      <c r="F204" s="261"/>
      <c r="G204" s="260" t="s">
        <v>435</v>
      </c>
      <c r="H204" s="261" t="s">
        <v>63</v>
      </c>
      <c r="I204" s="267">
        <v>2877448</v>
      </c>
      <c r="J204" s="258" t="s">
        <v>721</v>
      </c>
      <c r="K204" s="1115"/>
      <c r="M204" s="268">
        <f>I204/29*(30-20)</f>
        <v>992223.448275862</v>
      </c>
      <c r="N204" s="268"/>
    </row>
    <row r="205" s="245" customFormat="1">
      <c r="B205" s="258">
        <f t="shared" si="3"/>
        <v>18</v>
      </c>
      <c r="C205" s="259"/>
      <c r="D205" s="258" t="s">
        <v>15</v>
      </c>
      <c r="E205" s="260"/>
      <c r="F205" s="261">
        <v>43874</v>
      </c>
      <c r="G205" s="260" t="s">
        <v>62</v>
      </c>
      <c r="H205" s="261" t="s">
        <v>63</v>
      </c>
      <c r="I205" s="267">
        <v>2515000</v>
      </c>
      <c r="J205" s="258" t="s">
        <v>722</v>
      </c>
      <c r="K205" s="1115"/>
      <c r="M205" s="268"/>
      <c r="N205" s="268"/>
    </row>
    <row r="206" s="245" customFormat="1">
      <c r="B206" s="258">
        <f t="shared" si="3"/>
        <v>19</v>
      </c>
      <c r="C206" s="259"/>
      <c r="D206" s="258" t="s">
        <v>723</v>
      </c>
      <c r="E206" s="260">
        <v>43885</v>
      </c>
      <c r="F206" s="261"/>
      <c r="G206" s="260" t="s">
        <v>62</v>
      </c>
      <c r="H206" s="261" t="s">
        <v>63</v>
      </c>
      <c r="I206" s="267">
        <v>2515000</v>
      </c>
      <c r="J206" s="258"/>
      <c r="K206" s="1115"/>
      <c r="M206" s="268">
        <f>I206/29*(30-24)</f>
        <v>520344.827586207</v>
      </c>
      <c r="N206" s="268"/>
    </row>
    <row r="207" s="245" customFormat="1">
      <c r="B207" s="258">
        <f t="shared" si="3"/>
        <v>20</v>
      </c>
      <c r="C207" s="259"/>
      <c r="D207" s="258" t="s">
        <v>724</v>
      </c>
      <c r="E207" s="260">
        <v>43887</v>
      </c>
      <c r="F207" s="261"/>
      <c r="G207" s="260" t="s">
        <v>62</v>
      </c>
      <c r="H207" s="261" t="s">
        <v>63</v>
      </c>
      <c r="I207" s="267">
        <v>2515000</v>
      </c>
      <c r="J207" s="258"/>
      <c r="K207" s="1115"/>
      <c r="M207" s="268">
        <f>I207/29*(30-26)</f>
        <v>346896.551724138</v>
      </c>
      <c r="N207" s="268"/>
    </row>
    <row r="208" s="245" customFormat="1">
      <c r="B208" s="258">
        <f t="shared" si="3"/>
        <v>21</v>
      </c>
      <c r="C208" s="259"/>
      <c r="D208" s="258" t="s">
        <v>725</v>
      </c>
      <c r="E208" s="260">
        <v>43887</v>
      </c>
      <c r="F208" s="261"/>
      <c r="G208" s="260" t="s">
        <v>62</v>
      </c>
      <c r="H208" s="261" t="s">
        <v>63</v>
      </c>
      <c r="I208" s="267">
        <v>2515000</v>
      </c>
      <c r="J208" s="258"/>
      <c r="K208" s="1115"/>
      <c r="M208" s="268">
        <f>I208/29*(30-26)</f>
        <v>346896.551724138</v>
      </c>
      <c r="N208" s="268"/>
    </row>
    <row r="209" s="245" customFormat="1">
      <c r="B209" s="258">
        <f t="shared" si="3"/>
        <v>22</v>
      </c>
      <c r="C209" s="259"/>
      <c r="D209" s="258" t="s">
        <v>223</v>
      </c>
      <c r="E209" s="260">
        <v>43892</v>
      </c>
      <c r="F209" s="261"/>
      <c r="G209" s="260" t="s">
        <v>62</v>
      </c>
      <c r="H209" s="261" t="s">
        <v>63</v>
      </c>
      <c r="I209" s="267">
        <v>2515000</v>
      </c>
      <c r="J209" s="258"/>
      <c r="K209" s="1115"/>
      <c r="M209" s="268">
        <f>I209/31*(32-2)</f>
        <v>2433870.96774194</v>
      </c>
      <c r="N209" s="268"/>
    </row>
    <row r="210" s="245" customFormat="1">
      <c r="B210" s="258">
        <f t="shared" si="3"/>
        <v>23</v>
      </c>
      <c r="C210" s="259"/>
      <c r="D210" s="258" t="s">
        <v>726</v>
      </c>
      <c r="E210" s="260"/>
      <c r="F210" s="261">
        <v>43885</v>
      </c>
      <c r="G210" s="260" t="s">
        <v>62</v>
      </c>
      <c r="H210" s="261" t="s">
        <v>63</v>
      </c>
      <c r="I210" s="267">
        <v>2515000</v>
      </c>
      <c r="J210" s="258"/>
      <c r="K210" s="1115"/>
      <c r="M210" s="268"/>
      <c r="N210" s="268">
        <f>I210/29*24</f>
        <v>2081379.31034483</v>
      </c>
    </row>
    <row r="211" s="245" customFormat="1">
      <c r="B211" s="258">
        <f t="shared" si="3"/>
        <v>24</v>
      </c>
      <c r="C211" s="259"/>
      <c r="D211" s="258" t="s">
        <v>727</v>
      </c>
      <c r="E211" s="260"/>
      <c r="F211" s="261">
        <v>43894</v>
      </c>
      <c r="G211" s="260" t="s">
        <v>62</v>
      </c>
      <c r="H211" s="261" t="s">
        <v>63</v>
      </c>
      <c r="I211" s="267">
        <v>2515000</v>
      </c>
      <c r="J211" s="258"/>
      <c r="K211" s="1115"/>
      <c r="M211" s="268"/>
      <c r="N211" s="268">
        <f>I211/31*4</f>
        <v>324516.129032258</v>
      </c>
    </row>
    <row r="212" s="245" customFormat="1">
      <c r="B212" s="258">
        <f t="shared" si="3"/>
        <v>25</v>
      </c>
      <c r="C212" s="259"/>
      <c r="D212" s="258" t="s">
        <v>728</v>
      </c>
      <c r="E212" s="260"/>
      <c r="F212" s="261">
        <v>43890</v>
      </c>
      <c r="G212" s="260" t="s">
        <v>573</v>
      </c>
      <c r="H212" s="261" t="s">
        <v>421</v>
      </c>
      <c r="I212" s="267">
        <v>4276349</v>
      </c>
      <c r="J212" s="258"/>
      <c r="K212" s="1115"/>
      <c r="M212" s="268"/>
      <c r="N212" s="268"/>
    </row>
    <row r="213" s="245" customFormat="1">
      <c r="B213" s="258">
        <f t="shared" si="3"/>
        <v>26</v>
      </c>
      <c r="C213" s="259"/>
      <c r="D213" s="258" t="s">
        <v>729</v>
      </c>
      <c r="E213" s="260">
        <v>43904</v>
      </c>
      <c r="F213" s="261"/>
      <c r="G213" s="260" t="s">
        <v>573</v>
      </c>
      <c r="H213" s="261" t="s">
        <v>421</v>
      </c>
      <c r="I213" s="267">
        <v>4276349</v>
      </c>
      <c r="J213" s="258"/>
      <c r="K213" s="1115"/>
      <c r="M213" s="268">
        <f>I213/31*(32-14)</f>
        <v>2483041.35483871</v>
      </c>
      <c r="N213" s="268"/>
    </row>
    <row r="214" s="245" customFormat="1">
      <c r="B214" s="258">
        <f t="shared" si="3"/>
        <v>27</v>
      </c>
      <c r="C214" s="259"/>
      <c r="D214" s="258" t="s">
        <v>730</v>
      </c>
      <c r="E214" s="260">
        <v>43878</v>
      </c>
      <c r="F214" s="261">
        <v>43893</v>
      </c>
      <c r="G214" s="260" t="s">
        <v>664</v>
      </c>
      <c r="H214" s="261" t="s">
        <v>421</v>
      </c>
      <c r="I214" s="267">
        <v>4276349</v>
      </c>
      <c r="J214" s="258"/>
      <c r="K214" s="1115"/>
      <c r="M214" s="268">
        <f>I214/29*9</f>
        <v>1327142.79310345</v>
      </c>
      <c r="N214" s="268"/>
    </row>
    <row r="215" s="245" customFormat="1">
      <c r="B215" s="258">
        <f t="shared" si="3"/>
        <v>28</v>
      </c>
      <c r="C215" s="259"/>
      <c r="D215" s="258" t="s">
        <v>731</v>
      </c>
      <c r="E215" s="260"/>
      <c r="F215" s="260">
        <v>43895</v>
      </c>
      <c r="G215" s="260" t="s">
        <v>732</v>
      </c>
      <c r="H215" s="261" t="s">
        <v>733</v>
      </c>
      <c r="I215" s="267">
        <v>4276349</v>
      </c>
      <c r="J215" s="258"/>
      <c r="K215" s="1115"/>
      <c r="M215" s="268"/>
      <c r="N215" s="268"/>
    </row>
    <row r="216" s="245" customFormat="1">
      <c r="B216" s="258">
        <f t="shared" si="3"/>
        <v>29</v>
      </c>
      <c r="C216" s="259"/>
      <c r="D216" s="258" t="s">
        <v>734</v>
      </c>
      <c r="E216" s="260">
        <v>43892</v>
      </c>
      <c r="F216" s="261"/>
      <c r="G216" s="260" t="s">
        <v>735</v>
      </c>
      <c r="H216" s="261" t="s">
        <v>421</v>
      </c>
      <c r="I216" s="267">
        <v>3191572.077</v>
      </c>
      <c r="J216" s="258"/>
      <c r="K216" s="1115"/>
      <c r="M216" s="268">
        <f>I216/31*(32-2)</f>
        <v>3088618.13903226</v>
      </c>
      <c r="N216" s="268"/>
    </row>
    <row r="217" s="245" customFormat="1">
      <c r="B217" s="258">
        <f t="shared" si="3"/>
        <v>30</v>
      </c>
      <c r="C217" s="259"/>
      <c r="D217" s="258" t="s">
        <v>736</v>
      </c>
      <c r="E217" s="260">
        <v>43885</v>
      </c>
      <c r="F217" s="261"/>
      <c r="G217" s="260" t="s">
        <v>737</v>
      </c>
      <c r="H217" s="261" t="s">
        <v>63</v>
      </c>
      <c r="I217" s="267">
        <v>2788826</v>
      </c>
      <c r="J217" s="258"/>
      <c r="K217" s="1115"/>
      <c r="M217" s="268">
        <f>I217/29*(30-24)</f>
        <v>576998.482758621</v>
      </c>
      <c r="N217" s="268"/>
    </row>
    <row r="218" s="245" customFormat="1">
      <c r="B218" s="258">
        <f t="shared" si="3"/>
        <v>31</v>
      </c>
      <c r="C218" s="259"/>
      <c r="D218" s="258" t="s">
        <v>738</v>
      </c>
      <c r="E218" s="260">
        <v>43885</v>
      </c>
      <c r="F218" s="261"/>
      <c r="G218" s="260" t="s">
        <v>737</v>
      </c>
      <c r="H218" s="261" t="s">
        <v>63</v>
      </c>
      <c r="I218" s="267">
        <v>2788826</v>
      </c>
      <c r="J218" s="258"/>
      <c r="K218" s="1115"/>
      <c r="M218" s="268">
        <f>I218/29*(30-24)</f>
        <v>576998.482758621</v>
      </c>
      <c r="N218" s="268"/>
    </row>
    <row r="219" s="245" customFormat="1">
      <c r="B219" s="258">
        <f t="shared" si="3"/>
        <v>32</v>
      </c>
      <c r="C219" s="259"/>
      <c r="D219" s="258" t="s">
        <v>739</v>
      </c>
      <c r="E219" s="260">
        <v>43885</v>
      </c>
      <c r="F219" s="261"/>
      <c r="G219" s="260" t="s">
        <v>737</v>
      </c>
      <c r="H219" s="261" t="s">
        <v>63</v>
      </c>
      <c r="I219" s="267">
        <v>2788826</v>
      </c>
      <c r="J219" s="258"/>
      <c r="K219" s="1115"/>
      <c r="M219" s="268">
        <f>I219/29*(30-24)</f>
        <v>576998.482758621</v>
      </c>
      <c r="N219" s="268"/>
    </row>
    <row r="220" ht="21" s="245" customFormat="1">
      <c r="B220" s="258">
        <f t="shared" si="3"/>
        <v>33</v>
      </c>
      <c r="C220" s="259"/>
      <c r="D220" s="273" t="s">
        <v>740</v>
      </c>
      <c r="E220" s="260">
        <v>43897</v>
      </c>
      <c r="F220" s="261"/>
      <c r="G220" s="260" t="s">
        <v>573</v>
      </c>
      <c r="H220" s="261" t="s">
        <v>421</v>
      </c>
      <c r="I220" s="267">
        <v>4276349</v>
      </c>
      <c r="J220" s="258"/>
      <c r="K220" s="1115"/>
      <c r="M220" s="268">
        <f>I220/31*(32-7)</f>
        <v>3448668.5483871</v>
      </c>
      <c r="N220" s="268"/>
    </row>
    <row r="221" s="246" customFormat="1">
      <c r="B221" s="262"/>
      <c r="C221" s="263"/>
      <c r="D221" s="262"/>
      <c r="E221" s="264"/>
      <c r="F221" s="265"/>
      <c r="G221" s="264"/>
      <c r="H221" s="265"/>
      <c r="I221" s="269"/>
      <c r="J221" s="262"/>
      <c r="K221" s="274"/>
      <c r="M221" s="271"/>
      <c r="N221" s="271"/>
    </row>
    <row r="222" ht="18.75" customHeight="1" s="245" customFormat="1">
      <c r="B222" s="258">
        <f t="shared" si="3"/>
        <v>1</v>
      </c>
      <c r="C222" s="259"/>
      <c r="D222" s="258" t="s">
        <v>741</v>
      </c>
      <c r="E222" s="260">
        <v>43915</v>
      </c>
      <c r="F222" s="261"/>
      <c r="G222" s="260" t="s">
        <v>435</v>
      </c>
      <c r="H222" s="261" t="s">
        <v>63</v>
      </c>
      <c r="I222" s="267">
        <v>2877448</v>
      </c>
      <c r="J222" s="258"/>
      <c r="K222" s="1117" t="s">
        <v>742</v>
      </c>
      <c r="M222" s="268"/>
      <c r="N222" s="268"/>
    </row>
    <row r="223" s="245" customFormat="1">
      <c r="B223" s="258">
        <f t="shared" si="3"/>
        <v>2</v>
      </c>
      <c r="C223" s="259"/>
      <c r="D223" s="258" t="s">
        <v>743</v>
      </c>
      <c r="E223" s="260">
        <v>43922</v>
      </c>
      <c r="F223" s="261"/>
      <c r="G223" s="260" t="s">
        <v>435</v>
      </c>
      <c r="H223" s="261" t="s">
        <v>63</v>
      </c>
      <c r="I223" s="267">
        <v>2877448</v>
      </c>
      <c r="J223" s="258"/>
      <c r="K223" s="1117"/>
      <c r="M223" s="268"/>
      <c r="N223" s="268"/>
    </row>
    <row r="224" s="245" customFormat="1">
      <c r="B224" s="258">
        <f t="shared" si="3"/>
        <v>3</v>
      </c>
      <c r="C224" s="259"/>
      <c r="D224" s="258" t="s">
        <v>744</v>
      </c>
      <c r="E224" s="260">
        <v>43923</v>
      </c>
      <c r="F224" s="261"/>
      <c r="G224" s="260" t="s">
        <v>435</v>
      </c>
      <c r="H224" s="261" t="s">
        <v>63</v>
      </c>
      <c r="I224" s="267">
        <v>2877448</v>
      </c>
      <c r="J224" s="258"/>
      <c r="K224" s="1117"/>
      <c r="M224" s="268"/>
      <c r="N224" s="268"/>
    </row>
    <row r="225" s="245" customFormat="1">
      <c r="B225" s="258">
        <f t="shared" si="3"/>
        <v>4</v>
      </c>
      <c r="C225" s="259"/>
      <c r="D225" s="258" t="s">
        <v>352</v>
      </c>
      <c r="E225" s="260">
        <v>43927</v>
      </c>
      <c r="F225" s="261"/>
      <c r="G225" s="260" t="s">
        <v>435</v>
      </c>
      <c r="H225" s="261" t="s">
        <v>63</v>
      </c>
      <c r="I225" s="267">
        <v>2877448</v>
      </c>
      <c r="J225" s="258"/>
      <c r="K225" s="1117"/>
      <c r="M225" s="268"/>
      <c r="N225" s="268"/>
    </row>
    <row r="226" s="245" customFormat="1">
      <c r="B226" s="258">
        <f t="shared" si="3"/>
        <v>5</v>
      </c>
      <c r="C226" s="259"/>
      <c r="D226" s="258" t="s">
        <v>745</v>
      </c>
      <c r="E226" s="260">
        <v>43931</v>
      </c>
      <c r="F226" s="261"/>
      <c r="G226" s="260" t="s">
        <v>62</v>
      </c>
      <c r="H226" s="261" t="s">
        <v>63</v>
      </c>
      <c r="I226" s="267">
        <v>2515000</v>
      </c>
      <c r="J226" s="258"/>
      <c r="K226" s="1117"/>
      <c r="M226" s="268"/>
      <c r="N226" s="268"/>
    </row>
    <row r="227" s="245" customFormat="1">
      <c r="B227" s="258">
        <f t="shared" si="3"/>
        <v>6</v>
      </c>
      <c r="C227" s="259"/>
      <c r="D227" s="258" t="s">
        <v>746</v>
      </c>
      <c r="E227" s="260">
        <v>43931</v>
      </c>
      <c r="F227" s="261"/>
      <c r="G227" s="260" t="s">
        <v>62</v>
      </c>
      <c r="H227" s="261" t="s">
        <v>63</v>
      </c>
      <c r="I227" s="267">
        <v>2515000</v>
      </c>
      <c r="J227" s="258"/>
      <c r="K227" s="1117"/>
      <c r="M227" s="268"/>
      <c r="N227" s="268"/>
    </row>
    <row r="228" s="245" customFormat="1">
      <c r="B228" s="258">
        <f t="shared" si="3"/>
        <v>7</v>
      </c>
      <c r="C228" s="259"/>
      <c r="D228" s="258" t="s">
        <v>747</v>
      </c>
      <c r="E228" s="260">
        <v>43931</v>
      </c>
      <c r="F228" s="261"/>
      <c r="G228" s="260" t="s">
        <v>62</v>
      </c>
      <c r="H228" s="261" t="s">
        <v>63</v>
      </c>
      <c r="I228" s="267">
        <v>2515000</v>
      </c>
      <c r="J228" s="258"/>
      <c r="K228" s="1117"/>
      <c r="M228" s="268"/>
      <c r="N228" s="268"/>
    </row>
    <row r="229" s="245" customFormat="1">
      <c r="B229" s="258">
        <f t="shared" si="3"/>
        <v>8</v>
      </c>
      <c r="C229" s="259"/>
      <c r="D229" s="258" t="s">
        <v>748</v>
      </c>
      <c r="E229" s="260">
        <v>43932</v>
      </c>
      <c r="F229" s="261"/>
      <c r="G229" s="260" t="s">
        <v>62</v>
      </c>
      <c r="H229" s="261" t="s">
        <v>63</v>
      </c>
      <c r="I229" s="267">
        <v>2515000</v>
      </c>
      <c r="J229" s="258"/>
      <c r="K229" s="1117"/>
      <c r="M229" s="268"/>
      <c r="N229" s="268"/>
    </row>
    <row r="230" s="245" customFormat="1">
      <c r="B230" s="258">
        <f t="shared" si="3"/>
        <v>9</v>
      </c>
      <c r="C230" s="259"/>
      <c r="D230" s="258" t="s">
        <v>86</v>
      </c>
      <c r="E230" s="260">
        <v>43932</v>
      </c>
      <c r="F230" s="261"/>
      <c r="G230" s="260" t="s">
        <v>62</v>
      </c>
      <c r="H230" s="261" t="s">
        <v>63</v>
      </c>
      <c r="I230" s="267">
        <v>2515000</v>
      </c>
      <c r="J230" s="258"/>
      <c r="K230" s="1117"/>
      <c r="M230" s="268"/>
      <c r="N230" s="268"/>
    </row>
    <row r="231" s="245" customFormat="1">
      <c r="B231" s="258">
        <f t="shared" si="3"/>
        <v>10</v>
      </c>
      <c r="C231" s="259"/>
      <c r="D231" s="258" t="s">
        <v>749</v>
      </c>
      <c r="E231" s="260">
        <v>43933</v>
      </c>
      <c r="F231" s="261"/>
      <c r="G231" s="260" t="s">
        <v>62</v>
      </c>
      <c r="H231" s="261" t="s">
        <v>63</v>
      </c>
      <c r="I231" s="267">
        <v>2515000</v>
      </c>
      <c r="J231" s="258"/>
      <c r="K231" s="1117"/>
      <c r="M231" s="268"/>
      <c r="N231" s="268"/>
    </row>
    <row r="232" s="245" customFormat="1">
      <c r="B232" s="258">
        <f t="shared" si="3"/>
        <v>11</v>
      </c>
      <c r="C232" s="259"/>
      <c r="D232" s="258" t="s">
        <v>724</v>
      </c>
      <c r="E232" s="260"/>
      <c r="F232" s="260">
        <v>43903</v>
      </c>
      <c r="G232" s="260" t="s">
        <v>62</v>
      </c>
      <c r="H232" s="261" t="s">
        <v>63</v>
      </c>
      <c r="I232" s="267">
        <v>2515000</v>
      </c>
      <c r="J232" s="258"/>
      <c r="K232" s="1117"/>
      <c r="M232" s="268"/>
      <c r="N232" s="268"/>
    </row>
    <row r="233" s="245" customFormat="1">
      <c r="B233" s="258">
        <f t="shared" si="3"/>
        <v>12</v>
      </c>
      <c r="C233" s="259"/>
      <c r="D233" s="258" t="s">
        <v>750</v>
      </c>
      <c r="E233" s="260">
        <v>43921</v>
      </c>
      <c r="F233" s="261"/>
      <c r="G233" s="260" t="s">
        <v>573</v>
      </c>
      <c r="H233" s="261" t="s">
        <v>421</v>
      </c>
      <c r="I233" s="267">
        <v>4276349</v>
      </c>
      <c r="J233" s="258"/>
      <c r="K233" s="1117"/>
      <c r="M233" s="268"/>
      <c r="N233" s="268"/>
    </row>
    <row r="234" s="245" customFormat="1">
      <c r="B234" s="258">
        <f t="shared" si="3"/>
        <v>13</v>
      </c>
      <c r="C234" s="259"/>
      <c r="D234" s="258" t="s">
        <v>751</v>
      </c>
      <c r="E234" s="260">
        <v>43923</v>
      </c>
      <c r="F234" s="261"/>
      <c r="G234" s="260" t="s">
        <v>602</v>
      </c>
      <c r="H234" s="261" t="s">
        <v>63</v>
      </c>
      <c r="I234" s="267">
        <v>3310723</v>
      </c>
      <c r="J234" s="258"/>
      <c r="K234" s="1117"/>
      <c r="M234" s="268"/>
      <c r="N234" s="268"/>
    </row>
    <row r="235" s="245" customFormat="1">
      <c r="B235" s="258">
        <f t="shared" si="3"/>
        <v>14</v>
      </c>
      <c r="C235" s="259"/>
      <c r="D235" s="258" t="s">
        <v>752</v>
      </c>
      <c r="E235" s="260"/>
      <c r="F235" s="260">
        <v>43921</v>
      </c>
      <c r="G235" s="260" t="s">
        <v>602</v>
      </c>
      <c r="H235" s="261" t="s">
        <v>63</v>
      </c>
      <c r="I235" s="267">
        <v>3310723</v>
      </c>
      <c r="J235" s="258"/>
      <c r="K235" s="1117"/>
      <c r="M235" s="268"/>
      <c r="N235" s="268"/>
    </row>
    <row r="236" s="246" customFormat="1">
      <c r="B236" s="262"/>
      <c r="C236" s="263"/>
      <c r="D236" s="262"/>
      <c r="E236" s="264"/>
      <c r="F236" s="265"/>
      <c r="G236" s="264"/>
      <c r="H236" s="265"/>
      <c r="I236" s="269"/>
      <c r="J236" s="262"/>
      <c r="K236" s="275"/>
      <c r="M236" s="271"/>
      <c r="N236" s="271"/>
    </row>
    <row r="237" ht="18.75" customHeight="1" s="245" customFormat="1">
      <c r="B237" s="258">
        <v>1</v>
      </c>
      <c r="C237" s="259"/>
      <c r="D237" s="258" t="s">
        <v>753</v>
      </c>
      <c r="E237" s="260"/>
      <c r="F237" s="261">
        <v>43933</v>
      </c>
      <c r="G237" s="260" t="s">
        <v>435</v>
      </c>
      <c r="H237" s="261" t="s">
        <v>63</v>
      </c>
      <c r="I237" s="267">
        <v>2877448</v>
      </c>
      <c r="J237" s="258"/>
      <c r="K237" s="1117" t="s">
        <v>754</v>
      </c>
      <c r="M237" s="268"/>
      <c r="N237" s="268"/>
    </row>
    <row r="238" s="245" customFormat="1">
      <c r="B238" s="258">
        <v>2</v>
      </c>
      <c r="C238" s="259"/>
      <c r="D238" s="258" t="s">
        <v>755</v>
      </c>
      <c r="E238" s="260">
        <v>43949</v>
      </c>
      <c r="F238" s="261"/>
      <c r="G238" s="260" t="s">
        <v>435</v>
      </c>
      <c r="H238" s="261" t="s">
        <v>63</v>
      </c>
      <c r="I238" s="267">
        <v>2877448</v>
      </c>
      <c r="J238" s="258"/>
      <c r="K238" s="1117"/>
      <c r="M238" s="268"/>
      <c r="N238" s="268"/>
    </row>
    <row r="239" s="245" customFormat="1">
      <c r="B239" s="258">
        <v>3</v>
      </c>
      <c r="C239" s="259"/>
      <c r="D239" s="258" t="s">
        <v>567</v>
      </c>
      <c r="E239" s="260"/>
      <c r="F239" s="261">
        <v>43957</v>
      </c>
      <c r="G239" s="260" t="s">
        <v>62</v>
      </c>
      <c r="H239" s="261" t="s">
        <v>63</v>
      </c>
      <c r="I239" s="267">
        <v>2515000</v>
      </c>
      <c r="J239" s="258"/>
      <c r="K239" s="1117"/>
      <c r="M239" s="268"/>
      <c r="N239" s="268"/>
    </row>
    <row r="240" s="245" customFormat="1">
      <c r="B240" s="258">
        <v>4</v>
      </c>
      <c r="C240" s="259"/>
      <c r="D240" s="258" t="s">
        <v>564</v>
      </c>
      <c r="E240" s="260"/>
      <c r="F240" s="261">
        <v>43945</v>
      </c>
      <c r="G240" s="260" t="s">
        <v>62</v>
      </c>
      <c r="H240" s="261" t="s">
        <v>63</v>
      </c>
      <c r="I240" s="267">
        <v>2515000</v>
      </c>
      <c r="J240" s="258"/>
      <c r="K240" s="1117"/>
      <c r="M240" s="268"/>
      <c r="N240" s="268"/>
    </row>
    <row r="241" s="245" customFormat="1">
      <c r="B241" s="258">
        <v>5</v>
      </c>
      <c r="C241" s="259"/>
      <c r="D241" s="258" t="s">
        <v>724</v>
      </c>
      <c r="E241" s="260"/>
      <c r="F241" s="261">
        <v>43933</v>
      </c>
      <c r="G241" s="260" t="s">
        <v>62</v>
      </c>
      <c r="H241" s="261" t="s">
        <v>63</v>
      </c>
      <c r="I241" s="267">
        <v>2515000</v>
      </c>
      <c r="J241" s="258"/>
      <c r="K241" s="1117"/>
      <c r="M241" s="268"/>
      <c r="N241" s="268"/>
    </row>
    <row r="242" s="245" customFormat="1">
      <c r="B242" s="258">
        <v>6</v>
      </c>
      <c r="C242" s="259"/>
      <c r="D242" s="258" t="s">
        <v>756</v>
      </c>
      <c r="E242" s="260">
        <v>43938</v>
      </c>
      <c r="F242" s="261"/>
      <c r="G242" s="260" t="s">
        <v>62</v>
      </c>
      <c r="H242" s="261" t="s">
        <v>63</v>
      </c>
      <c r="I242" s="267">
        <v>2515000</v>
      </c>
      <c r="J242" s="258"/>
      <c r="K242" s="1117"/>
      <c r="M242" s="268"/>
      <c r="N242" s="268"/>
    </row>
    <row r="243" s="245" customFormat="1">
      <c r="B243" s="258">
        <v>7</v>
      </c>
      <c r="C243" s="259"/>
      <c r="D243" s="258" t="s">
        <v>757</v>
      </c>
      <c r="E243" s="260">
        <v>43957</v>
      </c>
      <c r="F243" s="261"/>
      <c r="G243" s="260" t="s">
        <v>62</v>
      </c>
      <c r="H243" s="261" t="s">
        <v>63</v>
      </c>
      <c r="I243" s="267">
        <v>2515000</v>
      </c>
      <c r="J243" s="258"/>
      <c r="K243" s="1117"/>
      <c r="M243" s="268"/>
      <c r="N243" s="268"/>
    </row>
    <row r="244" s="245" customFormat="1">
      <c r="B244" s="258">
        <v>8</v>
      </c>
      <c r="C244" s="259"/>
      <c r="D244" s="258" t="s">
        <v>586</v>
      </c>
      <c r="E244" s="260">
        <v>43945</v>
      </c>
      <c r="F244" s="261"/>
      <c r="G244" s="260" t="s">
        <v>62</v>
      </c>
      <c r="H244" s="261" t="s">
        <v>63</v>
      </c>
      <c r="I244" s="267">
        <v>2515000</v>
      </c>
      <c r="J244" s="258"/>
      <c r="K244" s="1117"/>
      <c r="M244" s="268"/>
      <c r="N244" s="268"/>
    </row>
    <row r="245" s="245" customFormat="1">
      <c r="B245" s="258">
        <v>9</v>
      </c>
      <c r="C245" s="259"/>
      <c r="D245" s="258" t="s">
        <v>225</v>
      </c>
      <c r="E245" s="260">
        <v>43963</v>
      </c>
      <c r="F245" s="261"/>
      <c r="G245" s="260" t="s">
        <v>62</v>
      </c>
      <c r="H245" s="261" t="s">
        <v>63</v>
      </c>
      <c r="I245" s="267">
        <v>2515000</v>
      </c>
      <c r="J245" s="258"/>
      <c r="K245" s="1117"/>
      <c r="M245" s="268"/>
      <c r="N245" s="268"/>
    </row>
    <row r="246" s="245" customFormat="1">
      <c r="B246" s="258">
        <v>10</v>
      </c>
      <c r="C246" s="259"/>
      <c r="D246" s="258" t="s">
        <v>758</v>
      </c>
      <c r="E246" s="260">
        <v>43950</v>
      </c>
      <c r="F246" s="261"/>
      <c r="G246" s="260" t="s">
        <v>573</v>
      </c>
      <c r="H246" s="261" t="s">
        <v>421</v>
      </c>
      <c r="I246" s="267">
        <v>4276349</v>
      </c>
      <c r="J246" s="258"/>
      <c r="K246" s="1117"/>
      <c r="M246" s="268"/>
      <c r="N246" s="268"/>
    </row>
    <row r="247" s="245" customFormat="1">
      <c r="B247" s="258">
        <v>11</v>
      </c>
      <c r="C247" s="259"/>
      <c r="D247" s="258" t="s">
        <v>759</v>
      </c>
      <c r="E247" s="260">
        <v>43951</v>
      </c>
      <c r="F247" s="261"/>
      <c r="G247" s="260" t="s">
        <v>573</v>
      </c>
      <c r="H247" s="261" t="s">
        <v>421</v>
      </c>
      <c r="I247" s="267">
        <v>4276349</v>
      </c>
      <c r="J247" s="258"/>
      <c r="K247" s="1117"/>
      <c r="M247" s="268"/>
      <c r="N247" s="268"/>
    </row>
    <row r="248" s="245" customFormat="1">
      <c r="B248" s="258">
        <v>12</v>
      </c>
      <c r="C248" s="259"/>
      <c r="D248" s="258" t="s">
        <v>760</v>
      </c>
      <c r="E248" s="260">
        <v>43941</v>
      </c>
      <c r="F248" s="261"/>
      <c r="G248" s="260" t="s">
        <v>573</v>
      </c>
      <c r="H248" s="261" t="s">
        <v>421</v>
      </c>
      <c r="I248" s="267">
        <v>4276349</v>
      </c>
      <c r="J248" s="258" t="s">
        <v>761</v>
      </c>
      <c r="K248" s="1117"/>
      <c r="M248" s="268"/>
      <c r="N248" s="268"/>
    </row>
    <row r="249" s="245" customFormat="1">
      <c r="B249" s="258">
        <v>13</v>
      </c>
      <c r="C249" s="259"/>
      <c r="D249" s="258" t="s">
        <v>762</v>
      </c>
      <c r="E249" s="260">
        <v>43956</v>
      </c>
      <c r="F249" s="261"/>
      <c r="G249" s="260" t="s">
        <v>589</v>
      </c>
      <c r="H249" s="261" t="s">
        <v>421</v>
      </c>
      <c r="I249" s="267">
        <v>4276349</v>
      </c>
      <c r="J249" s="258"/>
      <c r="K249" s="1117"/>
      <c r="M249" s="268"/>
      <c r="N249" s="268"/>
    </row>
    <row r="250" s="245" customFormat="1">
      <c r="B250" s="258">
        <v>14</v>
      </c>
      <c r="C250" s="259"/>
      <c r="D250" s="258" t="s">
        <v>763</v>
      </c>
      <c r="E250" s="260">
        <v>43950</v>
      </c>
      <c r="F250" s="261"/>
      <c r="G250" s="260" t="s">
        <v>589</v>
      </c>
      <c r="H250" s="261" t="s">
        <v>421</v>
      </c>
      <c r="I250" s="267">
        <v>4276349</v>
      </c>
      <c r="J250" s="258"/>
      <c r="K250" s="1117"/>
      <c r="M250" s="268"/>
      <c r="N250" s="268"/>
    </row>
    <row r="251" s="245" customFormat="1">
      <c r="B251" s="258">
        <v>15</v>
      </c>
      <c r="C251" s="259"/>
      <c r="D251" s="258" t="s">
        <v>764</v>
      </c>
      <c r="E251" s="260">
        <v>43948</v>
      </c>
      <c r="F251" s="261">
        <v>43954</v>
      </c>
      <c r="G251" s="260" t="s">
        <v>589</v>
      </c>
      <c r="H251" s="261" t="s">
        <v>421</v>
      </c>
      <c r="I251" s="267">
        <v>4276349</v>
      </c>
      <c r="J251" s="258"/>
      <c r="K251" s="1117"/>
      <c r="M251" s="268"/>
      <c r="N251" s="268"/>
    </row>
    <row r="252" ht="22.5" customHeight="1" s="245" customFormat="1">
      <c r="B252" s="258">
        <v>16</v>
      </c>
      <c r="C252" s="259"/>
      <c r="D252" s="258" t="s">
        <v>765</v>
      </c>
      <c r="E252" s="260">
        <v>43949</v>
      </c>
      <c r="F252" s="260"/>
      <c r="G252" s="260" t="s">
        <v>766</v>
      </c>
      <c r="H252" s="261" t="s">
        <v>421</v>
      </c>
      <c r="I252" s="267">
        <v>4276349</v>
      </c>
      <c r="J252" s="258"/>
      <c r="K252" s="1117"/>
      <c r="M252" s="268"/>
      <c r="N252" s="268"/>
    </row>
    <row r="253" s="245" customFormat="1">
      <c r="B253" s="258">
        <v>17</v>
      </c>
      <c r="C253" s="259"/>
      <c r="D253" s="258" t="s">
        <v>767</v>
      </c>
      <c r="E253" s="260">
        <v>43949</v>
      </c>
      <c r="F253" s="261"/>
      <c r="G253" s="260" t="s">
        <v>768</v>
      </c>
      <c r="H253" s="261" t="s">
        <v>421</v>
      </c>
      <c r="I253" s="267">
        <v>4276349</v>
      </c>
      <c r="J253" s="258"/>
      <c r="K253" s="1117"/>
      <c r="M253" s="268"/>
      <c r="N253" s="268"/>
    </row>
    <row r="254" s="245" customFormat="1">
      <c r="B254" s="258">
        <v>18</v>
      </c>
      <c r="C254" s="259"/>
      <c r="D254" s="258" t="s">
        <v>769</v>
      </c>
      <c r="E254" s="260">
        <v>43949</v>
      </c>
      <c r="F254" s="261"/>
      <c r="G254" s="260" t="s">
        <v>768</v>
      </c>
      <c r="H254" s="261" t="s">
        <v>421</v>
      </c>
      <c r="I254" s="267">
        <v>4276349</v>
      </c>
      <c r="J254" s="258"/>
      <c r="K254" s="1117"/>
      <c r="M254" s="268"/>
      <c r="N254" s="268"/>
    </row>
    <row r="255" s="245" customFormat="1">
      <c r="B255" s="258">
        <v>19</v>
      </c>
      <c r="C255" s="259"/>
      <c r="D255" s="258" t="s">
        <v>770</v>
      </c>
      <c r="E255" s="260">
        <v>43949</v>
      </c>
      <c r="F255" s="261"/>
      <c r="G255" s="260" t="s">
        <v>771</v>
      </c>
      <c r="H255" s="261" t="s">
        <v>421</v>
      </c>
      <c r="I255" s="267">
        <v>4276349</v>
      </c>
      <c r="J255" s="258"/>
      <c r="K255" s="1117"/>
      <c r="M255" s="268"/>
      <c r="N255" s="268"/>
    </row>
    <row r="256" s="245" customFormat="1">
      <c r="B256" s="258">
        <v>20</v>
      </c>
      <c r="C256" s="259"/>
      <c r="D256" s="258" t="s">
        <v>728</v>
      </c>
      <c r="E256" s="260">
        <v>43941</v>
      </c>
      <c r="F256" s="261"/>
      <c r="G256" s="260" t="s">
        <v>771</v>
      </c>
      <c r="H256" s="261" t="s">
        <v>421</v>
      </c>
      <c r="I256" s="267">
        <v>4276349</v>
      </c>
      <c r="J256" s="258"/>
      <c r="K256" s="1117"/>
      <c r="M256" s="268"/>
      <c r="N256" s="268"/>
    </row>
    <row r="257" s="245" customFormat="1">
      <c r="B257" s="258">
        <v>21</v>
      </c>
      <c r="C257" s="259"/>
      <c r="D257" s="258" t="s">
        <v>772</v>
      </c>
      <c r="E257" s="260"/>
      <c r="F257" s="261">
        <v>43960</v>
      </c>
      <c r="G257" s="260" t="s">
        <v>707</v>
      </c>
      <c r="H257" s="261" t="s">
        <v>773</v>
      </c>
      <c r="I257" s="267">
        <v>4276349</v>
      </c>
      <c r="J257" s="258" t="s">
        <v>774</v>
      </c>
      <c r="K257" s="1117"/>
      <c r="M257" s="268"/>
      <c r="N257" s="268"/>
    </row>
    <row r="258" s="245" customFormat="1">
      <c r="B258" s="258">
        <v>22</v>
      </c>
      <c r="C258" s="259"/>
      <c r="D258" s="258" t="s">
        <v>775</v>
      </c>
      <c r="E258" s="260"/>
      <c r="F258" s="261">
        <v>43960</v>
      </c>
      <c r="G258" s="260" t="s">
        <v>707</v>
      </c>
      <c r="H258" s="261" t="s">
        <v>773</v>
      </c>
      <c r="I258" s="267">
        <v>4276349</v>
      </c>
      <c r="J258" s="258" t="s">
        <v>774</v>
      </c>
      <c r="K258" s="1117"/>
      <c r="M258" s="268"/>
      <c r="N258" s="268"/>
    </row>
    <row r="259" s="245" customFormat="1">
      <c r="B259" s="258">
        <v>23</v>
      </c>
      <c r="C259" s="259"/>
      <c r="D259" s="258" t="s">
        <v>776</v>
      </c>
      <c r="E259" s="260">
        <v>43960</v>
      </c>
      <c r="F259" s="261"/>
      <c r="G259" s="260" t="s">
        <v>602</v>
      </c>
      <c r="H259" s="261" t="s">
        <v>63</v>
      </c>
      <c r="I259" s="267">
        <v>3310723</v>
      </c>
      <c r="J259" s="258"/>
      <c r="K259" s="1117"/>
      <c r="M259" s="268"/>
      <c r="N259" s="268"/>
    </row>
    <row r="260" s="246" customFormat="1">
      <c r="B260" s="262"/>
      <c r="C260" s="263"/>
      <c r="D260" s="262"/>
      <c r="E260" s="264"/>
      <c r="F260" s="265"/>
      <c r="G260" s="264"/>
      <c r="H260" s="265"/>
      <c r="I260" s="269"/>
      <c r="J260" s="262"/>
      <c r="K260" s="275"/>
      <c r="M260" s="271"/>
      <c r="N260" s="271"/>
    </row>
    <row r="261" ht="22.5" customHeight="1" s="246" customFormat="1">
      <c r="B261" s="258">
        <v>1</v>
      </c>
      <c r="C261" s="259"/>
      <c r="D261" s="258" t="s">
        <v>777</v>
      </c>
      <c r="E261" s="260">
        <v>43981</v>
      </c>
      <c r="F261" s="260"/>
      <c r="G261" s="260" t="s">
        <v>435</v>
      </c>
      <c r="H261" s="261" t="s">
        <v>63</v>
      </c>
      <c r="I261" s="267">
        <v>2877448</v>
      </c>
      <c r="J261" s="258"/>
      <c r="K261" s="1117" t="s">
        <v>778</v>
      </c>
      <c r="M261" s="271"/>
      <c r="N261" s="271"/>
    </row>
    <row r="262" ht="22.5" customHeight="1" s="246" customFormat="1">
      <c r="B262" s="258">
        <v>2</v>
      </c>
      <c r="C262" s="259"/>
      <c r="D262" s="258" t="s">
        <v>779</v>
      </c>
      <c r="E262" s="260">
        <v>43981</v>
      </c>
      <c r="F262" s="260"/>
      <c r="G262" s="260" t="s">
        <v>435</v>
      </c>
      <c r="H262" s="261" t="s">
        <v>63</v>
      </c>
      <c r="I262" s="267">
        <v>2877448</v>
      </c>
      <c r="J262" s="258"/>
      <c r="K262" s="1117"/>
      <c r="M262" s="271"/>
      <c r="N262" s="271"/>
    </row>
    <row r="263" ht="22.5" customHeight="1" s="246" customFormat="1">
      <c r="B263" s="258">
        <v>3</v>
      </c>
      <c r="C263" s="259"/>
      <c r="D263" s="258" t="s">
        <v>718</v>
      </c>
      <c r="E263" s="260"/>
      <c r="F263" s="260">
        <v>43982</v>
      </c>
      <c r="G263" s="260" t="s">
        <v>435</v>
      </c>
      <c r="H263" s="261" t="s">
        <v>63</v>
      </c>
      <c r="I263" s="267">
        <v>2877448</v>
      </c>
      <c r="J263" s="258"/>
      <c r="K263" s="1117"/>
      <c r="M263" s="271"/>
      <c r="N263" s="271"/>
    </row>
    <row r="264" ht="22.5" customHeight="1" s="246" customFormat="1">
      <c r="B264" s="258">
        <v>4</v>
      </c>
      <c r="C264" s="259"/>
      <c r="D264" s="258" t="s">
        <v>780</v>
      </c>
      <c r="E264" s="260"/>
      <c r="F264" s="260">
        <v>43982</v>
      </c>
      <c r="G264" s="260" t="s">
        <v>435</v>
      </c>
      <c r="H264" s="261" t="s">
        <v>63</v>
      </c>
      <c r="I264" s="267">
        <v>2877448</v>
      </c>
      <c r="J264" s="258"/>
      <c r="K264" s="1117"/>
      <c r="M264" s="271"/>
      <c r="N264" s="271"/>
    </row>
    <row r="265" ht="22.5" customHeight="1" s="246" customFormat="1">
      <c r="B265" s="258">
        <v>5</v>
      </c>
      <c r="C265" s="259"/>
      <c r="D265" s="258" t="s">
        <v>747</v>
      </c>
      <c r="E265" s="260"/>
      <c r="F265" s="260">
        <v>43962</v>
      </c>
      <c r="G265" s="260" t="s">
        <v>62</v>
      </c>
      <c r="H265" s="261" t="s">
        <v>63</v>
      </c>
      <c r="I265" s="267">
        <v>2515000</v>
      </c>
      <c r="J265" s="258"/>
      <c r="K265" s="1117"/>
      <c r="M265" s="271"/>
      <c r="N265" s="271"/>
    </row>
    <row r="266" ht="22.5" customHeight="1" s="246" customFormat="1">
      <c r="B266" s="258">
        <v>6</v>
      </c>
      <c r="C266" s="259"/>
      <c r="D266" s="258" t="s">
        <v>749</v>
      </c>
      <c r="E266" s="260"/>
      <c r="F266" s="260">
        <v>43987</v>
      </c>
      <c r="G266" s="260" t="s">
        <v>62</v>
      </c>
      <c r="H266" s="261" t="s">
        <v>63</v>
      </c>
      <c r="I266" s="267">
        <v>2515000</v>
      </c>
      <c r="J266" s="258"/>
      <c r="K266" s="1117"/>
      <c r="M266" s="271"/>
      <c r="N266" s="271"/>
    </row>
    <row r="267" ht="22.5" customHeight="1" s="246" customFormat="1">
      <c r="B267" s="258">
        <v>7</v>
      </c>
      <c r="C267" s="259"/>
      <c r="D267" s="258" t="s">
        <v>124</v>
      </c>
      <c r="E267" s="260">
        <v>43990</v>
      </c>
      <c r="F267" s="260"/>
      <c r="G267" s="260" t="s">
        <v>62</v>
      </c>
      <c r="H267" s="261" t="s">
        <v>63</v>
      </c>
      <c r="I267" s="267">
        <v>2515000</v>
      </c>
      <c r="J267" s="258"/>
      <c r="K267" s="1117"/>
      <c r="M267" s="271"/>
      <c r="N267" s="271"/>
    </row>
    <row r="268" ht="22.5" customHeight="1" s="246" customFormat="1">
      <c r="B268" s="258">
        <v>8</v>
      </c>
      <c r="C268" s="259"/>
      <c r="D268" s="258" t="s">
        <v>781</v>
      </c>
      <c r="E268" s="260">
        <v>43998</v>
      </c>
      <c r="F268" s="260"/>
      <c r="G268" s="260" t="s">
        <v>62</v>
      </c>
      <c r="H268" s="261" t="s">
        <v>63</v>
      </c>
      <c r="I268" s="267">
        <v>2515000</v>
      </c>
      <c r="J268" s="258"/>
      <c r="K268" s="1117"/>
      <c r="M268" s="271"/>
      <c r="N268" s="271"/>
    </row>
    <row r="269" ht="22.5" customHeight="1" s="246" customFormat="1">
      <c r="B269" s="258">
        <v>9</v>
      </c>
      <c r="C269" s="259"/>
      <c r="D269" s="258" t="s">
        <v>782</v>
      </c>
      <c r="E269" s="260">
        <v>43969</v>
      </c>
      <c r="F269" s="260"/>
      <c r="G269" s="260" t="s">
        <v>573</v>
      </c>
      <c r="H269" s="261" t="s">
        <v>421</v>
      </c>
      <c r="I269" s="267">
        <v>4276349</v>
      </c>
      <c r="J269" s="258"/>
      <c r="K269" s="1117"/>
      <c r="M269" s="271"/>
      <c r="N269" s="271"/>
    </row>
    <row r="270" ht="22.5" customHeight="1" s="246" customFormat="1">
      <c r="B270" s="258">
        <v>10</v>
      </c>
      <c r="C270" s="259"/>
      <c r="D270" s="258" t="s">
        <v>783</v>
      </c>
      <c r="E270" s="260"/>
      <c r="F270" s="260">
        <v>43956</v>
      </c>
      <c r="G270" s="260" t="s">
        <v>602</v>
      </c>
      <c r="H270" s="261" t="s">
        <v>63</v>
      </c>
      <c r="I270" s="267">
        <v>3310723</v>
      </c>
      <c r="J270" s="258"/>
      <c r="K270" s="1117"/>
      <c r="M270" s="271"/>
      <c r="N270" s="271"/>
    </row>
    <row r="271" ht="22.5" customHeight="1" s="246" customFormat="1">
      <c r="B271" s="258">
        <v>11</v>
      </c>
      <c r="C271" s="259"/>
      <c r="D271" s="258" t="s">
        <v>736</v>
      </c>
      <c r="E271" s="260"/>
      <c r="F271" s="260">
        <v>43982</v>
      </c>
      <c r="G271" s="260" t="s">
        <v>737</v>
      </c>
      <c r="H271" s="261" t="s">
        <v>63</v>
      </c>
      <c r="I271" s="267">
        <v>2788826</v>
      </c>
      <c r="J271" s="258"/>
      <c r="K271" s="1117"/>
      <c r="M271" s="271"/>
      <c r="N271" s="271"/>
    </row>
    <row r="272" ht="22.5" customHeight="1" s="246" customFormat="1">
      <c r="B272" s="258">
        <v>12</v>
      </c>
      <c r="C272" s="259"/>
      <c r="D272" s="258" t="s">
        <v>738</v>
      </c>
      <c r="E272" s="260"/>
      <c r="F272" s="260">
        <v>43982</v>
      </c>
      <c r="G272" s="260" t="s">
        <v>737</v>
      </c>
      <c r="H272" s="261" t="s">
        <v>63</v>
      </c>
      <c r="I272" s="267">
        <v>2788826</v>
      </c>
      <c r="J272" s="258"/>
      <c r="K272" s="1117"/>
      <c r="M272" s="271"/>
      <c r="N272" s="271"/>
    </row>
    <row r="273" ht="22.5" customHeight="1" s="246" customFormat="1">
      <c r="B273" s="258">
        <v>13</v>
      </c>
      <c r="C273" s="259"/>
      <c r="D273" s="258" t="s">
        <v>739</v>
      </c>
      <c r="E273" s="260"/>
      <c r="F273" s="260">
        <v>43982</v>
      </c>
      <c r="G273" s="260" t="s">
        <v>737</v>
      </c>
      <c r="H273" s="261" t="s">
        <v>63</v>
      </c>
      <c r="I273" s="267">
        <v>2788826</v>
      </c>
      <c r="J273" s="258"/>
      <c r="K273" s="1117"/>
      <c r="M273" s="271"/>
      <c r="N273" s="271"/>
    </row>
    <row r="274" ht="22.5" customHeight="1" s="246" customFormat="1">
      <c r="B274" s="262"/>
      <c r="C274" s="263"/>
      <c r="D274" s="262"/>
      <c r="E274" s="264"/>
      <c r="F274" s="264"/>
      <c r="G274" s="264"/>
      <c r="H274" s="265"/>
      <c r="I274" s="269"/>
      <c r="J274" s="262"/>
      <c r="K274" s="275"/>
      <c r="M274" s="271"/>
      <c r="N274" s="271"/>
    </row>
    <row r="275" ht="18.75" customHeight="1" s="246" customFormat="1">
      <c r="B275" s="259">
        <v>5</v>
      </c>
      <c r="C275" s="259"/>
      <c r="D275" s="258" t="s">
        <v>750</v>
      </c>
      <c r="E275" s="260"/>
      <c r="F275" s="260">
        <v>44022</v>
      </c>
      <c r="G275" s="260" t="s">
        <v>573</v>
      </c>
      <c r="H275" s="261" t="s">
        <v>421</v>
      </c>
      <c r="I275" s="267">
        <v>4450000</v>
      </c>
      <c r="J275" s="258"/>
      <c r="K275" s="1118" t="s">
        <v>784</v>
      </c>
      <c r="M275" s="271"/>
      <c r="N275" s="271"/>
    </row>
    <row r="276" s="246" customFormat="1">
      <c r="B276" s="259">
        <v>6</v>
      </c>
      <c r="C276" s="259"/>
      <c r="D276" s="258" t="s">
        <v>785</v>
      </c>
      <c r="E276" s="260">
        <v>44011</v>
      </c>
      <c r="F276" s="260"/>
      <c r="G276" s="260" t="s">
        <v>589</v>
      </c>
      <c r="H276" s="261" t="s">
        <v>421</v>
      </c>
      <c r="I276" s="267">
        <v>4450000</v>
      </c>
      <c r="J276" s="258"/>
      <c r="K276" s="1118"/>
      <c r="M276" s="271"/>
      <c r="N276" s="271"/>
    </row>
    <row r="277" s="246" customFormat="1">
      <c r="B277" s="259">
        <v>7</v>
      </c>
      <c r="C277" s="259"/>
      <c r="D277" s="258" t="s">
        <v>786</v>
      </c>
      <c r="E277" s="260"/>
      <c r="F277" s="260">
        <v>44012</v>
      </c>
      <c r="G277" s="260" t="s">
        <v>62</v>
      </c>
      <c r="H277" s="261" t="s">
        <v>63</v>
      </c>
      <c r="I277" s="267">
        <v>2515000</v>
      </c>
      <c r="J277" s="258"/>
      <c r="K277" s="1118"/>
      <c r="M277" s="271"/>
      <c r="N277" s="271"/>
    </row>
    <row r="278" s="246" customFormat="1">
      <c r="B278" s="259">
        <v>8</v>
      </c>
      <c r="C278" s="259"/>
      <c r="D278" s="258" t="s">
        <v>746</v>
      </c>
      <c r="E278" s="260"/>
      <c r="F278" s="260">
        <v>44012</v>
      </c>
      <c r="G278" s="260" t="s">
        <v>62</v>
      </c>
      <c r="H278" s="261" t="s">
        <v>63</v>
      </c>
      <c r="I278" s="267">
        <v>2515000</v>
      </c>
      <c r="J278" s="258"/>
      <c r="K278" s="1118"/>
      <c r="M278" s="271"/>
      <c r="N278" s="271"/>
    </row>
    <row r="279" s="246" customFormat="1">
      <c r="B279" s="259">
        <v>9</v>
      </c>
      <c r="C279" s="259"/>
      <c r="D279" s="258" t="s">
        <v>787</v>
      </c>
      <c r="E279" s="260">
        <v>44022</v>
      </c>
      <c r="F279" s="260"/>
      <c r="G279" s="260" t="s">
        <v>62</v>
      </c>
      <c r="H279" s="261" t="s">
        <v>63</v>
      </c>
      <c r="I279" s="267">
        <v>2515000</v>
      </c>
      <c r="J279" s="258"/>
      <c r="K279" s="1118"/>
      <c r="M279" s="271"/>
      <c r="N279" s="271"/>
    </row>
    <row r="280" s="246" customFormat="1">
      <c r="B280" s="259">
        <v>10</v>
      </c>
      <c r="C280" s="259"/>
      <c r="D280" s="258" t="s">
        <v>788</v>
      </c>
      <c r="E280" s="260"/>
      <c r="F280" s="260">
        <v>43997</v>
      </c>
      <c r="G280" s="260" t="s">
        <v>62</v>
      </c>
      <c r="H280" s="261" t="s">
        <v>63</v>
      </c>
      <c r="I280" s="267">
        <v>2515000</v>
      </c>
      <c r="J280" s="258"/>
      <c r="K280" s="1118"/>
      <c r="M280" s="271"/>
      <c r="N280" s="271"/>
    </row>
    <row r="281" s="246" customFormat="1">
      <c r="B281" s="259">
        <v>11</v>
      </c>
      <c r="C281" s="259"/>
      <c r="D281" s="258" t="s">
        <v>789</v>
      </c>
      <c r="E281" s="260"/>
      <c r="F281" s="260">
        <v>44005</v>
      </c>
      <c r="G281" s="260" t="s">
        <v>62</v>
      </c>
      <c r="H281" s="261" t="s">
        <v>63</v>
      </c>
      <c r="I281" s="267">
        <v>2515000</v>
      </c>
      <c r="J281" s="258"/>
      <c r="K281" s="1118"/>
      <c r="M281" s="271"/>
      <c r="N281" s="271"/>
    </row>
    <row r="282" s="246" customFormat="1">
      <c r="B282" s="259">
        <v>12</v>
      </c>
      <c r="C282" s="259"/>
      <c r="D282" s="258" t="s">
        <v>790</v>
      </c>
      <c r="E282" s="260"/>
      <c r="F282" s="260">
        <v>44008</v>
      </c>
      <c r="G282" s="260" t="s">
        <v>435</v>
      </c>
      <c r="H282" s="261" t="s">
        <v>63</v>
      </c>
      <c r="I282" s="267">
        <v>2877448</v>
      </c>
      <c r="J282" s="258"/>
      <c r="K282" s="1118"/>
      <c r="M282" s="271"/>
      <c r="N282" s="271"/>
    </row>
    <row r="283" s="246" customFormat="1">
      <c r="B283" s="259">
        <v>13</v>
      </c>
      <c r="C283" s="259"/>
      <c r="D283" s="258" t="s">
        <v>609</v>
      </c>
      <c r="E283" s="260"/>
      <c r="F283" s="260">
        <v>44021</v>
      </c>
      <c r="G283" s="260" t="s">
        <v>435</v>
      </c>
      <c r="H283" s="261" t="s">
        <v>63</v>
      </c>
      <c r="I283" s="267">
        <v>2877448</v>
      </c>
      <c r="J283" s="258"/>
      <c r="K283" s="1118"/>
      <c r="M283" s="271"/>
      <c r="N283" s="271"/>
    </row>
    <row r="284" s="246" customFormat="1">
      <c r="B284" s="259">
        <v>14</v>
      </c>
      <c r="C284" s="259"/>
      <c r="D284" s="258" t="s">
        <v>720</v>
      </c>
      <c r="E284" s="260"/>
      <c r="F284" s="260">
        <v>44019</v>
      </c>
      <c r="G284" s="260" t="s">
        <v>435</v>
      </c>
      <c r="H284" s="261" t="s">
        <v>63</v>
      </c>
      <c r="I284" s="267">
        <v>2877448</v>
      </c>
      <c r="J284" s="258"/>
      <c r="K284" s="1118"/>
      <c r="M284" s="271"/>
      <c r="N284" s="271"/>
    </row>
    <row r="285" s="246" customFormat="1">
      <c r="B285" s="259">
        <v>15</v>
      </c>
      <c r="C285" s="259"/>
      <c r="D285" s="258" t="s">
        <v>717</v>
      </c>
      <c r="E285" s="260"/>
      <c r="F285" s="260">
        <v>44028</v>
      </c>
      <c r="G285" s="260" t="s">
        <v>435</v>
      </c>
      <c r="H285" s="261" t="s">
        <v>63</v>
      </c>
      <c r="I285" s="267">
        <v>2877448</v>
      </c>
      <c r="J285" s="258"/>
      <c r="K285" s="1118"/>
      <c r="M285" s="271"/>
      <c r="N285" s="271"/>
    </row>
    <row r="286" s="246" customFormat="1">
      <c r="B286" s="262"/>
      <c r="C286" s="263"/>
      <c r="D286" s="262"/>
      <c r="E286" s="264"/>
      <c r="F286" s="264"/>
      <c r="G286" s="264"/>
      <c r="H286" s="265"/>
      <c r="I286" s="269"/>
      <c r="J286" s="262"/>
      <c r="K286" s="275"/>
      <c r="M286" s="271"/>
      <c r="N286" s="271"/>
    </row>
    <row r="287" ht="18.75" customHeight="1" s="246" customFormat="1">
      <c r="B287" s="259">
        <v>1</v>
      </c>
      <c r="C287" s="259"/>
      <c r="D287" s="258" t="s">
        <v>558</v>
      </c>
      <c r="E287" s="260"/>
      <c r="F287" s="260">
        <v>44043</v>
      </c>
      <c r="G287" s="260" t="s">
        <v>435</v>
      </c>
      <c r="H287" s="261" t="s">
        <v>63</v>
      </c>
      <c r="I287" s="267">
        <v>2877448</v>
      </c>
      <c r="J287" s="258"/>
      <c r="K287" s="1119" t="s">
        <v>791</v>
      </c>
      <c r="M287" s="271"/>
      <c r="N287" s="271"/>
    </row>
    <row r="288" s="246" customFormat="1">
      <c r="B288" s="259">
        <v>2</v>
      </c>
      <c r="C288" s="259"/>
      <c r="D288" s="258" t="s">
        <v>743</v>
      </c>
      <c r="E288" s="260"/>
      <c r="F288" s="260">
        <v>44043</v>
      </c>
      <c r="G288" s="260" t="s">
        <v>435</v>
      </c>
      <c r="H288" s="261" t="s">
        <v>63</v>
      </c>
      <c r="I288" s="267">
        <v>2877448</v>
      </c>
      <c r="J288" s="258"/>
      <c r="K288" s="1119"/>
      <c r="M288" s="271"/>
      <c r="N288" s="271"/>
    </row>
    <row r="289" s="246" customFormat="1">
      <c r="B289" s="259">
        <v>3</v>
      </c>
      <c r="C289" s="259"/>
      <c r="D289" s="258" t="s">
        <v>792</v>
      </c>
      <c r="E289" s="260"/>
      <c r="F289" s="260">
        <v>44043</v>
      </c>
      <c r="G289" s="260" t="s">
        <v>435</v>
      </c>
      <c r="H289" s="261" t="s">
        <v>63</v>
      </c>
      <c r="I289" s="267">
        <v>2877448</v>
      </c>
      <c r="J289" s="258"/>
      <c r="K289" s="1119"/>
      <c r="M289" s="271"/>
      <c r="N289" s="271"/>
    </row>
    <row r="290" s="246" customFormat="1">
      <c r="B290" s="259">
        <v>4</v>
      </c>
      <c r="C290" s="259"/>
      <c r="D290" s="258" t="s">
        <v>793</v>
      </c>
      <c r="E290" s="260"/>
      <c r="F290" s="260">
        <v>44043</v>
      </c>
      <c r="G290" s="260" t="s">
        <v>435</v>
      </c>
      <c r="H290" s="261" t="s">
        <v>63</v>
      </c>
      <c r="I290" s="267">
        <v>2877448</v>
      </c>
      <c r="J290" s="258"/>
      <c r="K290" s="1119"/>
      <c r="M290" s="271"/>
      <c r="N290" s="271"/>
    </row>
    <row r="291" s="246" customFormat="1">
      <c r="B291" s="259">
        <v>5</v>
      </c>
      <c r="C291" s="259"/>
      <c r="D291" s="258" t="s">
        <v>794</v>
      </c>
      <c r="E291" s="260"/>
      <c r="F291" s="260">
        <v>44038</v>
      </c>
      <c r="G291" s="260" t="s">
        <v>435</v>
      </c>
      <c r="H291" s="261" t="s">
        <v>63</v>
      </c>
      <c r="I291" s="267">
        <v>2877448</v>
      </c>
      <c r="J291" s="258"/>
      <c r="K291" s="1119"/>
      <c r="M291" s="271"/>
      <c r="N291" s="271"/>
    </row>
    <row r="292" s="246" customFormat="1">
      <c r="B292" s="259">
        <v>6</v>
      </c>
      <c r="C292" s="259"/>
      <c r="D292" s="258" t="s">
        <v>717</v>
      </c>
      <c r="E292" s="260"/>
      <c r="F292" s="260">
        <v>44028</v>
      </c>
      <c r="G292" s="260" t="s">
        <v>435</v>
      </c>
      <c r="H292" s="261" t="s">
        <v>63</v>
      </c>
      <c r="I292" s="267">
        <v>2877448</v>
      </c>
      <c r="J292" s="258"/>
      <c r="K292" s="1119"/>
      <c r="M292" s="271"/>
      <c r="N292" s="271"/>
    </row>
    <row r="293" s="246" customFormat="1">
      <c r="B293" s="259">
        <v>7</v>
      </c>
      <c r="C293" s="259"/>
      <c r="D293" s="258" t="s">
        <v>609</v>
      </c>
      <c r="E293" s="260"/>
      <c r="F293" s="260">
        <v>44021</v>
      </c>
      <c r="G293" s="260" t="s">
        <v>435</v>
      </c>
      <c r="H293" s="261" t="s">
        <v>63</v>
      </c>
      <c r="I293" s="267">
        <v>2877448</v>
      </c>
      <c r="J293" s="258"/>
      <c r="K293" s="1119"/>
      <c r="M293" s="271"/>
      <c r="N293" s="271"/>
    </row>
    <row r="294" s="246" customFormat="1">
      <c r="B294" s="259">
        <v>8</v>
      </c>
      <c r="C294" s="259"/>
      <c r="D294" s="258" t="s">
        <v>795</v>
      </c>
      <c r="E294" s="260">
        <v>44022</v>
      </c>
      <c r="F294" s="260"/>
      <c r="G294" s="260" t="s">
        <v>62</v>
      </c>
      <c r="H294" s="261" t="s">
        <v>63</v>
      </c>
      <c r="I294" s="267">
        <v>2515000</v>
      </c>
      <c r="J294" s="258"/>
      <c r="K294" s="1119"/>
      <c r="M294" s="271"/>
      <c r="N294" s="271"/>
    </row>
    <row r="295" s="246" customFormat="1">
      <c r="B295" s="259">
        <v>9</v>
      </c>
      <c r="C295" s="259"/>
      <c r="D295" s="258" t="s">
        <v>126</v>
      </c>
      <c r="E295" s="260">
        <v>44028</v>
      </c>
      <c r="F295" s="260"/>
      <c r="G295" s="260" t="s">
        <v>62</v>
      </c>
      <c r="H295" s="261" t="s">
        <v>63</v>
      </c>
      <c r="I295" s="267">
        <v>2515000</v>
      </c>
      <c r="J295" s="258"/>
      <c r="K295" s="1119"/>
      <c r="M295" s="271"/>
      <c r="N295" s="271"/>
    </row>
    <row r="296" s="246" customFormat="1">
      <c r="B296" s="259">
        <v>10</v>
      </c>
      <c r="C296" s="259"/>
      <c r="D296" s="258" t="s">
        <v>796</v>
      </c>
      <c r="E296" s="260"/>
      <c r="F296" s="260">
        <v>44043</v>
      </c>
      <c r="G296" s="260" t="s">
        <v>62</v>
      </c>
      <c r="H296" s="261" t="s">
        <v>63</v>
      </c>
      <c r="I296" s="267">
        <v>2515000</v>
      </c>
      <c r="J296" s="258"/>
      <c r="K296" s="1119"/>
      <c r="M296" s="271"/>
      <c r="N296" s="271"/>
    </row>
    <row r="297" s="246" customFormat="1">
      <c r="B297" s="259">
        <v>11</v>
      </c>
      <c r="C297" s="259"/>
      <c r="D297" s="258" t="s">
        <v>797</v>
      </c>
      <c r="E297" s="260">
        <v>44042</v>
      </c>
      <c r="F297" s="260"/>
      <c r="G297" s="260" t="s">
        <v>573</v>
      </c>
      <c r="H297" s="261" t="s">
        <v>421</v>
      </c>
      <c r="I297" s="267">
        <v>4276349</v>
      </c>
      <c r="J297" s="258"/>
      <c r="K297" s="1119"/>
      <c r="M297" s="271"/>
      <c r="N297" s="271"/>
    </row>
    <row r="298" ht="18.75" customHeight="1" s="246" customFormat="1">
      <c r="B298" s="259">
        <v>12</v>
      </c>
      <c r="C298" s="259"/>
      <c r="D298" s="258" t="s">
        <v>770</v>
      </c>
      <c r="E298" s="260"/>
      <c r="F298" s="260">
        <v>44043</v>
      </c>
      <c r="G298" s="260" t="s">
        <v>771</v>
      </c>
      <c r="H298" s="261" t="s">
        <v>421</v>
      </c>
      <c r="I298" s="267">
        <v>4276349</v>
      </c>
      <c r="J298" s="258"/>
      <c r="K298" s="1119"/>
      <c r="M298" s="271"/>
      <c r="N298" s="271"/>
    </row>
    <row r="299" s="246" customFormat="1">
      <c r="B299" s="259">
        <v>13</v>
      </c>
      <c r="C299" s="259"/>
      <c r="D299" s="258" t="s">
        <v>776</v>
      </c>
      <c r="E299" s="260"/>
      <c r="F299" s="260">
        <v>44043</v>
      </c>
      <c r="G299" s="260" t="s">
        <v>602</v>
      </c>
      <c r="H299" s="261" t="s">
        <v>63</v>
      </c>
      <c r="I299" s="267">
        <v>3310723</v>
      </c>
      <c r="J299" s="258"/>
      <c r="K299" s="1119"/>
      <c r="M299" s="271"/>
      <c r="N299" s="271"/>
    </row>
    <row r="300" s="246" customFormat="1">
      <c r="B300" s="259">
        <v>14</v>
      </c>
      <c r="C300" s="259"/>
      <c r="D300" s="258" t="s">
        <v>798</v>
      </c>
      <c r="E300" s="260"/>
      <c r="F300" s="260">
        <v>44043</v>
      </c>
      <c r="G300" s="260" t="s">
        <v>602</v>
      </c>
      <c r="H300" s="261" t="s">
        <v>63</v>
      </c>
      <c r="I300" s="267">
        <v>3310723</v>
      </c>
      <c r="J300" s="258"/>
      <c r="K300" s="1119"/>
      <c r="M300" s="271"/>
      <c r="N300" s="271"/>
    </row>
    <row r="301" s="246" customFormat="1">
      <c r="B301" s="259">
        <v>15</v>
      </c>
      <c r="C301" s="259"/>
      <c r="D301" s="258" t="s">
        <v>799</v>
      </c>
      <c r="E301" s="260"/>
      <c r="F301" s="260">
        <v>44043</v>
      </c>
      <c r="G301" s="260" t="s">
        <v>737</v>
      </c>
      <c r="H301" s="261" t="s">
        <v>63</v>
      </c>
      <c r="I301" s="267">
        <v>2788826</v>
      </c>
      <c r="J301" s="258"/>
      <c r="K301" s="1119"/>
      <c r="M301" s="271"/>
      <c r="N301" s="271"/>
    </row>
    <row r="302" s="246" customFormat="1">
      <c r="B302" s="262"/>
      <c r="C302" s="263"/>
      <c r="D302" s="262"/>
      <c r="E302" s="264"/>
      <c r="F302" s="264"/>
      <c r="G302" s="264"/>
      <c r="H302" s="265"/>
      <c r="I302" s="269"/>
      <c r="J302" s="262"/>
      <c r="K302" s="275"/>
      <c r="M302" s="271"/>
      <c r="N302" s="271"/>
    </row>
    <row r="303" ht="18.75" customHeight="1" s="246" customFormat="1">
      <c r="B303" s="258"/>
      <c r="C303" s="259"/>
      <c r="D303" s="258"/>
      <c r="E303" s="260"/>
      <c r="F303" s="260"/>
      <c r="G303" s="260"/>
      <c r="H303" s="261"/>
      <c r="I303" s="267"/>
      <c r="J303" s="258"/>
      <c r="K303" s="1120" t="s">
        <v>800</v>
      </c>
      <c r="M303" s="271"/>
      <c r="N303" s="271"/>
    </row>
    <row r="304" s="246" customFormat="1">
      <c r="B304" s="258"/>
      <c r="C304" s="259" t="s">
        <v>801</v>
      </c>
      <c r="D304" s="258" t="s">
        <v>574</v>
      </c>
      <c r="E304" s="260"/>
      <c r="F304" s="260">
        <v>44079</v>
      </c>
      <c r="G304" s="260" t="s">
        <v>62</v>
      </c>
      <c r="H304" s="261" t="s">
        <v>63</v>
      </c>
      <c r="I304" s="267">
        <v>2515000</v>
      </c>
      <c r="J304" s="258"/>
      <c r="K304" s="1120"/>
      <c r="M304" s="271"/>
      <c r="N304" s="271"/>
    </row>
    <row r="305" s="246" customFormat="1">
      <c r="B305" s="258"/>
      <c r="C305" s="259" t="s">
        <v>802</v>
      </c>
      <c r="D305" s="258" t="s">
        <v>803</v>
      </c>
      <c r="E305" s="260"/>
      <c r="F305" s="260">
        <v>44074</v>
      </c>
      <c r="G305" s="260" t="s">
        <v>62</v>
      </c>
      <c r="H305" s="261" t="s">
        <v>63</v>
      </c>
      <c r="I305" s="267">
        <v>2515000</v>
      </c>
      <c r="J305" s="258"/>
      <c r="K305" s="1120"/>
      <c r="M305" s="271"/>
      <c r="N305" s="271"/>
    </row>
    <row r="306" s="246" customFormat="1">
      <c r="B306" s="258"/>
      <c r="C306" s="259"/>
      <c r="D306" s="258" t="s">
        <v>804</v>
      </c>
      <c r="E306" s="260">
        <v>44085</v>
      </c>
      <c r="F306" s="260"/>
      <c r="G306" s="260" t="s">
        <v>62</v>
      </c>
      <c r="H306" s="261" t="s">
        <v>63</v>
      </c>
      <c r="I306" s="267">
        <v>2515000</v>
      </c>
      <c r="J306" s="258"/>
      <c r="K306" s="1120"/>
      <c r="M306" s="271"/>
      <c r="N306" s="271"/>
    </row>
    <row r="307" s="246" customFormat="1">
      <c r="B307" s="258"/>
      <c r="C307" s="259" t="s">
        <v>805</v>
      </c>
      <c r="D307" s="258" t="s">
        <v>806</v>
      </c>
      <c r="E307" s="260"/>
      <c r="F307" s="260">
        <v>44075</v>
      </c>
      <c r="G307" s="260" t="s">
        <v>602</v>
      </c>
      <c r="H307" s="261" t="s">
        <v>63</v>
      </c>
      <c r="I307" s="267">
        <v>3310723</v>
      </c>
      <c r="J307" s="258"/>
      <c r="K307" s="1120"/>
      <c r="M307" s="271"/>
      <c r="N307" s="271"/>
    </row>
    <row r="308" s="246" customFormat="1">
      <c r="B308" s="258"/>
      <c r="C308" s="259" t="s">
        <v>807</v>
      </c>
      <c r="D308" s="258" t="s">
        <v>808</v>
      </c>
      <c r="E308" s="260"/>
      <c r="F308" s="260">
        <v>44075</v>
      </c>
      <c r="G308" s="260" t="s">
        <v>602</v>
      </c>
      <c r="H308" s="261" t="s">
        <v>63</v>
      </c>
      <c r="I308" s="267">
        <v>3310723</v>
      </c>
      <c r="J308" s="258"/>
      <c r="K308" s="1120"/>
      <c r="M308" s="271"/>
      <c r="N308" s="271"/>
    </row>
    <row r="309" s="246" customFormat="1">
      <c r="B309" s="258"/>
      <c r="C309" s="259" t="s">
        <v>809</v>
      </c>
      <c r="D309" s="258" t="s">
        <v>810</v>
      </c>
      <c r="E309" s="276">
        <v>44075</v>
      </c>
      <c r="F309" s="260"/>
      <c r="G309" s="260" t="s">
        <v>811</v>
      </c>
      <c r="H309" s="261"/>
      <c r="I309" s="267">
        <v>4276349</v>
      </c>
      <c r="J309" s="258"/>
      <c r="K309" s="1120"/>
      <c r="M309" s="271"/>
      <c r="N309" s="271"/>
    </row>
    <row r="310" s="246" customFormat="1">
      <c r="B310" s="258"/>
      <c r="C310" s="259" t="s">
        <v>812</v>
      </c>
      <c r="D310" s="258" t="s">
        <v>813</v>
      </c>
      <c r="E310" s="276">
        <v>44075</v>
      </c>
      <c r="F310" s="260"/>
      <c r="G310" s="260" t="s">
        <v>811</v>
      </c>
      <c r="H310" s="261"/>
      <c r="I310" s="267">
        <v>4276349</v>
      </c>
      <c r="J310" s="258"/>
      <c r="K310" s="1120"/>
      <c r="M310" s="271"/>
      <c r="N310" s="271"/>
    </row>
    <row r="311" s="246" customFormat="1">
      <c r="B311" s="258"/>
      <c r="C311" s="259" t="s">
        <v>814</v>
      </c>
      <c r="D311" s="258" t="s">
        <v>815</v>
      </c>
      <c r="E311" s="276">
        <v>44075</v>
      </c>
      <c r="F311" s="260"/>
      <c r="G311" s="260" t="s">
        <v>811</v>
      </c>
      <c r="H311" s="261"/>
      <c r="I311" s="267">
        <v>4276349</v>
      </c>
      <c r="J311" s="258"/>
      <c r="K311" s="1120"/>
      <c r="M311" s="271"/>
      <c r="N311" s="271"/>
    </row>
    <row r="312" s="246" customFormat="1">
      <c r="B312" s="258"/>
      <c r="C312" s="259" t="s">
        <v>816</v>
      </c>
      <c r="D312" s="258" t="s">
        <v>817</v>
      </c>
      <c r="E312" s="276">
        <v>44075</v>
      </c>
      <c r="F312" s="260"/>
      <c r="G312" s="260" t="s">
        <v>811</v>
      </c>
      <c r="H312" s="261"/>
      <c r="I312" s="267">
        <v>4276349</v>
      </c>
      <c r="J312" s="258"/>
      <c r="K312" s="1120"/>
      <c r="M312" s="271"/>
      <c r="N312" s="271"/>
    </row>
    <row r="313" s="246" customFormat="1">
      <c r="B313" s="258"/>
      <c r="C313" s="259" t="s">
        <v>818</v>
      </c>
      <c r="D313" s="258" t="s">
        <v>819</v>
      </c>
      <c r="E313" s="276">
        <v>44075</v>
      </c>
      <c r="F313" s="260"/>
      <c r="G313" s="260" t="s">
        <v>811</v>
      </c>
      <c r="H313" s="261"/>
      <c r="I313" s="267">
        <v>4276349</v>
      </c>
      <c r="J313" s="258"/>
      <c r="K313" s="1120"/>
      <c r="M313" s="271"/>
      <c r="N313" s="271"/>
    </row>
    <row r="314" s="246" customFormat="1">
      <c r="B314" s="258"/>
      <c r="C314" s="259" t="s">
        <v>820</v>
      </c>
      <c r="D314" s="258" t="s">
        <v>821</v>
      </c>
      <c r="E314" s="276">
        <v>44075</v>
      </c>
      <c r="F314" s="260"/>
      <c r="G314" s="260" t="s">
        <v>811</v>
      </c>
      <c r="H314" s="261"/>
      <c r="I314" s="267">
        <v>4276349</v>
      </c>
      <c r="J314" s="258"/>
      <c r="K314" s="1120"/>
      <c r="M314" s="271"/>
      <c r="N314" s="271"/>
    </row>
    <row r="315" s="246" customFormat="1">
      <c r="B315" s="258"/>
      <c r="C315" s="259" t="s">
        <v>822</v>
      </c>
      <c r="D315" s="258" t="s">
        <v>823</v>
      </c>
      <c r="E315" s="276">
        <v>44075</v>
      </c>
      <c r="F315" s="260"/>
      <c r="G315" s="260" t="s">
        <v>811</v>
      </c>
      <c r="H315" s="261"/>
      <c r="I315" s="267">
        <v>4276349</v>
      </c>
      <c r="J315" s="258"/>
      <c r="K315" s="1120"/>
      <c r="M315" s="271"/>
      <c r="N315" s="271"/>
    </row>
    <row r="316" s="246" customFormat="1">
      <c r="B316" s="258"/>
      <c r="C316" s="259" t="s">
        <v>824</v>
      </c>
      <c r="D316" s="258" t="s">
        <v>825</v>
      </c>
      <c r="E316" s="276">
        <v>44075</v>
      </c>
      <c r="F316" s="260"/>
      <c r="G316" s="260" t="s">
        <v>811</v>
      </c>
      <c r="H316" s="261"/>
      <c r="I316" s="267">
        <v>4276349</v>
      </c>
      <c r="J316" s="258"/>
      <c r="K316" s="1120"/>
      <c r="M316" s="271"/>
      <c r="N316" s="271"/>
    </row>
    <row r="317" s="246" customFormat="1">
      <c r="B317" s="258"/>
      <c r="C317" s="259" t="s">
        <v>826</v>
      </c>
      <c r="D317" s="258" t="s">
        <v>827</v>
      </c>
      <c r="E317" s="276">
        <v>44077</v>
      </c>
      <c r="F317" s="260"/>
      <c r="G317" s="260" t="s">
        <v>811</v>
      </c>
      <c r="H317" s="261"/>
      <c r="I317" s="267">
        <v>4276349</v>
      </c>
      <c r="J317" s="258"/>
      <c r="K317" s="1120"/>
      <c r="M317" s="271"/>
      <c r="N317" s="271"/>
    </row>
    <row r="318" s="246" customFormat="1">
      <c r="B318" s="262"/>
      <c r="C318" s="263"/>
      <c r="D318" s="262"/>
      <c r="E318" s="264"/>
      <c r="F318" s="264"/>
      <c r="G318" s="264"/>
      <c r="H318" s="265"/>
      <c r="I318" s="269"/>
      <c r="J318" s="262"/>
      <c r="K318" s="275"/>
      <c r="M318" s="271"/>
      <c r="N318" s="271"/>
    </row>
    <row r="319" ht="18.75" customHeight="1" s="246" customFormat="1">
      <c r="B319" s="277"/>
      <c r="C319" s="278" t="s">
        <v>355</v>
      </c>
      <c r="D319" s="277" t="s">
        <v>356</v>
      </c>
      <c r="E319" s="279">
        <v>44095</v>
      </c>
      <c r="F319" s="280"/>
      <c r="G319" s="280" t="s">
        <v>243</v>
      </c>
      <c r="H319" s="281" t="s">
        <v>63</v>
      </c>
      <c r="I319" s="282">
        <v>2877448</v>
      </c>
      <c r="J319" s="277"/>
      <c r="K319" s="1121" t="s">
        <v>828</v>
      </c>
      <c r="M319" s="271"/>
      <c r="N319" s="271"/>
    </row>
    <row r="320" s="246" customFormat="1">
      <c r="B320" s="277"/>
      <c r="C320" s="278" t="s">
        <v>254</v>
      </c>
      <c r="D320" s="277" t="s">
        <v>255</v>
      </c>
      <c r="E320" s="279">
        <v>44105</v>
      </c>
      <c r="F320" s="280"/>
      <c r="G320" s="280" t="s">
        <v>243</v>
      </c>
      <c r="H320" s="281" t="s">
        <v>63</v>
      </c>
      <c r="I320" s="282">
        <v>2877448</v>
      </c>
      <c r="J320" s="277"/>
      <c r="K320" s="1121"/>
      <c r="M320" s="271"/>
      <c r="N320" s="271"/>
    </row>
    <row r="321" s="246" customFormat="1">
      <c r="B321" s="277"/>
      <c r="C321" s="278" t="s">
        <v>829</v>
      </c>
      <c r="D321" s="277" t="s">
        <v>777</v>
      </c>
      <c r="E321" s="280"/>
      <c r="F321" s="279">
        <v>44092</v>
      </c>
      <c r="G321" s="280" t="s">
        <v>243</v>
      </c>
      <c r="H321" s="281" t="s">
        <v>63</v>
      </c>
      <c r="I321" s="282">
        <v>2877448</v>
      </c>
      <c r="J321" s="277"/>
      <c r="K321" s="1121"/>
      <c r="M321" s="271"/>
      <c r="N321" s="271"/>
    </row>
    <row r="322" s="246" customFormat="1">
      <c r="B322" s="277"/>
      <c r="C322" s="278" t="s">
        <v>830</v>
      </c>
      <c r="D322" s="277" t="s">
        <v>831</v>
      </c>
      <c r="E322" s="280">
        <v>44096</v>
      </c>
      <c r="F322" s="280"/>
      <c r="G322" s="280" t="s">
        <v>62</v>
      </c>
      <c r="H322" s="281" t="s">
        <v>63</v>
      </c>
      <c r="I322" s="282">
        <v>2515000</v>
      </c>
      <c r="J322" s="277"/>
      <c r="K322" s="1121"/>
      <c r="M322" s="271"/>
      <c r="N322" s="271"/>
    </row>
    <row r="323" s="246" customFormat="1">
      <c r="B323" s="277"/>
      <c r="C323" s="278" t="s">
        <v>832</v>
      </c>
      <c r="D323" s="277" t="s">
        <v>833</v>
      </c>
      <c r="E323" s="280">
        <v>44107</v>
      </c>
      <c r="F323" s="280"/>
      <c r="G323" s="280" t="s">
        <v>62</v>
      </c>
      <c r="H323" s="281" t="s">
        <v>63</v>
      </c>
      <c r="I323" s="282">
        <v>2515000</v>
      </c>
      <c r="J323" s="277"/>
      <c r="K323" s="1121"/>
      <c r="M323" s="271"/>
      <c r="N323" s="271"/>
    </row>
    <row r="324" s="246" customFormat="1">
      <c r="B324" s="277"/>
      <c r="C324" s="278" t="s">
        <v>834</v>
      </c>
      <c r="D324" s="277" t="s">
        <v>835</v>
      </c>
      <c r="E324" s="280">
        <v>44109</v>
      </c>
      <c r="F324" s="280"/>
      <c r="G324" s="280" t="s">
        <v>62</v>
      </c>
      <c r="H324" s="281" t="s">
        <v>63</v>
      </c>
      <c r="I324" s="282">
        <v>2515000</v>
      </c>
      <c r="J324" s="277"/>
      <c r="K324" s="1121"/>
      <c r="M324" s="271"/>
      <c r="N324" s="271"/>
    </row>
    <row r="325" s="246" customFormat="1">
      <c r="B325" s="277"/>
      <c r="C325" s="278" t="s">
        <v>836</v>
      </c>
      <c r="D325" s="277" t="s">
        <v>837</v>
      </c>
      <c r="E325" s="280"/>
      <c r="F325" s="280">
        <v>44100</v>
      </c>
      <c r="G325" s="280" t="s">
        <v>62</v>
      </c>
      <c r="H325" s="281" t="s">
        <v>63</v>
      </c>
      <c r="I325" s="282">
        <v>2515000</v>
      </c>
      <c r="J325" s="277"/>
      <c r="K325" s="1121"/>
      <c r="M325" s="271"/>
      <c r="N325" s="271"/>
    </row>
    <row r="326" s="246" customFormat="1">
      <c r="B326" s="277"/>
      <c r="C326" s="278" t="s">
        <v>838</v>
      </c>
      <c r="D326" s="277" t="s">
        <v>795</v>
      </c>
      <c r="E326" s="280"/>
      <c r="F326" s="280">
        <v>44095</v>
      </c>
      <c r="G326" s="280" t="s">
        <v>62</v>
      </c>
      <c r="H326" s="281" t="s">
        <v>63</v>
      </c>
      <c r="I326" s="282">
        <v>2515000</v>
      </c>
      <c r="J326" s="277"/>
      <c r="K326" s="1121"/>
      <c r="M326" s="271"/>
      <c r="N326" s="271"/>
    </row>
    <row r="327" s="246" customFormat="1">
      <c r="B327" s="277"/>
      <c r="C327" s="278" t="s">
        <v>127</v>
      </c>
      <c r="D327" s="277" t="s">
        <v>128</v>
      </c>
      <c r="E327" s="280">
        <v>44110</v>
      </c>
      <c r="F327" s="280"/>
      <c r="G327" s="280" t="s">
        <v>62</v>
      </c>
      <c r="H327" s="281" t="s">
        <v>63</v>
      </c>
      <c r="I327" s="282">
        <v>2515000</v>
      </c>
      <c r="J327" s="277"/>
      <c r="K327" s="1121"/>
      <c r="M327" s="271"/>
      <c r="N327" s="271"/>
    </row>
    <row r="328" s="246" customFormat="1">
      <c r="B328" s="277"/>
      <c r="C328" s="278" t="s">
        <v>839</v>
      </c>
      <c r="D328" s="277" t="s">
        <v>781</v>
      </c>
      <c r="E328" s="280"/>
      <c r="F328" s="280">
        <v>44104</v>
      </c>
      <c r="G328" s="280" t="s">
        <v>62</v>
      </c>
      <c r="H328" s="281" t="s">
        <v>63</v>
      </c>
      <c r="I328" s="282">
        <v>2515000</v>
      </c>
      <c r="J328" s="277"/>
      <c r="K328" s="1121"/>
      <c r="M328" s="271"/>
      <c r="N328" s="271"/>
    </row>
    <row r="329" s="246" customFormat="1">
      <c r="B329" s="277"/>
      <c r="C329" s="278" t="s">
        <v>840</v>
      </c>
      <c r="D329" s="277" t="s">
        <v>841</v>
      </c>
      <c r="E329" s="280">
        <v>44115</v>
      </c>
      <c r="F329" s="280"/>
      <c r="G329" s="280" t="s">
        <v>62</v>
      </c>
      <c r="H329" s="281" t="s">
        <v>63</v>
      </c>
      <c r="I329" s="282">
        <v>2515000</v>
      </c>
      <c r="J329" s="277"/>
      <c r="K329" s="1121"/>
      <c r="M329" s="271"/>
      <c r="N329" s="271"/>
    </row>
    <row r="330" s="246" customFormat="1">
      <c r="B330" s="277"/>
      <c r="C330" s="278" t="s">
        <v>842</v>
      </c>
      <c r="D330" s="277" t="s">
        <v>12</v>
      </c>
      <c r="E330" s="280"/>
      <c r="F330" s="280">
        <v>44099</v>
      </c>
      <c r="G330" s="280" t="s">
        <v>62</v>
      </c>
      <c r="H330" s="281" t="s">
        <v>63</v>
      </c>
      <c r="I330" s="282">
        <v>2515000</v>
      </c>
      <c r="J330" s="277"/>
      <c r="K330" s="1121"/>
      <c r="M330" s="271"/>
      <c r="N330" s="271"/>
    </row>
    <row r="331" s="246" customFormat="1">
      <c r="B331" s="277"/>
      <c r="C331" s="278" t="s">
        <v>843</v>
      </c>
      <c r="D331" s="277" t="s">
        <v>844</v>
      </c>
      <c r="E331" s="280">
        <v>44112</v>
      </c>
      <c r="F331" s="280"/>
      <c r="G331" s="280" t="s">
        <v>573</v>
      </c>
      <c r="H331" s="281" t="s">
        <v>614</v>
      </c>
      <c r="I331" s="282">
        <v>4276349</v>
      </c>
      <c r="J331" s="277"/>
      <c r="K331" s="1121"/>
      <c r="M331" s="271"/>
      <c r="N331" s="271"/>
    </row>
    <row r="332" s="246" customFormat="1">
      <c r="B332" s="277"/>
      <c r="C332" s="278" t="s">
        <v>845</v>
      </c>
      <c r="D332" s="277" t="s">
        <v>846</v>
      </c>
      <c r="E332" s="280">
        <v>44112</v>
      </c>
      <c r="F332" s="280"/>
      <c r="G332" s="280" t="s">
        <v>573</v>
      </c>
      <c r="H332" s="281" t="s">
        <v>614</v>
      </c>
      <c r="I332" s="282">
        <v>4276349</v>
      </c>
      <c r="J332" s="277"/>
      <c r="K332" s="1121"/>
      <c r="M332" s="271"/>
      <c r="N332" s="271"/>
    </row>
    <row r="333" s="246" customFormat="1">
      <c r="B333" s="277"/>
      <c r="C333" s="278" t="s">
        <v>847</v>
      </c>
      <c r="D333" s="277" t="s">
        <v>848</v>
      </c>
      <c r="E333" s="280">
        <v>44112</v>
      </c>
      <c r="F333" s="280"/>
      <c r="G333" s="280" t="s">
        <v>573</v>
      </c>
      <c r="H333" s="281" t="s">
        <v>614</v>
      </c>
      <c r="I333" s="282">
        <v>4276349</v>
      </c>
      <c r="J333" s="277"/>
      <c r="K333" s="1121"/>
      <c r="M333" s="271"/>
      <c r="N333" s="271"/>
    </row>
    <row r="334" s="246" customFormat="1">
      <c r="B334" s="277"/>
      <c r="C334" s="278" t="s">
        <v>849</v>
      </c>
      <c r="D334" s="277" t="s">
        <v>850</v>
      </c>
      <c r="E334" s="280">
        <v>44111</v>
      </c>
      <c r="F334" s="280"/>
      <c r="G334" s="280" t="s">
        <v>573</v>
      </c>
      <c r="H334" s="281" t="s">
        <v>614</v>
      </c>
      <c r="I334" s="282">
        <v>4276349</v>
      </c>
      <c r="J334" s="277"/>
      <c r="K334" s="1121"/>
      <c r="M334" s="271"/>
      <c r="N334" s="271"/>
    </row>
    <row r="335" s="246" customFormat="1">
      <c r="B335" s="277"/>
      <c r="C335" s="278" t="s">
        <v>851</v>
      </c>
      <c r="D335" s="277" t="s">
        <v>852</v>
      </c>
      <c r="E335" s="280">
        <v>44112</v>
      </c>
      <c r="F335" s="280"/>
      <c r="G335" s="280" t="s">
        <v>771</v>
      </c>
      <c r="H335" s="281" t="s">
        <v>614</v>
      </c>
      <c r="I335" s="282">
        <v>4276349</v>
      </c>
      <c r="J335" s="277"/>
      <c r="K335" s="1121"/>
      <c r="M335" s="271"/>
      <c r="N335" s="271"/>
    </row>
    <row r="336" s="246" customFormat="1">
      <c r="B336" s="277"/>
      <c r="C336" s="278" t="s">
        <v>853</v>
      </c>
      <c r="D336" s="277" t="s">
        <v>854</v>
      </c>
      <c r="E336" s="280">
        <v>44092</v>
      </c>
      <c r="F336" s="280"/>
      <c r="G336" s="280" t="s">
        <v>602</v>
      </c>
      <c r="H336" s="281" t="s">
        <v>63</v>
      </c>
      <c r="I336" s="282">
        <v>3310723</v>
      </c>
      <c r="J336" s="277"/>
      <c r="K336" s="1121"/>
      <c r="M336" s="271"/>
      <c r="N336" s="271"/>
    </row>
    <row r="337" s="246" customFormat="1">
      <c r="B337" s="277"/>
      <c r="C337" s="278" t="s">
        <v>855</v>
      </c>
      <c r="D337" s="277" t="s">
        <v>856</v>
      </c>
      <c r="E337" s="280">
        <v>44116</v>
      </c>
      <c r="F337" s="280"/>
      <c r="G337" s="280" t="s">
        <v>602</v>
      </c>
      <c r="H337" s="281" t="s">
        <v>63</v>
      </c>
      <c r="I337" s="282">
        <v>3310723</v>
      </c>
      <c r="J337" s="277"/>
      <c r="K337" s="1121"/>
      <c r="M337" s="271"/>
      <c r="N337" s="271"/>
    </row>
    <row r="338" s="246" customFormat="1">
      <c r="B338" s="277"/>
      <c r="C338" s="278" t="s">
        <v>857</v>
      </c>
      <c r="D338" s="277" t="s">
        <v>858</v>
      </c>
      <c r="E338" s="280">
        <v>44116</v>
      </c>
      <c r="F338" s="280"/>
      <c r="G338" s="280" t="s">
        <v>602</v>
      </c>
      <c r="H338" s="281" t="s">
        <v>63</v>
      </c>
      <c r="I338" s="282">
        <v>3310723</v>
      </c>
      <c r="J338" s="277"/>
      <c r="K338" s="1121"/>
      <c r="M338" s="271"/>
      <c r="N338" s="271"/>
    </row>
    <row r="339" s="246" customFormat="1">
      <c r="B339" s="277"/>
      <c r="C339" s="278" t="s">
        <v>859</v>
      </c>
      <c r="D339" s="277" t="s">
        <v>860</v>
      </c>
      <c r="E339" s="280">
        <v>44116</v>
      </c>
      <c r="F339" s="280"/>
      <c r="G339" s="280" t="s">
        <v>602</v>
      </c>
      <c r="H339" s="281" t="s">
        <v>63</v>
      </c>
      <c r="I339" s="282">
        <v>3310723</v>
      </c>
      <c r="J339" s="277"/>
      <c r="K339" s="1121"/>
      <c r="M339" s="271"/>
      <c r="N339" s="271"/>
    </row>
    <row r="340" s="246" customFormat="1">
      <c r="B340" s="277"/>
      <c r="C340" s="278" t="s">
        <v>861</v>
      </c>
      <c r="D340" s="277" t="s">
        <v>603</v>
      </c>
      <c r="E340" s="280">
        <v>44116</v>
      </c>
      <c r="F340" s="280"/>
      <c r="G340" s="280" t="s">
        <v>602</v>
      </c>
      <c r="H340" s="281" t="s">
        <v>63</v>
      </c>
      <c r="I340" s="282">
        <v>3310723</v>
      </c>
      <c r="J340" s="277"/>
      <c r="K340" s="1121"/>
      <c r="M340" s="271"/>
      <c r="N340" s="271"/>
    </row>
    <row r="341" s="246" customFormat="1">
      <c r="B341" s="277"/>
      <c r="C341" s="278" t="s">
        <v>862</v>
      </c>
      <c r="D341" s="277" t="s">
        <v>863</v>
      </c>
      <c r="E341" s="280"/>
      <c r="F341" s="280">
        <v>44104</v>
      </c>
      <c r="G341" s="280" t="s">
        <v>602</v>
      </c>
      <c r="H341" s="281" t="s">
        <v>63</v>
      </c>
      <c r="I341" s="282">
        <v>3310723</v>
      </c>
      <c r="J341" s="277"/>
      <c r="K341" s="1121"/>
      <c r="M341" s="271"/>
      <c r="N341" s="271"/>
    </row>
    <row r="342" s="246" customFormat="1">
      <c r="B342" s="277"/>
      <c r="C342" s="278" t="s">
        <v>864</v>
      </c>
      <c r="D342" s="277" t="s">
        <v>865</v>
      </c>
      <c r="E342" s="280"/>
      <c r="F342" s="280">
        <v>44091</v>
      </c>
      <c r="G342" s="280" t="s">
        <v>602</v>
      </c>
      <c r="H342" s="281" t="s">
        <v>63</v>
      </c>
      <c r="I342" s="282">
        <v>3310723</v>
      </c>
      <c r="J342" s="277"/>
      <c r="K342" s="1121"/>
      <c r="M342" s="271"/>
      <c r="N342" s="271"/>
    </row>
    <row r="343" s="246" customFormat="1">
      <c r="B343" s="277"/>
      <c r="C343" s="278" t="s">
        <v>866</v>
      </c>
      <c r="D343" s="277" t="s">
        <v>736</v>
      </c>
      <c r="E343" s="280">
        <v>44116</v>
      </c>
      <c r="F343" s="280"/>
      <c r="G343" s="280" t="s">
        <v>737</v>
      </c>
      <c r="H343" s="281" t="s">
        <v>63</v>
      </c>
      <c r="I343" s="282">
        <v>2788826</v>
      </c>
      <c r="J343" s="277"/>
      <c r="K343" s="1121"/>
      <c r="M343" s="271"/>
      <c r="N343" s="271"/>
    </row>
    <row r="344" s="246" customFormat="1">
      <c r="B344" s="277"/>
      <c r="C344" s="278" t="s">
        <v>867</v>
      </c>
      <c r="D344" s="277" t="s">
        <v>738</v>
      </c>
      <c r="E344" s="280">
        <v>44116</v>
      </c>
      <c r="F344" s="280"/>
      <c r="G344" s="280" t="s">
        <v>737</v>
      </c>
      <c r="H344" s="281" t="s">
        <v>63</v>
      </c>
      <c r="I344" s="282">
        <v>2788826</v>
      </c>
      <c r="J344" s="277"/>
      <c r="K344" s="1121"/>
      <c r="M344" s="271"/>
      <c r="N344" s="271"/>
    </row>
    <row r="345" s="246" customFormat="1">
      <c r="B345" s="277"/>
      <c r="C345" s="278" t="s">
        <v>868</v>
      </c>
      <c r="D345" s="277" t="s">
        <v>869</v>
      </c>
      <c r="E345" s="280"/>
      <c r="F345" s="280">
        <v>44104</v>
      </c>
      <c r="G345" s="280" t="s">
        <v>737</v>
      </c>
      <c r="H345" s="281" t="s">
        <v>63</v>
      </c>
      <c r="I345" s="282">
        <v>2788826</v>
      </c>
      <c r="J345" s="277"/>
      <c r="K345" s="1121"/>
      <c r="M345" s="271"/>
      <c r="N345" s="271"/>
    </row>
    <row r="346" s="246" customFormat="1">
      <c r="B346" s="277"/>
      <c r="C346" s="278" t="s">
        <v>870</v>
      </c>
      <c r="D346" s="277" t="s">
        <v>871</v>
      </c>
      <c r="E346" s="280">
        <v>44103</v>
      </c>
      <c r="F346" s="280"/>
      <c r="G346" s="280" t="s">
        <v>495</v>
      </c>
      <c r="H346" s="281" t="s">
        <v>614</v>
      </c>
      <c r="I346" s="282">
        <v>3165519</v>
      </c>
      <c r="J346" s="277"/>
      <c r="K346" s="1121"/>
      <c r="M346" s="271"/>
      <c r="N346" s="271"/>
    </row>
    <row r="347" s="246" customFormat="1">
      <c r="B347" s="277"/>
      <c r="C347" s="278" t="s">
        <v>496</v>
      </c>
      <c r="D347" s="277" t="s">
        <v>497</v>
      </c>
      <c r="E347" s="280">
        <v>44103</v>
      </c>
      <c r="F347" s="280"/>
      <c r="G347" s="280" t="s">
        <v>495</v>
      </c>
      <c r="H347" s="281" t="s">
        <v>614</v>
      </c>
      <c r="I347" s="282">
        <v>3165519</v>
      </c>
      <c r="J347" s="277"/>
      <c r="K347" s="1121"/>
      <c r="M347" s="271"/>
      <c r="N347" s="271"/>
    </row>
    <row r="348" s="246" customFormat="1">
      <c r="B348" s="277"/>
      <c r="C348" s="278" t="s">
        <v>498</v>
      </c>
      <c r="D348" s="277" t="s">
        <v>499</v>
      </c>
      <c r="E348" s="280">
        <v>44103</v>
      </c>
      <c r="F348" s="280"/>
      <c r="G348" s="280" t="s">
        <v>495</v>
      </c>
      <c r="H348" s="281" t="s">
        <v>614</v>
      </c>
      <c r="I348" s="282">
        <v>3165519</v>
      </c>
      <c r="J348" s="277"/>
      <c r="K348" s="1121"/>
      <c r="M348" s="271"/>
      <c r="N348" s="271"/>
    </row>
    <row r="349" s="246" customFormat="1">
      <c r="B349" s="277"/>
      <c r="C349" s="278" t="s">
        <v>500</v>
      </c>
      <c r="D349" s="277" t="s">
        <v>501</v>
      </c>
      <c r="E349" s="280">
        <v>44103</v>
      </c>
      <c r="F349" s="280"/>
      <c r="G349" s="280" t="s">
        <v>495</v>
      </c>
      <c r="H349" s="281" t="s">
        <v>614</v>
      </c>
      <c r="I349" s="282">
        <v>3165519</v>
      </c>
      <c r="J349" s="277"/>
      <c r="K349" s="1121"/>
      <c r="M349" s="271"/>
      <c r="N349" s="271"/>
    </row>
    <row r="350" s="246" customFormat="1">
      <c r="B350" s="277"/>
      <c r="C350" s="278" t="s">
        <v>872</v>
      </c>
      <c r="D350" s="277" t="s">
        <v>873</v>
      </c>
      <c r="E350" s="280">
        <v>44112</v>
      </c>
      <c r="F350" s="280"/>
      <c r="G350" s="280" t="s">
        <v>811</v>
      </c>
      <c r="H350" s="281" t="s">
        <v>811</v>
      </c>
      <c r="I350" s="282">
        <v>4276349</v>
      </c>
      <c r="J350" s="277"/>
      <c r="K350" s="1121"/>
      <c r="M350" s="271"/>
      <c r="N350" s="271"/>
    </row>
    <row r="351" s="246" customFormat="1">
      <c r="B351" s="277"/>
      <c r="C351" s="278" t="s">
        <v>814</v>
      </c>
      <c r="D351" s="277" t="s">
        <v>815</v>
      </c>
      <c r="E351" s="280"/>
      <c r="F351" s="280">
        <v>44110</v>
      </c>
      <c r="G351" s="280" t="s">
        <v>811</v>
      </c>
      <c r="H351" s="281" t="s">
        <v>811</v>
      </c>
      <c r="I351" s="282">
        <v>4276349</v>
      </c>
      <c r="J351" s="277"/>
      <c r="K351" s="1121"/>
      <c r="M351" s="271"/>
      <c r="N351" s="271"/>
    </row>
    <row r="352" s="246" customFormat="1">
      <c r="B352" s="277"/>
      <c r="C352" s="278" t="s">
        <v>478</v>
      </c>
      <c r="D352" s="277" t="s">
        <v>479</v>
      </c>
      <c r="E352" s="280">
        <v>44111</v>
      </c>
      <c r="F352" s="280"/>
      <c r="G352" s="280" t="s">
        <v>480</v>
      </c>
      <c r="H352" s="281" t="s">
        <v>614</v>
      </c>
      <c r="I352" s="282">
        <v>2653222</v>
      </c>
      <c r="J352" s="277"/>
      <c r="K352" s="1121"/>
      <c r="M352" s="271"/>
      <c r="N352" s="271"/>
    </row>
    <row r="353" s="246" customFormat="1">
      <c r="B353" s="277"/>
      <c r="C353" s="278" t="s">
        <v>481</v>
      </c>
      <c r="D353" s="277" t="s">
        <v>482</v>
      </c>
      <c r="E353" s="280">
        <v>44111</v>
      </c>
      <c r="F353" s="280"/>
      <c r="G353" s="280" t="s">
        <v>480</v>
      </c>
      <c r="H353" s="281" t="s">
        <v>614</v>
      </c>
      <c r="I353" s="282">
        <v>2653222</v>
      </c>
      <c r="J353" s="277"/>
      <c r="K353" s="1121"/>
      <c r="M353" s="271"/>
      <c r="N353" s="271"/>
    </row>
    <row r="354" s="246" customFormat="1">
      <c r="B354" s="277"/>
      <c r="C354" s="278" t="s">
        <v>466</v>
      </c>
      <c r="D354" s="277" t="s">
        <v>467</v>
      </c>
      <c r="E354" s="280">
        <v>44109</v>
      </c>
      <c r="F354" s="280"/>
      <c r="G354" s="280" t="s">
        <v>468</v>
      </c>
      <c r="H354" s="281" t="s">
        <v>614</v>
      </c>
      <c r="I354" s="282">
        <v>2630162</v>
      </c>
      <c r="J354" s="277"/>
      <c r="K354" s="1121"/>
      <c r="M354" s="271"/>
      <c r="N354" s="271"/>
    </row>
    <row r="355" s="246" customFormat="1">
      <c r="B355" s="277"/>
      <c r="C355" s="278" t="s">
        <v>455</v>
      </c>
      <c r="D355" s="277" t="s">
        <v>456</v>
      </c>
      <c r="E355" s="280">
        <v>44111</v>
      </c>
      <c r="F355" s="280"/>
      <c r="G355" s="280" t="s">
        <v>62</v>
      </c>
      <c r="H355" s="281" t="s">
        <v>614</v>
      </c>
      <c r="I355" s="282">
        <v>2515000</v>
      </c>
      <c r="J355" s="277"/>
      <c r="K355" s="1121"/>
      <c r="M355" s="271"/>
      <c r="N355" s="271"/>
    </row>
    <row r="356" s="246" customFormat="1">
      <c r="B356" s="277"/>
      <c r="C356" s="278" t="s">
        <v>457</v>
      </c>
      <c r="D356" s="277" t="s">
        <v>458</v>
      </c>
      <c r="E356" s="280">
        <v>44111</v>
      </c>
      <c r="F356" s="280"/>
      <c r="G356" s="280" t="s">
        <v>62</v>
      </c>
      <c r="H356" s="281" t="s">
        <v>614</v>
      </c>
      <c r="I356" s="282">
        <v>2515000</v>
      </c>
      <c r="J356" s="277"/>
      <c r="K356" s="1121"/>
      <c r="M356" s="271"/>
      <c r="N356" s="271"/>
    </row>
    <row r="357" s="246" customFormat="1">
      <c r="B357" s="277"/>
      <c r="C357" s="278"/>
      <c r="D357" s="277"/>
      <c r="E357" s="280"/>
      <c r="F357" s="280"/>
      <c r="G357" s="280"/>
      <c r="H357" s="281"/>
      <c r="I357" s="282"/>
      <c r="J357" s="277"/>
      <c r="K357" s="1121"/>
      <c r="M357" s="271"/>
      <c r="N357" s="271"/>
    </row>
    <row r="358" s="246" customFormat="1">
      <c r="B358" s="262"/>
      <c r="C358" s="263"/>
      <c r="D358" s="262"/>
      <c r="E358" s="264"/>
      <c r="F358" s="264"/>
      <c r="G358" s="264"/>
      <c r="H358" s="265"/>
      <c r="I358" s="269"/>
      <c r="J358" s="262"/>
      <c r="K358" s="275"/>
      <c r="M358" s="271"/>
      <c r="N358" s="271"/>
    </row>
    <row r="359" ht="18.75" customHeight="1" s="246" customFormat="1">
      <c r="B359" s="277"/>
      <c r="C359" s="278"/>
      <c r="D359" s="277" t="s">
        <v>719</v>
      </c>
      <c r="E359" s="280"/>
      <c r="F359" s="280">
        <v>44123</v>
      </c>
      <c r="G359" s="280" t="s">
        <v>243</v>
      </c>
      <c r="H359" s="281" t="s">
        <v>63</v>
      </c>
      <c r="I359" s="282">
        <v>2877448</v>
      </c>
      <c r="J359" s="277"/>
      <c r="K359" s="1121" t="s">
        <v>874</v>
      </c>
      <c r="M359" s="271"/>
      <c r="N359" s="271"/>
    </row>
    <row r="360" s="246" customFormat="1">
      <c r="B360" s="277"/>
      <c r="C360" s="278"/>
      <c r="D360" s="277" t="s">
        <v>875</v>
      </c>
      <c r="E360" s="280"/>
      <c r="F360" s="280">
        <v>44126</v>
      </c>
      <c r="G360" s="280" t="s">
        <v>243</v>
      </c>
      <c r="H360" s="281" t="s">
        <v>63</v>
      </c>
      <c r="I360" s="282">
        <v>2877448</v>
      </c>
      <c r="J360" s="277"/>
      <c r="K360" s="1121"/>
      <c r="M360" s="271"/>
      <c r="N360" s="271"/>
    </row>
    <row r="361" s="246" customFormat="1">
      <c r="B361" s="277"/>
      <c r="C361" s="278"/>
      <c r="D361" s="277" t="s">
        <v>560</v>
      </c>
      <c r="E361" s="280"/>
      <c r="F361" s="280">
        <v>44135</v>
      </c>
      <c r="G361" s="280" t="s">
        <v>243</v>
      </c>
      <c r="H361" s="281" t="s">
        <v>63</v>
      </c>
      <c r="I361" s="282">
        <v>2877448</v>
      </c>
      <c r="J361" s="277"/>
      <c r="K361" s="1121"/>
      <c r="M361" s="271"/>
      <c r="N361" s="271"/>
    </row>
    <row r="362" s="246" customFormat="1">
      <c r="B362" s="277"/>
      <c r="C362" s="278"/>
      <c r="D362" s="277" t="s">
        <v>777</v>
      </c>
      <c r="E362" s="280"/>
      <c r="F362" s="280">
        <v>44092</v>
      </c>
      <c r="G362" s="280" t="s">
        <v>243</v>
      </c>
      <c r="H362" s="281" t="s">
        <v>63</v>
      </c>
      <c r="I362" s="282">
        <v>2877448</v>
      </c>
      <c r="J362" s="277"/>
      <c r="K362" s="1121"/>
      <c r="M362" s="271"/>
      <c r="N362" s="271"/>
    </row>
    <row r="363" s="246" customFormat="1">
      <c r="B363" s="277"/>
      <c r="C363" s="278"/>
      <c r="D363" s="277" t="s">
        <v>876</v>
      </c>
      <c r="E363" s="280">
        <v>44124</v>
      </c>
      <c r="F363" s="280"/>
      <c r="G363" s="280" t="s">
        <v>243</v>
      </c>
      <c r="H363" s="281" t="s">
        <v>63</v>
      </c>
      <c r="I363" s="282">
        <v>2877448</v>
      </c>
      <c r="J363" s="277"/>
      <c r="K363" s="1121"/>
      <c r="M363" s="271"/>
      <c r="N363" s="271"/>
    </row>
    <row r="364" s="246" customFormat="1">
      <c r="B364" s="277"/>
      <c r="C364" s="278"/>
      <c r="D364" s="277" t="s">
        <v>877</v>
      </c>
      <c r="E364" s="280">
        <v>44136</v>
      </c>
      <c r="F364" s="280"/>
      <c r="G364" s="280" t="s">
        <v>243</v>
      </c>
      <c r="H364" s="281" t="s">
        <v>63</v>
      </c>
      <c r="I364" s="282">
        <v>2877448</v>
      </c>
      <c r="J364" s="277"/>
      <c r="K364" s="1121"/>
      <c r="M364" s="271"/>
      <c r="N364" s="271"/>
    </row>
    <row r="365" s="246" customFormat="1">
      <c r="B365" s="277"/>
      <c r="C365" s="278"/>
      <c r="D365" s="277" t="s">
        <v>360</v>
      </c>
      <c r="E365" s="280">
        <v>44141</v>
      </c>
      <c r="F365" s="280"/>
      <c r="G365" s="280" t="s">
        <v>243</v>
      </c>
      <c r="H365" s="281" t="s">
        <v>63</v>
      </c>
      <c r="I365" s="282">
        <v>2877448</v>
      </c>
      <c r="J365" s="277"/>
      <c r="K365" s="1121"/>
      <c r="M365" s="271"/>
      <c r="N365" s="271"/>
    </row>
    <row r="366" s="246" customFormat="1">
      <c r="B366" s="277"/>
      <c r="C366" s="278"/>
      <c r="D366" s="277" t="s">
        <v>878</v>
      </c>
      <c r="E366" s="280"/>
      <c r="F366" s="280">
        <v>44135</v>
      </c>
      <c r="G366" s="280" t="s">
        <v>62</v>
      </c>
      <c r="H366" s="281" t="s">
        <v>63</v>
      </c>
      <c r="I366" s="282">
        <v>2515000</v>
      </c>
      <c r="J366" s="277"/>
      <c r="K366" s="1121"/>
      <c r="M366" s="271"/>
      <c r="N366" s="271"/>
    </row>
    <row r="367" s="246" customFormat="1">
      <c r="B367" s="277"/>
      <c r="C367" s="278"/>
      <c r="D367" s="277" t="s">
        <v>879</v>
      </c>
      <c r="E367" s="280"/>
      <c r="F367" s="280">
        <v>44135</v>
      </c>
      <c r="G367" s="280" t="s">
        <v>62</v>
      </c>
      <c r="H367" s="281" t="s">
        <v>63</v>
      </c>
      <c r="I367" s="282">
        <v>2515000</v>
      </c>
      <c r="J367" s="277"/>
      <c r="K367" s="1121"/>
      <c r="M367" s="271"/>
      <c r="N367" s="271"/>
    </row>
    <row r="368" s="246" customFormat="1">
      <c r="B368" s="277"/>
      <c r="C368" s="278"/>
      <c r="D368" s="277" t="s">
        <v>880</v>
      </c>
      <c r="E368" s="280"/>
      <c r="F368" s="280">
        <v>44135</v>
      </c>
      <c r="G368" s="280" t="s">
        <v>62</v>
      </c>
      <c r="H368" s="281" t="s">
        <v>63</v>
      </c>
      <c r="I368" s="282">
        <v>2515000</v>
      </c>
      <c r="J368" s="277"/>
      <c r="K368" s="1121"/>
      <c r="M368" s="271"/>
      <c r="N368" s="271"/>
    </row>
    <row r="369" s="246" customFormat="1">
      <c r="B369" s="277"/>
      <c r="C369" s="278"/>
      <c r="D369" s="277" t="s">
        <v>586</v>
      </c>
      <c r="E369" s="280"/>
      <c r="F369" s="280">
        <v>44135</v>
      </c>
      <c r="G369" s="280" t="s">
        <v>62</v>
      </c>
      <c r="H369" s="281" t="s">
        <v>63</v>
      </c>
      <c r="I369" s="282">
        <v>2515000</v>
      </c>
      <c r="J369" s="277"/>
      <c r="K369" s="1121"/>
      <c r="M369" s="271"/>
      <c r="N369" s="271"/>
    </row>
    <row r="370" s="246" customFormat="1">
      <c r="B370" s="277"/>
      <c r="C370" s="278"/>
      <c r="D370" s="277" t="s">
        <v>745</v>
      </c>
      <c r="E370" s="280"/>
      <c r="F370" s="280">
        <v>44135</v>
      </c>
      <c r="G370" s="280" t="s">
        <v>62</v>
      </c>
      <c r="H370" s="281" t="s">
        <v>63</v>
      </c>
      <c r="I370" s="282">
        <v>2515000</v>
      </c>
      <c r="J370" s="277"/>
      <c r="K370" s="1121"/>
      <c r="M370" s="271"/>
      <c r="N370" s="271"/>
    </row>
    <row r="371" s="246" customFormat="1">
      <c r="B371" s="277"/>
      <c r="C371" s="278"/>
      <c r="D371" s="277" t="s">
        <v>565</v>
      </c>
      <c r="E371" s="280"/>
      <c r="F371" s="280">
        <v>44135</v>
      </c>
      <c r="G371" s="280" t="s">
        <v>62</v>
      </c>
      <c r="H371" s="281" t="s">
        <v>63</v>
      </c>
      <c r="I371" s="282">
        <v>2515000</v>
      </c>
      <c r="J371" s="277"/>
      <c r="K371" s="1121"/>
      <c r="M371" s="271"/>
      <c r="N371" s="271"/>
    </row>
    <row r="372" s="246" customFormat="1">
      <c r="B372" s="277"/>
      <c r="C372" s="278"/>
      <c r="D372" s="277" t="s">
        <v>881</v>
      </c>
      <c r="E372" s="280"/>
      <c r="F372" s="280">
        <v>44135</v>
      </c>
      <c r="G372" s="280" t="s">
        <v>62</v>
      </c>
      <c r="H372" s="281" t="s">
        <v>63</v>
      </c>
      <c r="I372" s="282">
        <v>2515000</v>
      </c>
      <c r="J372" s="277"/>
      <c r="K372" s="1121"/>
      <c r="M372" s="271"/>
      <c r="N372" s="271"/>
    </row>
    <row r="373" s="246" customFormat="1">
      <c r="B373" s="277"/>
      <c r="C373" s="278"/>
      <c r="D373" s="277" t="s">
        <v>748</v>
      </c>
      <c r="E373" s="280"/>
      <c r="F373" s="280">
        <v>44135</v>
      </c>
      <c r="G373" s="280" t="s">
        <v>62</v>
      </c>
      <c r="H373" s="281" t="s">
        <v>63</v>
      </c>
      <c r="I373" s="282">
        <v>2515000</v>
      </c>
      <c r="J373" s="277"/>
      <c r="K373" s="1121"/>
      <c r="M373" s="271"/>
      <c r="N373" s="271"/>
    </row>
    <row r="374" s="246" customFormat="1">
      <c r="B374" s="277"/>
      <c r="C374" s="278"/>
      <c r="D374" s="277" t="s">
        <v>882</v>
      </c>
      <c r="E374" s="280"/>
      <c r="F374" s="280">
        <v>44135</v>
      </c>
      <c r="G374" s="280" t="s">
        <v>62</v>
      </c>
      <c r="H374" s="281" t="s">
        <v>63</v>
      </c>
      <c r="I374" s="282">
        <v>2515000</v>
      </c>
      <c r="J374" s="277"/>
      <c r="K374" s="1121"/>
      <c r="M374" s="271"/>
      <c r="N374" s="271"/>
    </row>
    <row r="375" s="246" customFormat="1">
      <c r="B375" s="277"/>
      <c r="C375" s="278"/>
      <c r="D375" s="277" t="s">
        <v>883</v>
      </c>
      <c r="E375" s="280"/>
      <c r="F375" s="280">
        <v>44118</v>
      </c>
      <c r="G375" s="280" t="s">
        <v>62</v>
      </c>
      <c r="H375" s="281" t="s">
        <v>63</v>
      </c>
      <c r="I375" s="282">
        <v>2515000</v>
      </c>
      <c r="J375" s="277"/>
      <c r="K375" s="1121"/>
      <c r="M375" s="271"/>
      <c r="N375" s="271"/>
    </row>
    <row r="376" s="246" customFormat="1">
      <c r="B376" s="277"/>
      <c r="C376" s="278"/>
      <c r="D376" s="277" t="s">
        <v>884</v>
      </c>
      <c r="E376" s="280">
        <v>44120</v>
      </c>
      <c r="F376" s="280"/>
      <c r="G376" s="280" t="s">
        <v>62</v>
      </c>
      <c r="H376" s="281" t="s">
        <v>63</v>
      </c>
      <c r="I376" s="282">
        <v>2515000</v>
      </c>
      <c r="J376" s="277"/>
      <c r="K376" s="1121"/>
      <c r="M376" s="271"/>
      <c r="N376" s="271"/>
    </row>
    <row r="377" s="246" customFormat="1">
      <c r="B377" s="277"/>
      <c r="C377" s="278"/>
      <c r="D377" s="277" t="s">
        <v>885</v>
      </c>
      <c r="E377" s="280">
        <v>44124</v>
      </c>
      <c r="F377" s="280">
        <v>44146</v>
      </c>
      <c r="G377" s="280" t="s">
        <v>62</v>
      </c>
      <c r="H377" s="281" t="s">
        <v>63</v>
      </c>
      <c r="I377" s="282">
        <v>2515000</v>
      </c>
      <c r="J377" s="277"/>
      <c r="K377" s="1121"/>
      <c r="M377" s="271"/>
      <c r="N377" s="271"/>
    </row>
    <row r="378" s="246" customFormat="1">
      <c r="B378" s="277"/>
      <c r="C378" s="278"/>
      <c r="D378" s="277" t="s">
        <v>209</v>
      </c>
      <c r="E378" s="280">
        <v>44130</v>
      </c>
      <c r="F378" s="280"/>
      <c r="G378" s="280" t="s">
        <v>62</v>
      </c>
      <c r="H378" s="281" t="s">
        <v>63</v>
      </c>
      <c r="I378" s="282">
        <v>2515000</v>
      </c>
      <c r="J378" s="277"/>
      <c r="K378" s="1121"/>
      <c r="M378" s="271"/>
      <c r="N378" s="271"/>
    </row>
    <row r="379" s="246" customFormat="1">
      <c r="B379" s="277"/>
      <c r="C379" s="278"/>
      <c r="D379" s="277" t="s">
        <v>130</v>
      </c>
      <c r="E379" s="280">
        <v>44137</v>
      </c>
      <c r="F379" s="280"/>
      <c r="G379" s="280" t="s">
        <v>62</v>
      </c>
      <c r="H379" s="281" t="s">
        <v>63</v>
      </c>
      <c r="I379" s="282">
        <v>2515000</v>
      </c>
      <c r="J379" s="277"/>
      <c r="K379" s="1121"/>
      <c r="M379" s="271"/>
      <c r="N379" s="271"/>
    </row>
    <row r="380" s="246" customFormat="1">
      <c r="B380" s="277"/>
      <c r="C380" s="278"/>
      <c r="D380" s="277" t="s">
        <v>132</v>
      </c>
      <c r="E380" s="280">
        <v>44136</v>
      </c>
      <c r="F380" s="280"/>
      <c r="G380" s="280" t="s">
        <v>62</v>
      </c>
      <c r="H380" s="281" t="s">
        <v>63</v>
      </c>
      <c r="I380" s="282">
        <v>2515000</v>
      </c>
      <c r="J380" s="277"/>
      <c r="K380" s="1121"/>
      <c r="M380" s="271"/>
      <c r="N380" s="271"/>
    </row>
    <row r="381" s="246" customFormat="1">
      <c r="B381" s="277"/>
      <c r="C381" s="278"/>
      <c r="D381" s="277" t="s">
        <v>886</v>
      </c>
      <c r="E381" s="280">
        <v>44136</v>
      </c>
      <c r="F381" s="280"/>
      <c r="G381" s="280" t="s">
        <v>62</v>
      </c>
      <c r="H381" s="281" t="s">
        <v>63</v>
      </c>
      <c r="I381" s="282">
        <v>2515000</v>
      </c>
      <c r="J381" s="277"/>
      <c r="K381" s="1121"/>
      <c r="M381" s="271"/>
      <c r="N381" s="271"/>
    </row>
    <row r="382" s="246" customFormat="1">
      <c r="B382" s="277"/>
      <c r="C382" s="278"/>
      <c r="D382" s="277" t="s">
        <v>212</v>
      </c>
      <c r="E382" s="280">
        <v>44136</v>
      </c>
      <c r="F382" s="280"/>
      <c r="G382" s="280" t="s">
        <v>62</v>
      </c>
      <c r="H382" s="281" t="s">
        <v>63</v>
      </c>
      <c r="I382" s="282">
        <v>2515000</v>
      </c>
      <c r="J382" s="277"/>
      <c r="K382" s="1121"/>
      <c r="M382" s="271"/>
      <c r="N382" s="271"/>
    </row>
    <row r="383" s="246" customFormat="1">
      <c r="B383" s="277"/>
      <c r="C383" s="278"/>
      <c r="D383" s="277" t="s">
        <v>887</v>
      </c>
      <c r="E383" s="280">
        <v>44136</v>
      </c>
      <c r="F383" s="280"/>
      <c r="G383" s="280" t="s">
        <v>62</v>
      </c>
      <c r="H383" s="281" t="s">
        <v>63</v>
      </c>
      <c r="I383" s="282">
        <v>2515000</v>
      </c>
      <c r="J383" s="277"/>
      <c r="K383" s="1121"/>
      <c r="M383" s="271"/>
      <c r="N383" s="271"/>
    </row>
    <row r="384" s="246" customFormat="1">
      <c r="B384" s="277"/>
      <c r="C384" s="278"/>
      <c r="D384" s="277" t="s">
        <v>888</v>
      </c>
      <c r="E384" s="280">
        <v>44136</v>
      </c>
      <c r="F384" s="280"/>
      <c r="G384" s="280" t="s">
        <v>62</v>
      </c>
      <c r="H384" s="281" t="s">
        <v>63</v>
      </c>
      <c r="I384" s="282">
        <v>2515000</v>
      </c>
      <c r="J384" s="277"/>
      <c r="K384" s="1121"/>
      <c r="M384" s="271"/>
      <c r="N384" s="271"/>
    </row>
    <row r="385" s="246" customFormat="1">
      <c r="B385" s="277"/>
      <c r="C385" s="278"/>
      <c r="D385" s="277" t="s">
        <v>889</v>
      </c>
      <c r="E385" s="280">
        <v>44136</v>
      </c>
      <c r="F385" s="280"/>
      <c r="G385" s="280" t="s">
        <v>62</v>
      </c>
      <c r="H385" s="281" t="s">
        <v>63</v>
      </c>
      <c r="I385" s="282">
        <v>2515000</v>
      </c>
      <c r="J385" s="277"/>
      <c r="K385" s="1121"/>
      <c r="M385" s="271"/>
      <c r="N385" s="271"/>
    </row>
    <row r="386" s="246" customFormat="1">
      <c r="B386" s="277"/>
      <c r="C386" s="278"/>
      <c r="D386" s="277" t="s">
        <v>890</v>
      </c>
      <c r="E386" s="280">
        <v>44136</v>
      </c>
      <c r="F386" s="280"/>
      <c r="G386" s="280" t="s">
        <v>62</v>
      </c>
      <c r="H386" s="281" t="s">
        <v>63</v>
      </c>
      <c r="I386" s="282">
        <v>2515000</v>
      </c>
      <c r="J386" s="277"/>
      <c r="K386" s="1121"/>
      <c r="M386" s="271"/>
      <c r="N386" s="271"/>
    </row>
    <row r="387" s="246" customFormat="1">
      <c r="B387" s="277"/>
      <c r="C387" s="278"/>
      <c r="D387" s="277" t="s">
        <v>891</v>
      </c>
      <c r="E387" s="280">
        <v>44136</v>
      </c>
      <c r="F387" s="280"/>
      <c r="G387" s="280" t="s">
        <v>62</v>
      </c>
      <c r="H387" s="281" t="s">
        <v>63</v>
      </c>
      <c r="I387" s="282">
        <v>2515000</v>
      </c>
      <c r="J387" s="277"/>
      <c r="K387" s="1121"/>
      <c r="M387" s="271"/>
      <c r="N387" s="271"/>
    </row>
    <row r="388" s="246" customFormat="1">
      <c r="B388" s="277"/>
      <c r="C388" s="278"/>
      <c r="D388" s="277" t="s">
        <v>892</v>
      </c>
      <c r="E388" s="280">
        <v>44146</v>
      </c>
      <c r="F388" s="280"/>
      <c r="G388" s="280" t="s">
        <v>62</v>
      </c>
      <c r="H388" s="281" t="s">
        <v>63</v>
      </c>
      <c r="I388" s="282">
        <v>2515000</v>
      </c>
      <c r="J388" s="277"/>
      <c r="K388" s="1121"/>
      <c r="M388" s="271"/>
      <c r="N388" s="271"/>
    </row>
    <row r="389" s="246" customFormat="1">
      <c r="B389" s="277"/>
      <c r="C389" s="278"/>
      <c r="D389" s="277" t="s">
        <v>841</v>
      </c>
      <c r="E389" s="280"/>
      <c r="F389" s="280">
        <v>44146</v>
      </c>
      <c r="G389" s="280" t="s">
        <v>62</v>
      </c>
      <c r="H389" s="281" t="s">
        <v>63</v>
      </c>
      <c r="I389" s="282">
        <v>2515000</v>
      </c>
      <c r="J389" s="277"/>
      <c r="K389" s="1121"/>
      <c r="M389" s="271"/>
      <c r="N389" s="271"/>
    </row>
    <row r="390" s="246" customFormat="1">
      <c r="B390" s="277"/>
      <c r="C390" s="278"/>
      <c r="D390" s="277" t="s">
        <v>757</v>
      </c>
      <c r="E390" s="280"/>
      <c r="F390" s="280">
        <v>44146</v>
      </c>
      <c r="G390" s="280" t="s">
        <v>62</v>
      </c>
      <c r="H390" s="281" t="s">
        <v>63</v>
      </c>
      <c r="I390" s="282">
        <v>2515000</v>
      </c>
      <c r="J390" s="277"/>
      <c r="K390" s="1121"/>
      <c r="M390" s="271"/>
      <c r="N390" s="271"/>
    </row>
    <row r="391" s="246" customFormat="1">
      <c r="B391" s="277"/>
      <c r="C391" s="278"/>
      <c r="D391" s="277" t="s">
        <v>758</v>
      </c>
      <c r="E391" s="280"/>
      <c r="F391" s="280">
        <v>44140</v>
      </c>
      <c r="G391" s="280" t="s">
        <v>573</v>
      </c>
      <c r="H391" s="281" t="s">
        <v>421</v>
      </c>
      <c r="I391" s="282">
        <v>4276349</v>
      </c>
      <c r="J391" s="277"/>
      <c r="K391" s="1121"/>
      <c r="M391" s="271"/>
      <c r="N391" s="271"/>
    </row>
    <row r="392" s="246" customFormat="1">
      <c r="B392" s="277"/>
      <c r="C392" s="278"/>
      <c r="D392" s="277" t="s">
        <v>893</v>
      </c>
      <c r="E392" s="280">
        <v>44120</v>
      </c>
      <c r="F392" s="280"/>
      <c r="G392" s="280" t="s">
        <v>573</v>
      </c>
      <c r="H392" s="281" t="s">
        <v>421</v>
      </c>
      <c r="I392" s="282">
        <v>4276349</v>
      </c>
      <c r="J392" s="277"/>
      <c r="K392" s="1121"/>
      <c r="M392" s="271"/>
      <c r="N392" s="271"/>
    </row>
    <row r="393" s="246" customFormat="1">
      <c r="B393" s="277"/>
      <c r="C393" s="278"/>
      <c r="D393" s="277" t="s">
        <v>894</v>
      </c>
      <c r="E393" s="280"/>
      <c r="F393" s="280">
        <v>44124</v>
      </c>
      <c r="G393" s="280" t="s">
        <v>495</v>
      </c>
      <c r="H393" s="281" t="s">
        <v>421</v>
      </c>
      <c r="I393" s="282">
        <v>3165519</v>
      </c>
      <c r="J393" s="277"/>
      <c r="K393" s="1121"/>
      <c r="M393" s="271"/>
      <c r="N393" s="271"/>
    </row>
    <row r="394" s="246" customFormat="1">
      <c r="B394" s="277"/>
      <c r="C394" s="278"/>
      <c r="D394" s="277" t="s">
        <v>895</v>
      </c>
      <c r="E394" s="280"/>
      <c r="F394" s="280">
        <v>44135</v>
      </c>
      <c r="G394" s="280" t="s">
        <v>495</v>
      </c>
      <c r="H394" s="281" t="s">
        <v>421</v>
      </c>
      <c r="I394" s="282">
        <v>3165519</v>
      </c>
      <c r="J394" s="277"/>
      <c r="K394" s="1121"/>
      <c r="M394" s="271"/>
      <c r="N394" s="271"/>
    </row>
    <row r="395" s="246" customFormat="1">
      <c r="B395" s="277"/>
      <c r="C395" s="278"/>
      <c r="D395" s="277" t="s">
        <v>503</v>
      </c>
      <c r="E395" s="280">
        <v>44123</v>
      </c>
      <c r="F395" s="280"/>
      <c r="G395" s="280" t="s">
        <v>495</v>
      </c>
      <c r="H395" s="281" t="s">
        <v>421</v>
      </c>
      <c r="I395" s="282">
        <v>3165519</v>
      </c>
      <c r="J395" s="277"/>
      <c r="K395" s="1121"/>
      <c r="M395" s="271"/>
      <c r="N395" s="271"/>
    </row>
    <row r="396" s="246" customFormat="1">
      <c r="B396" s="277"/>
      <c r="C396" s="278"/>
      <c r="D396" s="277" t="s">
        <v>896</v>
      </c>
      <c r="E396" s="280">
        <v>44136</v>
      </c>
      <c r="F396" s="280"/>
      <c r="G396" s="280" t="s">
        <v>495</v>
      </c>
      <c r="H396" s="281" t="s">
        <v>421</v>
      </c>
      <c r="I396" s="282">
        <v>3165519</v>
      </c>
      <c r="J396" s="277"/>
      <c r="K396" s="1121"/>
      <c r="M396" s="271"/>
      <c r="N396" s="271"/>
    </row>
    <row r="397" s="246" customFormat="1">
      <c r="B397" s="277"/>
      <c r="C397" s="278"/>
      <c r="D397" s="277" t="s">
        <v>897</v>
      </c>
      <c r="E397" s="280">
        <v>44123</v>
      </c>
      <c r="F397" s="280"/>
      <c r="G397" s="280" t="s">
        <v>898</v>
      </c>
      <c r="H397" s="281" t="s">
        <v>421</v>
      </c>
      <c r="I397" s="282">
        <v>2530182</v>
      </c>
      <c r="J397" s="277"/>
      <c r="K397" s="1121"/>
      <c r="M397" s="271"/>
      <c r="N397" s="271"/>
    </row>
    <row r="398" s="246" customFormat="1">
      <c r="B398" s="277"/>
      <c r="C398" s="278"/>
      <c r="D398" s="277" t="s">
        <v>899</v>
      </c>
      <c r="E398" s="280">
        <v>44137</v>
      </c>
      <c r="F398" s="280"/>
      <c r="G398" s="280" t="s">
        <v>573</v>
      </c>
      <c r="H398" s="281" t="s">
        <v>614</v>
      </c>
      <c r="I398" s="282">
        <v>4276349</v>
      </c>
      <c r="J398" s="277"/>
      <c r="K398" s="1121"/>
      <c r="M398" s="271"/>
      <c r="N398" s="271"/>
    </row>
    <row r="399" s="246" customFormat="1">
      <c r="B399" s="277"/>
      <c r="C399" s="278"/>
      <c r="D399" s="277" t="s">
        <v>900</v>
      </c>
      <c r="E399" s="280">
        <v>44148</v>
      </c>
      <c r="F399" s="280"/>
      <c r="G399" s="280" t="s">
        <v>766</v>
      </c>
      <c r="H399" s="281" t="s">
        <v>421</v>
      </c>
      <c r="I399" s="282">
        <v>4276349</v>
      </c>
      <c r="J399" s="277"/>
      <c r="K399" s="1121"/>
      <c r="M399" s="271"/>
      <c r="N399" s="271"/>
    </row>
    <row r="400" s="246" customFormat="1">
      <c r="B400" s="277"/>
      <c r="C400" s="278"/>
      <c r="D400" s="277" t="s">
        <v>901</v>
      </c>
      <c r="E400" s="280"/>
      <c r="F400" s="280">
        <v>44148</v>
      </c>
      <c r="G400" s="280" t="s">
        <v>602</v>
      </c>
      <c r="H400" s="281" t="s">
        <v>63</v>
      </c>
      <c r="I400" s="282">
        <v>3310723</v>
      </c>
      <c r="J400" s="277"/>
      <c r="K400" s="1121"/>
      <c r="M400" s="271"/>
      <c r="N400" s="271"/>
    </row>
    <row r="401" s="246" customFormat="1">
      <c r="B401" s="277"/>
      <c r="C401" s="278"/>
      <c r="D401" s="277" t="s">
        <v>902</v>
      </c>
      <c r="E401" s="280">
        <v>44148</v>
      </c>
      <c r="F401" s="280"/>
      <c r="G401" s="280" t="s">
        <v>602</v>
      </c>
      <c r="H401" s="281" t="s">
        <v>63</v>
      </c>
      <c r="I401" s="282">
        <v>3310723</v>
      </c>
      <c r="J401" s="277"/>
      <c r="K401" s="1121"/>
      <c r="M401" s="271"/>
      <c r="N401" s="271"/>
    </row>
    <row r="402" s="246" customFormat="1">
      <c r="B402" s="262"/>
      <c r="C402" s="263"/>
      <c r="D402" s="262"/>
      <c r="E402" s="264"/>
      <c r="F402" s="264"/>
      <c r="G402" s="264"/>
      <c r="H402" s="265"/>
      <c r="I402" s="269"/>
      <c r="J402" s="262"/>
      <c r="K402" s="275"/>
      <c r="M402" s="271"/>
      <c r="N402" s="271"/>
    </row>
    <row r="403" ht="18.75" customHeight="1" s="246" customFormat="1">
      <c r="B403" s="277"/>
      <c r="C403" s="278"/>
      <c r="D403" s="277" t="s">
        <v>903</v>
      </c>
      <c r="E403" s="280"/>
      <c r="F403" s="280">
        <v>44159</v>
      </c>
      <c r="G403" s="280" t="s">
        <v>243</v>
      </c>
      <c r="H403" s="281" t="s">
        <v>63</v>
      </c>
      <c r="I403" s="282">
        <v>2877448</v>
      </c>
      <c r="J403" s="277"/>
      <c r="K403" s="1121" t="s">
        <v>904</v>
      </c>
      <c r="M403" s="271"/>
      <c r="N403" s="271"/>
    </row>
    <row r="404" s="246" customFormat="1">
      <c r="B404" s="277"/>
      <c r="C404" s="278"/>
      <c r="D404" s="277" t="s">
        <v>755</v>
      </c>
      <c r="E404" s="280"/>
      <c r="F404" s="280">
        <v>44162</v>
      </c>
      <c r="G404" s="280" t="s">
        <v>243</v>
      </c>
      <c r="H404" s="281" t="s">
        <v>63</v>
      </c>
      <c r="I404" s="282">
        <v>2877448</v>
      </c>
      <c r="J404" s="277"/>
      <c r="K404" s="1121"/>
      <c r="M404" s="271"/>
      <c r="N404" s="271"/>
    </row>
    <row r="405" s="246" customFormat="1">
      <c r="B405" s="277"/>
      <c r="C405" s="278"/>
      <c r="D405" s="277" t="s">
        <v>378</v>
      </c>
      <c r="E405" s="280"/>
      <c r="F405" s="280">
        <v>44165</v>
      </c>
      <c r="G405" s="280" t="s">
        <v>243</v>
      </c>
      <c r="H405" s="281" t="s">
        <v>63</v>
      </c>
      <c r="I405" s="282">
        <v>2877448</v>
      </c>
      <c r="J405" s="277"/>
      <c r="K405" s="1121"/>
      <c r="M405" s="271"/>
      <c r="N405" s="271"/>
    </row>
    <row r="406" s="246" customFormat="1">
      <c r="B406" s="277"/>
      <c r="C406" s="278"/>
      <c r="D406" s="277" t="s">
        <v>260</v>
      </c>
      <c r="E406" s="280"/>
      <c r="F406" s="280">
        <v>44169</v>
      </c>
      <c r="G406" s="280" t="s">
        <v>243</v>
      </c>
      <c r="H406" s="281" t="s">
        <v>63</v>
      </c>
      <c r="I406" s="282">
        <v>2877448</v>
      </c>
      <c r="J406" s="277"/>
      <c r="K406" s="1121"/>
      <c r="M406" s="271"/>
      <c r="N406" s="271"/>
    </row>
    <row r="407" s="246" customFormat="1">
      <c r="B407" s="277"/>
      <c r="C407" s="278"/>
      <c r="D407" s="277" t="s">
        <v>744</v>
      </c>
      <c r="E407" s="280"/>
      <c r="F407" s="280">
        <v>44170</v>
      </c>
      <c r="G407" s="280" t="s">
        <v>243</v>
      </c>
      <c r="H407" s="281" t="s">
        <v>63</v>
      </c>
      <c r="I407" s="282">
        <v>2877448</v>
      </c>
      <c r="J407" s="277"/>
      <c r="K407" s="1121"/>
      <c r="M407" s="271"/>
      <c r="N407" s="271"/>
    </row>
    <row r="408" s="246" customFormat="1">
      <c r="B408" s="277"/>
      <c r="C408" s="278"/>
      <c r="D408" s="277" t="s">
        <v>362</v>
      </c>
      <c r="E408" s="280">
        <v>44159</v>
      </c>
      <c r="F408" s="280"/>
      <c r="G408" s="280" t="s">
        <v>243</v>
      </c>
      <c r="H408" s="281" t="s">
        <v>63</v>
      </c>
      <c r="I408" s="282">
        <v>2877448</v>
      </c>
      <c r="J408" s="277"/>
      <c r="K408" s="1121"/>
      <c r="M408" s="271"/>
      <c r="N408" s="271"/>
    </row>
    <row r="409" s="246" customFormat="1">
      <c r="B409" s="277"/>
      <c r="C409" s="278"/>
      <c r="D409" s="277" t="s">
        <v>364</v>
      </c>
      <c r="E409" s="280">
        <v>44165</v>
      </c>
      <c r="F409" s="280"/>
      <c r="G409" s="280" t="s">
        <v>243</v>
      </c>
      <c r="H409" s="281" t="s">
        <v>63</v>
      </c>
      <c r="I409" s="282">
        <v>2877448</v>
      </c>
      <c r="J409" s="277"/>
      <c r="K409" s="1121"/>
      <c r="M409" s="271"/>
      <c r="N409" s="271"/>
    </row>
    <row r="410" s="246" customFormat="1">
      <c r="B410" s="277"/>
      <c r="C410" s="278"/>
      <c r="D410" s="277" t="s">
        <v>366</v>
      </c>
      <c r="E410" s="280">
        <v>44166</v>
      </c>
      <c r="F410" s="280"/>
      <c r="G410" s="280" t="s">
        <v>243</v>
      </c>
      <c r="H410" s="281" t="s">
        <v>63</v>
      </c>
      <c r="I410" s="282">
        <v>2877448</v>
      </c>
      <c r="J410" s="277"/>
      <c r="K410" s="1121"/>
      <c r="M410" s="271"/>
      <c r="N410" s="271"/>
    </row>
    <row r="411" s="246" customFormat="1">
      <c r="B411" s="277"/>
      <c r="C411" s="278"/>
      <c r="D411" s="277" t="s">
        <v>368</v>
      </c>
      <c r="E411" s="280">
        <v>44170</v>
      </c>
      <c r="F411" s="280"/>
      <c r="G411" s="280" t="s">
        <v>243</v>
      </c>
      <c r="H411" s="281" t="s">
        <v>63</v>
      </c>
      <c r="I411" s="282">
        <v>2877448</v>
      </c>
      <c r="J411" s="277"/>
      <c r="K411" s="1121"/>
      <c r="M411" s="271"/>
      <c r="N411" s="271"/>
    </row>
    <row r="412" s="246" customFormat="1">
      <c r="B412" s="277"/>
      <c r="C412" s="278"/>
      <c r="D412" s="277" t="s">
        <v>905</v>
      </c>
      <c r="E412" s="280">
        <v>44169</v>
      </c>
      <c r="F412" s="280"/>
      <c r="G412" s="280" t="s">
        <v>243</v>
      </c>
      <c r="H412" s="281" t="s">
        <v>63</v>
      </c>
      <c r="I412" s="282">
        <v>2877448</v>
      </c>
      <c r="J412" s="277"/>
      <c r="K412" s="1121"/>
      <c r="M412" s="271"/>
      <c r="N412" s="271"/>
    </row>
    <row r="413" s="246" customFormat="1">
      <c r="B413" s="277"/>
      <c r="C413" s="278"/>
      <c r="D413" s="277" t="s">
        <v>906</v>
      </c>
      <c r="E413" s="280">
        <v>44158</v>
      </c>
      <c r="F413" s="280"/>
      <c r="G413" s="280" t="s">
        <v>602</v>
      </c>
      <c r="H413" s="281" t="s">
        <v>63</v>
      </c>
      <c r="I413" s="282">
        <v>3310723</v>
      </c>
      <c r="J413" s="277"/>
      <c r="K413" s="1121"/>
      <c r="M413" s="271"/>
      <c r="N413" s="271"/>
    </row>
    <row r="414" s="246" customFormat="1">
      <c r="B414" s="277"/>
      <c r="C414" s="278"/>
      <c r="D414" s="277" t="s">
        <v>907</v>
      </c>
      <c r="E414" s="280">
        <v>44166</v>
      </c>
      <c r="F414" s="280"/>
      <c r="G414" s="280" t="s">
        <v>602</v>
      </c>
      <c r="H414" s="281" t="s">
        <v>63</v>
      </c>
      <c r="I414" s="282">
        <v>3310723</v>
      </c>
      <c r="J414" s="277"/>
      <c r="K414" s="1121"/>
      <c r="M414" s="271"/>
      <c r="N414" s="271"/>
    </row>
    <row r="415" s="246" customFormat="1">
      <c r="B415" s="277"/>
      <c r="C415" s="278"/>
      <c r="D415" s="277" t="s">
        <v>908</v>
      </c>
      <c r="E415" s="280">
        <v>44167</v>
      </c>
      <c r="F415" s="280"/>
      <c r="G415" s="280" t="s">
        <v>602</v>
      </c>
      <c r="H415" s="281" t="s">
        <v>63</v>
      </c>
      <c r="I415" s="282">
        <v>3310723</v>
      </c>
      <c r="J415" s="277"/>
      <c r="K415" s="1121"/>
      <c r="M415" s="271"/>
      <c r="N415" s="271"/>
    </row>
    <row r="416" s="246" customFormat="1">
      <c r="B416" s="277"/>
      <c r="C416" s="278"/>
      <c r="D416" s="277" t="s">
        <v>909</v>
      </c>
      <c r="E416" s="280"/>
      <c r="F416" s="280">
        <v>44153</v>
      </c>
      <c r="G416" s="280" t="s">
        <v>602</v>
      </c>
      <c r="H416" s="281" t="s">
        <v>63</v>
      </c>
      <c r="I416" s="282">
        <v>3310723</v>
      </c>
      <c r="J416" s="277"/>
      <c r="K416" s="1121"/>
      <c r="M416" s="271"/>
      <c r="N416" s="271"/>
    </row>
    <row r="417" s="246" customFormat="1">
      <c r="B417" s="277"/>
      <c r="C417" s="278"/>
      <c r="D417" s="277" t="s">
        <v>710</v>
      </c>
      <c r="E417" s="280"/>
      <c r="F417" s="280">
        <v>44165</v>
      </c>
      <c r="G417" s="280" t="s">
        <v>602</v>
      </c>
      <c r="H417" s="281" t="s">
        <v>63</v>
      </c>
      <c r="I417" s="282">
        <v>3310723</v>
      </c>
      <c r="J417" s="277"/>
      <c r="K417" s="1121"/>
      <c r="M417" s="271"/>
      <c r="N417" s="271"/>
    </row>
    <row r="418" s="246" customFormat="1">
      <c r="B418" s="277"/>
      <c r="C418" s="278"/>
      <c r="D418" s="277" t="s">
        <v>901</v>
      </c>
      <c r="E418" s="280"/>
      <c r="F418" s="280">
        <v>44148</v>
      </c>
      <c r="G418" s="280" t="s">
        <v>602</v>
      </c>
      <c r="H418" s="281" t="s">
        <v>63</v>
      </c>
      <c r="I418" s="282">
        <v>3310723</v>
      </c>
      <c r="J418" s="277"/>
      <c r="K418" s="1121"/>
      <c r="M418" s="271"/>
      <c r="N418" s="271"/>
    </row>
    <row r="419" s="246" customFormat="1">
      <c r="B419" s="277"/>
      <c r="C419" s="278"/>
      <c r="D419" s="277" t="s">
        <v>910</v>
      </c>
      <c r="E419" s="280">
        <v>44159</v>
      </c>
      <c r="F419" s="280">
        <v>44173</v>
      </c>
      <c r="G419" s="280" t="s">
        <v>62</v>
      </c>
      <c r="H419" s="281" t="s">
        <v>63</v>
      </c>
      <c r="I419" s="282">
        <v>2515000</v>
      </c>
      <c r="J419" s="277"/>
      <c r="K419" s="1121"/>
      <c r="M419" s="271"/>
      <c r="N419" s="271"/>
    </row>
    <row r="420" s="246" customFormat="1">
      <c r="B420" s="277"/>
      <c r="C420" s="278"/>
      <c r="D420" s="277" t="s">
        <v>911</v>
      </c>
      <c r="E420" s="280">
        <v>44166</v>
      </c>
      <c r="F420" s="280"/>
      <c r="G420" s="280" t="s">
        <v>62</v>
      </c>
      <c r="H420" s="281" t="s">
        <v>63</v>
      </c>
      <c r="I420" s="282">
        <v>2515000</v>
      </c>
      <c r="J420" s="277"/>
      <c r="K420" s="1121"/>
      <c r="M420" s="271"/>
      <c r="N420" s="271"/>
    </row>
    <row r="421" s="246" customFormat="1">
      <c r="B421" s="277"/>
      <c r="C421" s="278"/>
      <c r="D421" s="277" t="s">
        <v>912</v>
      </c>
      <c r="E421" s="280">
        <v>44166</v>
      </c>
      <c r="F421" s="280"/>
      <c r="G421" s="280" t="s">
        <v>62</v>
      </c>
      <c r="H421" s="281" t="s">
        <v>63</v>
      </c>
      <c r="I421" s="282">
        <v>2515000</v>
      </c>
      <c r="J421" s="277"/>
      <c r="K421" s="1121"/>
      <c r="M421" s="271"/>
      <c r="N421" s="271"/>
    </row>
    <row r="422" s="246" customFormat="1">
      <c r="B422" s="277"/>
      <c r="C422" s="278"/>
      <c r="D422" s="277" t="s">
        <v>913</v>
      </c>
      <c r="E422" s="280">
        <v>44166</v>
      </c>
      <c r="F422" s="280"/>
      <c r="G422" s="280" t="s">
        <v>62</v>
      </c>
      <c r="H422" s="281" t="s">
        <v>63</v>
      </c>
      <c r="I422" s="282">
        <v>2515000</v>
      </c>
      <c r="J422" s="277"/>
      <c r="K422" s="1121"/>
      <c r="M422" s="271"/>
      <c r="N422" s="271"/>
    </row>
    <row r="423" s="246" customFormat="1">
      <c r="B423" s="277"/>
      <c r="C423" s="278"/>
      <c r="D423" s="277" t="s">
        <v>77</v>
      </c>
      <c r="E423" s="280">
        <v>44166</v>
      </c>
      <c r="F423" s="280"/>
      <c r="G423" s="280" t="s">
        <v>62</v>
      </c>
      <c r="H423" s="281" t="s">
        <v>63</v>
      </c>
      <c r="I423" s="282">
        <v>2515000</v>
      </c>
      <c r="J423" s="277"/>
      <c r="K423" s="1121"/>
      <c r="M423" s="271"/>
      <c r="N423" s="271"/>
    </row>
    <row r="424" s="246" customFormat="1">
      <c r="B424" s="277"/>
      <c r="C424" s="278"/>
      <c r="D424" s="277" t="s">
        <v>134</v>
      </c>
      <c r="E424" s="280">
        <v>44166</v>
      </c>
      <c r="F424" s="280"/>
      <c r="G424" s="280" t="s">
        <v>62</v>
      </c>
      <c r="H424" s="281" t="s">
        <v>63</v>
      </c>
      <c r="I424" s="282">
        <v>2515000</v>
      </c>
      <c r="J424" s="277"/>
      <c r="K424" s="1121"/>
      <c r="M424" s="271"/>
      <c r="N424" s="271"/>
    </row>
    <row r="425" s="246" customFormat="1">
      <c r="B425" s="277"/>
      <c r="C425" s="278"/>
      <c r="D425" s="277" t="s">
        <v>756</v>
      </c>
      <c r="E425" s="280"/>
      <c r="F425" s="280">
        <v>44165</v>
      </c>
      <c r="G425" s="280" t="s">
        <v>62</v>
      </c>
      <c r="H425" s="281" t="s">
        <v>63</v>
      </c>
      <c r="I425" s="282">
        <v>2515000</v>
      </c>
      <c r="J425" s="277"/>
      <c r="K425" s="1121"/>
      <c r="M425" s="271"/>
      <c r="N425" s="271"/>
    </row>
    <row r="426" s="246" customFormat="1">
      <c r="B426" s="277"/>
      <c r="C426" s="278"/>
      <c r="D426" s="277" t="s">
        <v>914</v>
      </c>
      <c r="E426" s="280"/>
      <c r="F426" s="280">
        <v>44165</v>
      </c>
      <c r="G426" s="280" t="s">
        <v>62</v>
      </c>
      <c r="H426" s="281" t="s">
        <v>63</v>
      </c>
      <c r="I426" s="282">
        <v>2515000</v>
      </c>
      <c r="J426" s="277"/>
      <c r="K426" s="1121"/>
      <c r="M426" s="271"/>
      <c r="N426" s="271"/>
    </row>
    <row r="427" s="246" customFormat="1">
      <c r="B427" s="277"/>
      <c r="C427" s="278"/>
      <c r="D427" s="277" t="s">
        <v>804</v>
      </c>
      <c r="E427" s="280"/>
      <c r="F427" s="280">
        <v>44165</v>
      </c>
      <c r="G427" s="280" t="s">
        <v>62</v>
      </c>
      <c r="H427" s="281" t="s">
        <v>63</v>
      </c>
      <c r="I427" s="282">
        <v>2515000</v>
      </c>
      <c r="J427" s="277"/>
      <c r="K427" s="1121"/>
      <c r="M427" s="271"/>
      <c r="N427" s="271"/>
    </row>
    <row r="428" s="246" customFormat="1">
      <c r="B428" s="277"/>
      <c r="C428" s="278"/>
      <c r="D428" s="277" t="s">
        <v>915</v>
      </c>
      <c r="E428" s="280"/>
      <c r="F428" s="280">
        <v>44165</v>
      </c>
      <c r="G428" s="280" t="s">
        <v>62</v>
      </c>
      <c r="H428" s="281" t="s">
        <v>63</v>
      </c>
      <c r="I428" s="282">
        <v>2515000</v>
      </c>
      <c r="J428" s="277"/>
      <c r="K428" s="1121"/>
      <c r="M428" s="271"/>
      <c r="N428" s="271"/>
    </row>
    <row r="429" s="246" customFormat="1">
      <c r="B429" s="277"/>
      <c r="C429" s="278"/>
      <c r="D429" s="277" t="s">
        <v>916</v>
      </c>
      <c r="E429" s="280"/>
      <c r="F429" s="280">
        <v>44165</v>
      </c>
      <c r="G429" s="280" t="s">
        <v>62</v>
      </c>
      <c r="H429" s="281" t="s">
        <v>63</v>
      </c>
      <c r="I429" s="282">
        <v>2515000</v>
      </c>
      <c r="J429" s="277"/>
      <c r="K429" s="1121"/>
      <c r="M429" s="271"/>
      <c r="N429" s="271"/>
    </row>
    <row r="430" s="246" customFormat="1">
      <c r="B430" s="277"/>
      <c r="C430" s="278"/>
      <c r="D430" s="277" t="s">
        <v>917</v>
      </c>
      <c r="E430" s="280"/>
      <c r="F430" s="280">
        <v>44165</v>
      </c>
      <c r="G430" s="280" t="s">
        <v>62</v>
      </c>
      <c r="H430" s="281" t="s">
        <v>63</v>
      </c>
      <c r="I430" s="282">
        <v>2515000</v>
      </c>
      <c r="J430" s="277"/>
      <c r="K430" s="1121"/>
      <c r="M430" s="271"/>
      <c r="N430" s="271"/>
    </row>
    <row r="431" s="246" customFormat="1">
      <c r="B431" s="277"/>
      <c r="C431" s="278"/>
      <c r="D431" s="277" t="s">
        <v>918</v>
      </c>
      <c r="E431" s="280">
        <v>44163</v>
      </c>
      <c r="F431" s="280"/>
      <c r="G431" s="280" t="s">
        <v>573</v>
      </c>
      <c r="H431" s="281" t="s">
        <v>614</v>
      </c>
      <c r="I431" s="282">
        <v>4276349</v>
      </c>
      <c r="J431" s="277"/>
      <c r="K431" s="1121"/>
      <c r="M431" s="271"/>
      <c r="N431" s="271"/>
    </row>
    <row r="432" s="246" customFormat="1">
      <c r="B432" s="277"/>
      <c r="C432" s="278"/>
      <c r="D432" s="277" t="s">
        <v>919</v>
      </c>
      <c r="E432" s="280">
        <v>44150</v>
      </c>
      <c r="F432" s="280"/>
      <c r="G432" s="280" t="s">
        <v>920</v>
      </c>
      <c r="H432" s="281" t="s">
        <v>614</v>
      </c>
      <c r="I432" s="282">
        <v>3191572.077</v>
      </c>
      <c r="J432" s="277"/>
      <c r="K432" s="1121"/>
      <c r="M432" s="271"/>
      <c r="N432" s="271"/>
    </row>
    <row r="433" s="246" customFormat="1">
      <c r="B433" s="277"/>
      <c r="C433" s="278"/>
      <c r="D433" s="277" t="s">
        <v>505</v>
      </c>
      <c r="E433" s="280">
        <v>44165</v>
      </c>
      <c r="F433" s="280"/>
      <c r="G433" s="280" t="s">
        <v>495</v>
      </c>
      <c r="H433" s="281" t="s">
        <v>421</v>
      </c>
      <c r="I433" s="282">
        <v>3165519</v>
      </c>
      <c r="J433" s="277"/>
      <c r="K433" s="1121"/>
      <c r="M433" s="271"/>
      <c r="N433" s="271"/>
    </row>
    <row r="434" s="246" customFormat="1">
      <c r="B434" s="277"/>
      <c r="C434" s="278"/>
      <c r="D434" s="277" t="s">
        <v>871</v>
      </c>
      <c r="E434" s="280"/>
      <c r="F434" s="280">
        <v>44165</v>
      </c>
      <c r="G434" s="280" t="s">
        <v>495</v>
      </c>
      <c r="H434" s="281" t="s">
        <v>421</v>
      </c>
      <c r="I434" s="282">
        <v>3165519</v>
      </c>
      <c r="J434" s="277"/>
      <c r="K434" s="1121"/>
      <c r="M434" s="271"/>
      <c r="N434" s="271"/>
    </row>
    <row r="435" s="246" customFormat="1">
      <c r="B435" s="277"/>
      <c r="C435" s="278"/>
      <c r="D435" s="277" t="s">
        <v>507</v>
      </c>
      <c r="E435" s="280">
        <v>44175</v>
      </c>
      <c r="F435" s="280"/>
      <c r="G435" s="280" t="s">
        <v>495</v>
      </c>
      <c r="H435" s="281" t="s">
        <v>421</v>
      </c>
      <c r="I435" s="282">
        <v>3165519</v>
      </c>
      <c r="J435" s="277"/>
      <c r="K435" s="1121"/>
      <c r="M435" s="271"/>
      <c r="N435" s="271"/>
    </row>
    <row r="436" s="246" customFormat="1">
      <c r="B436" s="277"/>
      <c r="C436" s="278"/>
      <c r="D436" s="277" t="s">
        <v>921</v>
      </c>
      <c r="E436" s="280">
        <v>44167</v>
      </c>
      <c r="F436" s="280"/>
      <c r="G436" s="280" t="s">
        <v>811</v>
      </c>
      <c r="H436" s="280" t="s">
        <v>811</v>
      </c>
      <c r="I436" s="282">
        <v>4276349</v>
      </c>
      <c r="J436" s="277"/>
      <c r="K436" s="1121"/>
      <c r="M436" s="271"/>
      <c r="N436" s="271"/>
    </row>
    <row r="437" s="246" customFormat="1">
      <c r="B437" s="277"/>
      <c r="C437" s="278"/>
      <c r="D437" s="277" t="s">
        <v>823</v>
      </c>
      <c r="E437" s="280"/>
      <c r="F437" s="280">
        <v>44167</v>
      </c>
      <c r="G437" s="280" t="s">
        <v>811</v>
      </c>
      <c r="H437" s="280" t="s">
        <v>811</v>
      </c>
      <c r="I437" s="282">
        <v>4276349</v>
      </c>
      <c r="J437" s="277"/>
      <c r="K437" s="1121"/>
      <c r="M437" s="271"/>
      <c r="N437" s="271"/>
    </row>
    <row r="438" s="246" customFormat="1">
      <c r="B438" s="277"/>
      <c r="C438" s="278"/>
      <c r="D438" s="277" t="s">
        <v>470</v>
      </c>
      <c r="E438" s="280">
        <v>44150</v>
      </c>
      <c r="F438" s="280"/>
      <c r="G438" s="280" t="s">
        <v>468</v>
      </c>
      <c r="H438" s="281" t="s">
        <v>421</v>
      </c>
      <c r="I438" s="282">
        <v>2900000</v>
      </c>
      <c r="J438" s="277"/>
      <c r="K438" s="1121"/>
      <c r="M438" s="271"/>
      <c r="N438" s="271"/>
    </row>
    <row r="439" s="246" customFormat="1">
      <c r="B439" s="277"/>
      <c r="C439" s="278"/>
      <c r="D439" s="277" t="s">
        <v>460</v>
      </c>
      <c r="E439" s="280">
        <v>44152</v>
      </c>
      <c r="F439" s="280"/>
      <c r="G439" s="280" t="s">
        <v>62</v>
      </c>
      <c r="H439" s="281" t="s">
        <v>421</v>
      </c>
      <c r="I439" s="282">
        <v>2515000</v>
      </c>
      <c r="J439" s="277"/>
      <c r="K439" s="1121"/>
      <c r="M439" s="271"/>
      <c r="N439" s="271"/>
    </row>
    <row r="440" s="246" customFormat="1">
      <c r="B440" s="277"/>
      <c r="C440" s="278"/>
      <c r="D440" s="277" t="s">
        <v>897</v>
      </c>
      <c r="E440" s="280"/>
      <c r="F440" s="280">
        <v>44165</v>
      </c>
      <c r="G440" s="280" t="s">
        <v>898</v>
      </c>
      <c r="H440" s="281" t="s">
        <v>421</v>
      </c>
      <c r="I440" s="282">
        <v>3028531</v>
      </c>
      <c r="J440" s="277" t="s">
        <v>922</v>
      </c>
      <c r="K440" s="1121"/>
      <c r="M440" s="271"/>
      <c r="N440" s="271"/>
    </row>
    <row r="441" s="246" customFormat="1">
      <c r="B441" s="277"/>
      <c r="C441" s="278"/>
      <c r="D441" s="277" t="s">
        <v>451</v>
      </c>
      <c r="E441" s="280">
        <v>44148</v>
      </c>
      <c r="F441" s="280"/>
      <c r="G441" s="280" t="s">
        <v>452</v>
      </c>
      <c r="H441" s="281" t="s">
        <v>421</v>
      </c>
      <c r="I441" s="282">
        <v>3230023</v>
      </c>
      <c r="J441" s="277"/>
      <c r="K441" s="1121"/>
      <c r="M441" s="271"/>
      <c r="N441" s="271"/>
    </row>
    <row r="442" s="246" customFormat="1">
      <c r="B442" s="277"/>
      <c r="C442" s="278"/>
      <c r="D442" s="277" t="s">
        <v>923</v>
      </c>
      <c r="E442" s="280"/>
      <c r="F442" s="280">
        <v>44170</v>
      </c>
      <c r="G442" s="280" t="s">
        <v>602</v>
      </c>
      <c r="H442" s="281" t="s">
        <v>63</v>
      </c>
      <c r="I442" s="282">
        <v>3310723</v>
      </c>
      <c r="J442" s="277"/>
      <c r="K442" s="1121"/>
      <c r="M442" s="271"/>
      <c r="N442" s="271"/>
    </row>
    <row r="443" s="246" customFormat="1">
      <c r="B443" s="277"/>
      <c r="C443" s="278"/>
      <c r="D443" s="277" t="s">
        <v>484</v>
      </c>
      <c r="E443" s="280">
        <v>44174</v>
      </c>
      <c r="F443" s="280"/>
      <c r="G443" s="280" t="s">
        <v>480</v>
      </c>
      <c r="H443" s="281" t="s">
        <v>421</v>
      </c>
      <c r="I443" s="282">
        <v>2653222</v>
      </c>
      <c r="J443" s="277"/>
      <c r="K443" s="1121"/>
      <c r="M443" s="271"/>
      <c r="N443" s="271"/>
    </row>
    <row r="444" s="246" customFormat="1">
      <c r="B444" s="262"/>
      <c r="C444" s="263"/>
      <c r="D444" s="262"/>
      <c r="E444" s="264"/>
      <c r="F444" s="264"/>
      <c r="G444" s="264"/>
      <c r="H444" s="265"/>
      <c r="I444" s="269"/>
      <c r="J444" s="262"/>
      <c r="K444" s="284"/>
      <c r="M444" s="271"/>
      <c r="N444" s="271"/>
    </row>
    <row r="445" ht="18.75" customHeight="1" s="246" customFormat="1">
      <c r="B445" s="277"/>
      <c r="C445" s="278"/>
      <c r="D445" s="277" t="s">
        <v>924</v>
      </c>
      <c r="E445" s="280">
        <v>44198</v>
      </c>
      <c r="F445" s="280"/>
      <c r="G445" s="280" t="s">
        <v>243</v>
      </c>
      <c r="H445" s="281" t="s">
        <v>63</v>
      </c>
      <c r="I445" s="282">
        <v>2877448</v>
      </c>
      <c r="J445" s="277"/>
      <c r="K445" s="1121" t="s">
        <v>925</v>
      </c>
      <c r="M445" s="271"/>
      <c r="N445" s="271"/>
    </row>
    <row r="446" s="246" customFormat="1">
      <c r="B446" s="277"/>
      <c r="C446" s="278"/>
      <c r="D446" s="277" t="s">
        <v>370</v>
      </c>
      <c r="E446" s="280">
        <v>44198</v>
      </c>
      <c r="F446" s="280"/>
      <c r="G446" s="280" t="s">
        <v>243</v>
      </c>
      <c r="H446" s="281" t="s">
        <v>63</v>
      </c>
      <c r="I446" s="282">
        <v>2877448</v>
      </c>
      <c r="J446" s="277"/>
      <c r="K446" s="1121"/>
      <c r="M446" s="271"/>
      <c r="N446" s="271"/>
    </row>
    <row r="447" s="246" customFormat="1">
      <c r="B447" s="277"/>
      <c r="C447" s="278"/>
      <c r="D447" s="277" t="s">
        <v>372</v>
      </c>
      <c r="E447" s="280">
        <v>44198</v>
      </c>
      <c r="F447" s="280"/>
      <c r="G447" s="280" t="s">
        <v>243</v>
      </c>
      <c r="H447" s="281" t="s">
        <v>63</v>
      </c>
      <c r="I447" s="282">
        <v>2877448</v>
      </c>
      <c r="J447" s="277"/>
      <c r="K447" s="1121"/>
      <c r="M447" s="271"/>
      <c r="N447" s="271"/>
    </row>
    <row r="448" s="246" customFormat="1">
      <c r="B448" s="277"/>
      <c r="C448" s="278"/>
      <c r="D448" s="277" t="s">
        <v>926</v>
      </c>
      <c r="E448" s="280">
        <v>44198</v>
      </c>
      <c r="F448" s="280"/>
      <c r="G448" s="280" t="s">
        <v>243</v>
      </c>
      <c r="H448" s="281" t="s">
        <v>63</v>
      </c>
      <c r="I448" s="282">
        <v>2877448</v>
      </c>
      <c r="J448" s="277"/>
      <c r="K448" s="1121"/>
      <c r="M448" s="271"/>
      <c r="N448" s="271"/>
    </row>
    <row r="449" s="246" customFormat="1">
      <c r="B449" s="277"/>
      <c r="C449" s="278"/>
      <c r="D449" s="277" t="s">
        <v>374</v>
      </c>
      <c r="E449" s="280">
        <v>44201</v>
      </c>
      <c r="F449" s="280"/>
      <c r="G449" s="280" t="s">
        <v>243</v>
      </c>
      <c r="H449" s="281" t="s">
        <v>63</v>
      </c>
      <c r="I449" s="282">
        <v>2877448</v>
      </c>
      <c r="J449" s="277"/>
      <c r="K449" s="1121"/>
      <c r="M449" s="271"/>
      <c r="N449" s="271"/>
    </row>
    <row r="450" s="246" customFormat="1">
      <c r="B450" s="277"/>
      <c r="C450" s="278"/>
      <c r="D450" s="277" t="s">
        <v>744</v>
      </c>
      <c r="E450" s="280"/>
      <c r="F450" s="280">
        <v>44201</v>
      </c>
      <c r="G450" s="280" t="s">
        <v>243</v>
      </c>
      <c r="H450" s="281" t="s">
        <v>63</v>
      </c>
      <c r="I450" s="282">
        <v>2877448</v>
      </c>
      <c r="J450" s="277"/>
      <c r="K450" s="1121"/>
      <c r="M450" s="271"/>
      <c r="N450" s="271"/>
    </row>
    <row r="451" s="246" customFormat="1">
      <c r="B451" s="277"/>
      <c r="C451" s="278"/>
      <c r="D451" s="277" t="s">
        <v>74</v>
      </c>
      <c r="E451" s="280">
        <v>44179</v>
      </c>
      <c r="F451" s="280"/>
      <c r="G451" s="280" t="s">
        <v>62</v>
      </c>
      <c r="H451" s="281" t="s">
        <v>421</v>
      </c>
      <c r="I451" s="282">
        <v>2515000</v>
      </c>
      <c r="J451" s="277"/>
      <c r="K451" s="1121"/>
      <c r="M451" s="271"/>
      <c r="N451" s="271"/>
    </row>
    <row r="452" s="246" customFormat="1">
      <c r="B452" s="277"/>
      <c r="C452" s="278"/>
      <c r="D452" s="277" t="s">
        <v>136</v>
      </c>
      <c r="E452" s="280">
        <v>44178</v>
      </c>
      <c r="F452" s="280"/>
      <c r="G452" s="280" t="s">
        <v>62</v>
      </c>
      <c r="H452" s="281" t="s">
        <v>421</v>
      </c>
      <c r="I452" s="282">
        <v>2515000</v>
      </c>
      <c r="J452" s="277"/>
      <c r="K452" s="1121"/>
      <c r="M452" s="271"/>
      <c r="N452" s="271"/>
    </row>
    <row r="453" s="246" customFormat="1">
      <c r="B453" s="277"/>
      <c r="C453" s="278"/>
      <c r="D453" s="277" t="s">
        <v>138</v>
      </c>
      <c r="E453" s="280">
        <v>44183</v>
      </c>
      <c r="F453" s="280"/>
      <c r="G453" s="280" t="s">
        <v>62</v>
      </c>
      <c r="H453" s="281" t="s">
        <v>421</v>
      </c>
      <c r="I453" s="282">
        <v>2515000</v>
      </c>
      <c r="J453" s="277"/>
      <c r="K453" s="1121"/>
      <c r="M453" s="271"/>
      <c r="N453" s="271"/>
    </row>
    <row r="454" s="246" customFormat="1">
      <c r="B454" s="277"/>
      <c r="C454" s="278"/>
      <c r="D454" s="277" t="s">
        <v>927</v>
      </c>
      <c r="E454" s="280">
        <v>44183</v>
      </c>
      <c r="F454" s="280"/>
      <c r="G454" s="280" t="s">
        <v>62</v>
      </c>
      <c r="H454" s="281" t="s">
        <v>421</v>
      </c>
      <c r="I454" s="282">
        <v>2515000</v>
      </c>
      <c r="J454" s="277"/>
      <c r="K454" s="1121"/>
      <c r="M454" s="271"/>
      <c r="N454" s="271"/>
    </row>
    <row r="455" s="246" customFormat="1">
      <c r="B455" s="277"/>
      <c r="C455" s="278"/>
      <c r="D455" s="277" t="s">
        <v>928</v>
      </c>
      <c r="E455" s="280">
        <v>44183</v>
      </c>
      <c r="F455" s="280"/>
      <c r="G455" s="280" t="s">
        <v>62</v>
      </c>
      <c r="H455" s="281" t="s">
        <v>421</v>
      </c>
      <c r="I455" s="282">
        <v>2515000</v>
      </c>
      <c r="J455" s="277"/>
      <c r="K455" s="1121"/>
      <c r="M455" s="271"/>
      <c r="N455" s="271"/>
    </row>
    <row r="456" s="246" customFormat="1">
      <c r="B456" s="277"/>
      <c r="C456" s="278"/>
      <c r="D456" s="277" t="s">
        <v>929</v>
      </c>
      <c r="E456" s="280">
        <v>44183</v>
      </c>
      <c r="F456" s="280"/>
      <c r="G456" s="280" t="s">
        <v>62</v>
      </c>
      <c r="H456" s="281" t="s">
        <v>421</v>
      </c>
      <c r="I456" s="282">
        <v>2515000</v>
      </c>
      <c r="J456" s="277"/>
      <c r="K456" s="1121"/>
      <c r="M456" s="271"/>
      <c r="N456" s="271"/>
    </row>
    <row r="457" s="246" customFormat="1">
      <c r="B457" s="277"/>
      <c r="C457" s="278"/>
      <c r="D457" s="277" t="s">
        <v>140</v>
      </c>
      <c r="E457" s="280">
        <v>44183</v>
      </c>
      <c r="F457" s="280"/>
      <c r="G457" s="280" t="s">
        <v>62</v>
      </c>
      <c r="H457" s="281" t="s">
        <v>421</v>
      </c>
      <c r="I457" s="282">
        <v>2515000</v>
      </c>
      <c r="J457" s="277"/>
      <c r="K457" s="1121"/>
      <c r="M457" s="271"/>
      <c r="N457" s="271"/>
    </row>
    <row r="458" s="246" customFormat="1">
      <c r="B458" s="277"/>
      <c r="C458" s="278"/>
      <c r="D458" s="277" t="s">
        <v>930</v>
      </c>
      <c r="E458" s="280">
        <v>44194</v>
      </c>
      <c r="F458" s="280"/>
      <c r="G458" s="280" t="s">
        <v>62</v>
      </c>
      <c r="H458" s="281" t="s">
        <v>421</v>
      </c>
      <c r="I458" s="282">
        <v>2515000</v>
      </c>
      <c r="J458" s="277"/>
      <c r="K458" s="1121"/>
      <c r="M458" s="271"/>
      <c r="N458" s="271"/>
    </row>
    <row r="459" s="246" customFormat="1">
      <c r="B459" s="277"/>
      <c r="C459" s="278"/>
      <c r="D459" s="277" t="s">
        <v>142</v>
      </c>
      <c r="E459" s="280">
        <v>44195</v>
      </c>
      <c r="F459" s="280"/>
      <c r="G459" s="280" t="s">
        <v>62</v>
      </c>
      <c r="H459" s="281" t="s">
        <v>421</v>
      </c>
      <c r="I459" s="282">
        <v>2515000</v>
      </c>
      <c r="J459" s="277"/>
      <c r="K459" s="1121"/>
      <c r="M459" s="271"/>
      <c r="N459" s="271"/>
    </row>
    <row r="460" s="246" customFormat="1">
      <c r="B460" s="277"/>
      <c r="C460" s="278"/>
      <c r="D460" s="277" t="s">
        <v>144</v>
      </c>
      <c r="E460" s="280">
        <v>44197</v>
      </c>
      <c r="F460" s="280"/>
      <c r="G460" s="280" t="s">
        <v>62</v>
      </c>
      <c r="H460" s="281" t="s">
        <v>421</v>
      </c>
      <c r="I460" s="282">
        <v>2515000</v>
      </c>
      <c r="J460" s="277"/>
      <c r="K460" s="1121"/>
      <c r="M460" s="271"/>
      <c r="N460" s="271"/>
    </row>
    <row r="461" s="246" customFormat="1">
      <c r="B461" s="277"/>
      <c r="C461" s="278"/>
      <c r="D461" s="277" t="s">
        <v>931</v>
      </c>
      <c r="E461" s="280">
        <v>44201</v>
      </c>
      <c r="F461" s="280"/>
      <c r="G461" s="280" t="s">
        <v>62</v>
      </c>
      <c r="H461" s="281" t="s">
        <v>421</v>
      </c>
      <c r="I461" s="282">
        <v>2515000</v>
      </c>
      <c r="J461" s="277"/>
      <c r="K461" s="1121"/>
      <c r="M461" s="271"/>
      <c r="N461" s="271"/>
    </row>
    <row r="462" s="246" customFormat="1">
      <c r="B462" s="277"/>
      <c r="C462" s="278"/>
      <c r="D462" s="277" t="s">
        <v>932</v>
      </c>
      <c r="E462" s="280">
        <v>44207</v>
      </c>
      <c r="F462" s="280"/>
      <c r="G462" s="280" t="s">
        <v>62</v>
      </c>
      <c r="H462" s="281" t="s">
        <v>421</v>
      </c>
      <c r="I462" s="282">
        <v>2515000</v>
      </c>
      <c r="J462" s="277"/>
      <c r="K462" s="1121"/>
      <c r="M462" s="271"/>
      <c r="N462" s="271"/>
    </row>
    <row r="463" s="246" customFormat="1">
      <c r="B463" s="277"/>
      <c r="C463" s="278"/>
      <c r="D463" s="277" t="s">
        <v>831</v>
      </c>
      <c r="E463" s="280"/>
      <c r="F463" s="280">
        <v>44180</v>
      </c>
      <c r="G463" s="280" t="s">
        <v>62</v>
      </c>
      <c r="H463" s="281" t="s">
        <v>421</v>
      </c>
      <c r="I463" s="282">
        <v>2515000</v>
      </c>
      <c r="J463" s="277"/>
      <c r="K463" s="1121"/>
      <c r="M463" s="271"/>
      <c r="N463" s="271"/>
    </row>
    <row r="464" s="246" customFormat="1">
      <c r="B464" s="277"/>
      <c r="C464" s="278"/>
      <c r="D464" s="277" t="s">
        <v>889</v>
      </c>
      <c r="E464" s="280"/>
      <c r="F464" s="280">
        <v>44180</v>
      </c>
      <c r="G464" s="280" t="s">
        <v>62</v>
      </c>
      <c r="H464" s="281" t="s">
        <v>421</v>
      </c>
      <c r="I464" s="282">
        <v>2515000</v>
      </c>
      <c r="J464" s="277"/>
      <c r="K464" s="1121"/>
      <c r="M464" s="271"/>
      <c r="N464" s="271"/>
    </row>
    <row r="465" s="246" customFormat="1">
      <c r="B465" s="277"/>
      <c r="C465" s="278"/>
      <c r="D465" s="277" t="s">
        <v>725</v>
      </c>
      <c r="E465" s="280"/>
      <c r="F465" s="280">
        <v>44196</v>
      </c>
      <c r="G465" s="280" t="s">
        <v>62</v>
      </c>
      <c r="H465" s="281" t="s">
        <v>421</v>
      </c>
      <c r="I465" s="282">
        <v>2515000</v>
      </c>
      <c r="J465" s="277"/>
      <c r="K465" s="1121"/>
      <c r="M465" s="271"/>
      <c r="N465" s="271"/>
    </row>
    <row r="466" s="246" customFormat="1">
      <c r="B466" s="277"/>
      <c r="C466" s="278"/>
      <c r="D466" s="277" t="s">
        <v>835</v>
      </c>
      <c r="E466" s="280"/>
      <c r="F466" s="280">
        <v>44196</v>
      </c>
      <c r="G466" s="280" t="s">
        <v>62</v>
      </c>
      <c r="H466" s="281" t="s">
        <v>421</v>
      </c>
      <c r="I466" s="282">
        <v>2515000</v>
      </c>
      <c r="J466" s="277"/>
      <c r="K466" s="1121"/>
      <c r="M466" s="271"/>
      <c r="N466" s="271"/>
    </row>
    <row r="467" s="246" customFormat="1">
      <c r="B467" s="277"/>
      <c r="C467" s="278"/>
      <c r="D467" s="277" t="s">
        <v>884</v>
      </c>
      <c r="E467" s="280"/>
      <c r="F467" s="280">
        <v>44196</v>
      </c>
      <c r="G467" s="280" t="s">
        <v>62</v>
      </c>
      <c r="H467" s="281" t="s">
        <v>421</v>
      </c>
      <c r="I467" s="282">
        <v>2515000</v>
      </c>
      <c r="J467" s="277"/>
      <c r="K467" s="1121"/>
      <c r="M467" s="271"/>
      <c r="N467" s="271"/>
    </row>
    <row r="468" s="246" customFormat="1">
      <c r="B468" s="277"/>
      <c r="C468" s="278"/>
      <c r="D468" s="277" t="s">
        <v>933</v>
      </c>
      <c r="E468" s="280">
        <v>44197</v>
      </c>
      <c r="F468" s="280"/>
      <c r="G468" s="280" t="s">
        <v>573</v>
      </c>
      <c r="H468" s="281" t="s">
        <v>421</v>
      </c>
      <c r="I468" s="282">
        <v>4416187</v>
      </c>
      <c r="J468" s="277"/>
      <c r="K468" s="1121"/>
      <c r="M468" s="271"/>
      <c r="N468" s="271"/>
    </row>
    <row r="469" s="246" customFormat="1">
      <c r="B469" s="277"/>
      <c r="C469" s="278"/>
      <c r="D469" s="277" t="s">
        <v>934</v>
      </c>
      <c r="E469" s="280">
        <v>44187</v>
      </c>
      <c r="F469" s="280"/>
      <c r="G469" s="280" t="s">
        <v>602</v>
      </c>
      <c r="H469" s="281" t="s">
        <v>63</v>
      </c>
      <c r="I469" s="282">
        <v>3377265</v>
      </c>
      <c r="J469" s="277"/>
      <c r="K469" s="1121"/>
      <c r="M469" s="271"/>
      <c r="N469" s="271"/>
    </row>
    <row r="470" s="246" customFormat="1">
      <c r="B470" s="277"/>
      <c r="C470" s="278"/>
      <c r="D470" s="277" t="s">
        <v>935</v>
      </c>
      <c r="E470" s="280">
        <v>44209</v>
      </c>
      <c r="F470" s="280"/>
      <c r="G470" s="280" t="s">
        <v>602</v>
      </c>
      <c r="H470" s="281" t="s">
        <v>63</v>
      </c>
      <c r="I470" s="282">
        <v>3377265</v>
      </c>
      <c r="J470" s="277"/>
      <c r="K470" s="1121"/>
      <c r="M470" s="271"/>
      <c r="N470" s="271"/>
    </row>
    <row r="471" s="246" customFormat="1">
      <c r="B471" s="277"/>
      <c r="C471" s="278"/>
      <c r="D471" s="277" t="s">
        <v>936</v>
      </c>
      <c r="E471" s="280"/>
      <c r="F471" s="280">
        <v>44208</v>
      </c>
      <c r="G471" s="280" t="s">
        <v>602</v>
      </c>
      <c r="H471" s="281" t="s">
        <v>63</v>
      </c>
      <c r="I471" s="282">
        <v>3377265</v>
      </c>
      <c r="J471" s="277"/>
      <c r="K471" s="1121"/>
      <c r="M471" s="271"/>
      <c r="N471" s="271"/>
    </row>
    <row r="472" s="246" customFormat="1">
      <c r="B472" s="277"/>
      <c r="C472" s="278"/>
      <c r="D472" s="277" t="s">
        <v>907</v>
      </c>
      <c r="E472" s="280"/>
      <c r="F472" s="280">
        <v>44170</v>
      </c>
      <c r="G472" s="280" t="s">
        <v>602</v>
      </c>
      <c r="H472" s="281" t="s">
        <v>63</v>
      </c>
      <c r="I472" s="282">
        <v>3377265</v>
      </c>
      <c r="J472" s="277"/>
      <c r="K472" s="1121"/>
      <c r="M472" s="271"/>
      <c r="N472" s="271"/>
    </row>
    <row r="473" s="246" customFormat="1">
      <c r="B473" s="277"/>
      <c r="C473" s="278"/>
      <c r="D473" s="277" t="s">
        <v>860</v>
      </c>
      <c r="E473" s="280"/>
      <c r="F473" s="280">
        <v>44196</v>
      </c>
      <c r="G473" s="280" t="s">
        <v>602</v>
      </c>
      <c r="H473" s="281" t="s">
        <v>63</v>
      </c>
      <c r="I473" s="282">
        <v>3377265</v>
      </c>
      <c r="J473" s="277"/>
      <c r="K473" s="1121"/>
      <c r="M473" s="271"/>
      <c r="N473" s="271"/>
    </row>
    <row r="474" s="246" customFormat="1">
      <c r="B474" s="277"/>
      <c r="C474" s="278"/>
      <c r="D474" s="277" t="s">
        <v>937</v>
      </c>
      <c r="E474" s="280">
        <v>44193</v>
      </c>
      <c r="F474" s="280"/>
      <c r="G474" s="280" t="s">
        <v>938</v>
      </c>
      <c r="H474" s="281" t="s">
        <v>421</v>
      </c>
      <c r="I474" s="282">
        <v>2997976</v>
      </c>
      <c r="J474" s="277"/>
      <c r="K474" s="1121"/>
      <c r="M474" s="271"/>
      <c r="N474" s="271"/>
    </row>
    <row r="475" s="246" customFormat="1">
      <c r="B475" s="262"/>
      <c r="C475" s="263"/>
      <c r="D475" s="262"/>
      <c r="E475" s="264"/>
      <c r="F475" s="264"/>
      <c r="G475" s="264"/>
      <c r="H475" s="265"/>
      <c r="I475" s="269"/>
      <c r="J475" s="262"/>
      <c r="K475" s="284"/>
      <c r="M475" s="271"/>
      <c r="N475" s="271"/>
    </row>
    <row r="476" ht="18.75" customHeight="1" s="246" customFormat="1">
      <c r="B476" s="277"/>
      <c r="C476" s="278" t="s">
        <v>939</v>
      </c>
      <c r="D476" s="277" t="s">
        <v>876</v>
      </c>
      <c r="E476" s="280"/>
      <c r="G476" s="280" t="s">
        <v>243</v>
      </c>
      <c r="H476" s="281" t="s">
        <v>63</v>
      </c>
      <c r="I476" s="282">
        <v>2877448</v>
      </c>
      <c r="J476" s="277"/>
      <c r="K476" s="1121" t="s">
        <v>605</v>
      </c>
      <c r="M476" s="271"/>
      <c r="N476" s="271"/>
    </row>
    <row r="477" s="246" customFormat="1">
      <c r="B477" s="277"/>
      <c r="C477" s="278" t="s">
        <v>940</v>
      </c>
      <c r="D477" s="277" t="s">
        <v>941</v>
      </c>
      <c r="E477" s="280">
        <v>44228</v>
      </c>
      <c r="F477" s="280"/>
      <c r="G477" s="280" t="s">
        <v>243</v>
      </c>
      <c r="H477" s="281" t="s">
        <v>63</v>
      </c>
      <c r="I477" s="282">
        <v>2877448</v>
      </c>
      <c r="J477" s="277"/>
      <c r="K477" s="1121"/>
      <c r="M477" s="271"/>
      <c r="N477" s="271"/>
    </row>
    <row r="478" s="246" customFormat="1">
      <c r="B478" s="277"/>
      <c r="C478" s="278" t="s">
        <v>942</v>
      </c>
      <c r="D478" s="277" t="s">
        <v>943</v>
      </c>
      <c r="E478" s="280">
        <v>44229</v>
      </c>
      <c r="F478" s="280"/>
      <c r="G478" s="280" t="s">
        <v>243</v>
      </c>
      <c r="H478" s="281" t="s">
        <v>63</v>
      </c>
      <c r="I478" s="282">
        <v>2877448</v>
      </c>
      <c r="J478" s="277"/>
      <c r="K478" s="1121"/>
      <c r="M478" s="271"/>
      <c r="N478" s="271"/>
    </row>
    <row r="479" s="246" customFormat="1">
      <c r="B479" s="277"/>
      <c r="C479" s="278" t="s">
        <v>944</v>
      </c>
      <c r="D479" s="277" t="s">
        <v>945</v>
      </c>
      <c r="E479" s="280">
        <v>44229</v>
      </c>
      <c r="F479" s="280"/>
      <c r="G479" s="280" t="s">
        <v>243</v>
      </c>
      <c r="H479" s="281" t="s">
        <v>63</v>
      </c>
      <c r="I479" s="282">
        <v>2877448</v>
      </c>
      <c r="J479" s="277"/>
      <c r="K479" s="1121"/>
      <c r="M479" s="271"/>
      <c r="N479" s="271"/>
    </row>
    <row r="480" s="246" customFormat="1">
      <c r="B480" s="277"/>
      <c r="C480" s="278" t="s">
        <v>946</v>
      </c>
      <c r="D480" s="277" t="s">
        <v>947</v>
      </c>
      <c r="E480" s="280">
        <v>44229</v>
      </c>
      <c r="F480" s="280">
        <v>44242</v>
      </c>
      <c r="G480" s="280" t="s">
        <v>243</v>
      </c>
      <c r="H480" s="281" t="s">
        <v>63</v>
      </c>
      <c r="I480" s="282">
        <v>2877448</v>
      </c>
      <c r="J480" s="277"/>
      <c r="K480" s="1121"/>
      <c r="M480" s="271"/>
      <c r="N480" s="271"/>
    </row>
    <row r="481" s="246" customFormat="1">
      <c r="B481" s="277"/>
      <c r="C481" s="278" t="s">
        <v>948</v>
      </c>
      <c r="D481" s="277" t="s">
        <v>949</v>
      </c>
      <c r="E481" s="280"/>
      <c r="F481" s="280">
        <v>44227</v>
      </c>
      <c r="G481" s="280" t="s">
        <v>62</v>
      </c>
      <c r="H481" s="281" t="s">
        <v>421</v>
      </c>
      <c r="I481" s="282">
        <v>2515000</v>
      </c>
      <c r="J481" s="277"/>
      <c r="K481" s="1121"/>
      <c r="M481" s="271"/>
      <c r="N481" s="271"/>
    </row>
    <row r="482" s="246" customFormat="1">
      <c r="B482" s="277"/>
      <c r="C482" s="278" t="s">
        <v>950</v>
      </c>
      <c r="D482" s="277" t="s">
        <v>951</v>
      </c>
      <c r="E482" s="280"/>
      <c r="F482" s="280"/>
      <c r="G482" s="280" t="s">
        <v>62</v>
      </c>
      <c r="H482" s="281" t="s">
        <v>421</v>
      </c>
      <c r="I482" s="282">
        <v>2515000</v>
      </c>
      <c r="J482" s="277"/>
      <c r="K482" s="1121"/>
      <c r="M482" s="271"/>
      <c r="N482" s="271"/>
    </row>
    <row r="483" s="246" customFormat="1">
      <c r="B483" s="277"/>
      <c r="C483" s="278" t="s">
        <v>952</v>
      </c>
      <c r="D483" s="277" t="s">
        <v>912</v>
      </c>
      <c r="E483" s="280"/>
      <c r="F483" s="280">
        <v>44214</v>
      </c>
      <c r="G483" s="280" t="s">
        <v>62</v>
      </c>
      <c r="H483" s="281" t="s">
        <v>421</v>
      </c>
      <c r="I483" s="282">
        <v>2515000</v>
      </c>
      <c r="J483" s="277"/>
      <c r="K483" s="1121"/>
      <c r="M483" s="271"/>
      <c r="N483" s="271"/>
    </row>
    <row r="484" s="246" customFormat="1">
      <c r="B484" s="277"/>
      <c r="C484" s="278" t="s">
        <v>953</v>
      </c>
      <c r="D484" s="277" t="s">
        <v>954</v>
      </c>
      <c r="E484" s="280"/>
      <c r="F484" s="280">
        <v>44227</v>
      </c>
      <c r="G484" s="280" t="s">
        <v>62</v>
      </c>
      <c r="H484" s="281" t="s">
        <v>421</v>
      </c>
      <c r="I484" s="282">
        <v>2515000</v>
      </c>
      <c r="J484" s="277"/>
      <c r="K484" s="1121"/>
      <c r="M484" s="271"/>
      <c r="N484" s="271"/>
    </row>
    <row r="485" s="246" customFormat="1">
      <c r="B485" s="277"/>
      <c r="C485" s="278" t="s">
        <v>955</v>
      </c>
      <c r="D485" s="277" t="s">
        <v>562</v>
      </c>
      <c r="E485" s="280"/>
      <c r="F485" s="280">
        <v>44227</v>
      </c>
      <c r="G485" s="280" t="s">
        <v>62</v>
      </c>
      <c r="H485" s="281" t="s">
        <v>421</v>
      </c>
      <c r="I485" s="282">
        <v>2515000</v>
      </c>
      <c r="J485" s="277"/>
      <c r="K485" s="1121"/>
      <c r="M485" s="271"/>
      <c r="N485" s="271"/>
    </row>
    <row r="486" s="246" customFormat="1">
      <c r="B486" s="277"/>
      <c r="C486" s="278" t="s">
        <v>956</v>
      </c>
      <c r="D486" s="277" t="s">
        <v>957</v>
      </c>
      <c r="E486" s="280">
        <v>44216</v>
      </c>
      <c r="F486" s="280"/>
      <c r="G486" s="280" t="s">
        <v>62</v>
      </c>
      <c r="H486" s="281" t="s">
        <v>421</v>
      </c>
      <c r="I486" s="282">
        <v>2515000</v>
      </c>
      <c r="J486" s="277"/>
      <c r="K486" s="1121"/>
      <c r="M486" s="271"/>
      <c r="N486" s="271"/>
    </row>
    <row r="487" s="246" customFormat="1">
      <c r="B487" s="277"/>
      <c r="C487" s="278" t="s">
        <v>226</v>
      </c>
      <c r="D487" s="277" t="s">
        <v>227</v>
      </c>
      <c r="E487" s="280">
        <v>44228</v>
      </c>
      <c r="F487" s="280"/>
      <c r="G487" s="280" t="s">
        <v>62</v>
      </c>
      <c r="H487" s="281" t="s">
        <v>421</v>
      </c>
      <c r="I487" s="282">
        <v>2515000</v>
      </c>
      <c r="J487" s="277"/>
      <c r="K487" s="1121"/>
      <c r="M487" s="271"/>
      <c r="N487" s="271"/>
    </row>
    <row r="488" s="246" customFormat="1">
      <c r="B488" s="277"/>
      <c r="C488" s="278" t="s">
        <v>958</v>
      </c>
      <c r="D488" s="277" t="s">
        <v>959</v>
      </c>
      <c r="E488" s="280">
        <v>44228</v>
      </c>
      <c r="F488" s="280"/>
      <c r="G488" s="280" t="s">
        <v>62</v>
      </c>
      <c r="H488" s="281" t="s">
        <v>421</v>
      </c>
      <c r="I488" s="282">
        <v>2515000</v>
      </c>
      <c r="J488" s="277"/>
      <c r="K488" s="1121"/>
      <c r="M488" s="271"/>
      <c r="N488" s="271"/>
    </row>
    <row r="489" s="246" customFormat="1">
      <c r="B489" s="277"/>
      <c r="C489" s="278" t="s">
        <v>145</v>
      </c>
      <c r="D489" s="277" t="s">
        <v>146</v>
      </c>
      <c r="E489" s="280">
        <v>44228</v>
      </c>
      <c r="F489" s="280"/>
      <c r="G489" s="280" t="s">
        <v>62</v>
      </c>
      <c r="H489" s="281" t="s">
        <v>421</v>
      </c>
      <c r="I489" s="282">
        <v>2515000</v>
      </c>
      <c r="J489" s="277"/>
      <c r="K489" s="1121"/>
      <c r="M489" s="271"/>
      <c r="N489" s="271"/>
    </row>
    <row r="490" s="246" customFormat="1">
      <c r="B490" s="277"/>
      <c r="C490" s="278" t="s">
        <v>214</v>
      </c>
      <c r="D490" s="277" t="s">
        <v>215</v>
      </c>
      <c r="E490" s="280">
        <v>44228</v>
      </c>
      <c r="F490" s="280"/>
      <c r="G490" s="280" t="s">
        <v>62</v>
      </c>
      <c r="H490" s="281" t="s">
        <v>421</v>
      </c>
      <c r="I490" s="282">
        <v>2515000</v>
      </c>
      <c r="J490" s="277"/>
      <c r="K490" s="1121"/>
      <c r="M490" s="271"/>
      <c r="N490" s="271"/>
    </row>
    <row r="491" s="246" customFormat="1">
      <c r="B491" s="277"/>
      <c r="C491" s="278" t="s">
        <v>960</v>
      </c>
      <c r="D491" s="277" t="s">
        <v>961</v>
      </c>
      <c r="E491" s="280">
        <v>44223</v>
      </c>
      <c r="F491" s="280"/>
      <c r="G491" s="280" t="s">
        <v>573</v>
      </c>
      <c r="H491" s="281" t="s">
        <v>421</v>
      </c>
      <c r="I491" s="282">
        <v>4416187</v>
      </c>
      <c r="J491" s="277"/>
      <c r="K491" s="1121"/>
      <c r="M491" s="271"/>
      <c r="N491" s="271"/>
    </row>
    <row r="492" s="246" customFormat="1">
      <c r="B492" s="277"/>
      <c r="C492" s="278" t="s">
        <v>826</v>
      </c>
      <c r="D492" s="277" t="s">
        <v>827</v>
      </c>
      <c r="E492" s="280">
        <v>44228</v>
      </c>
      <c r="F492" s="280"/>
      <c r="G492" s="280" t="s">
        <v>589</v>
      </c>
      <c r="H492" s="281" t="s">
        <v>421</v>
      </c>
      <c r="I492" s="282">
        <v>4416187</v>
      </c>
      <c r="J492" s="277" t="s">
        <v>962</v>
      </c>
      <c r="K492" s="1121"/>
      <c r="M492" s="271"/>
      <c r="N492" s="271"/>
    </row>
    <row r="493" s="246" customFormat="1">
      <c r="B493" s="277"/>
      <c r="C493" s="278" t="s">
        <v>963</v>
      </c>
      <c r="D493" s="277" t="s">
        <v>964</v>
      </c>
      <c r="E493" s="280"/>
      <c r="F493" s="280">
        <v>44286</v>
      </c>
      <c r="G493" s="280" t="s">
        <v>732</v>
      </c>
      <c r="H493" s="281" t="s">
        <v>733</v>
      </c>
      <c r="I493" s="282">
        <v>4416187</v>
      </c>
      <c r="J493" s="277"/>
      <c r="K493" s="1121"/>
      <c r="M493" s="271"/>
      <c r="N493" s="271"/>
    </row>
    <row r="494" s="246" customFormat="1">
      <c r="B494" s="277"/>
      <c r="C494" s="278" t="s">
        <v>965</v>
      </c>
      <c r="D494" s="277" t="s">
        <v>966</v>
      </c>
      <c r="E494" s="280">
        <v>44225</v>
      </c>
      <c r="F494" s="280"/>
      <c r="G494" s="280" t="s">
        <v>732</v>
      </c>
      <c r="H494" s="281" t="s">
        <v>733</v>
      </c>
      <c r="I494" s="282">
        <v>4416187</v>
      </c>
      <c r="J494" s="277"/>
      <c r="K494" s="1121"/>
      <c r="M494" s="271"/>
      <c r="N494" s="271"/>
    </row>
    <row r="495" s="246" customFormat="1">
      <c r="B495" s="277"/>
      <c r="C495" s="278" t="s">
        <v>967</v>
      </c>
      <c r="D495" s="277" t="s">
        <v>968</v>
      </c>
      <c r="E495" s="280"/>
      <c r="F495" s="280">
        <v>44227</v>
      </c>
      <c r="G495" s="280" t="s">
        <v>602</v>
      </c>
      <c r="H495" s="281" t="s">
        <v>63</v>
      </c>
      <c r="I495" s="282">
        <v>3377265</v>
      </c>
      <c r="J495" s="277"/>
      <c r="K495" s="1121"/>
      <c r="M495" s="271"/>
      <c r="N495" s="271"/>
    </row>
    <row r="496" s="246" customFormat="1">
      <c r="B496" s="277"/>
      <c r="C496" s="278" t="s">
        <v>857</v>
      </c>
      <c r="D496" s="277" t="s">
        <v>858</v>
      </c>
      <c r="E496" s="280"/>
      <c r="F496" s="280">
        <v>44221</v>
      </c>
      <c r="G496" s="280" t="s">
        <v>602</v>
      </c>
      <c r="H496" s="281" t="s">
        <v>63</v>
      </c>
      <c r="I496" s="282">
        <v>3377265</v>
      </c>
      <c r="J496" s="277"/>
      <c r="K496" s="1121"/>
      <c r="M496" s="271"/>
      <c r="N496" s="271"/>
    </row>
    <row r="497" s="246" customFormat="1">
      <c r="B497" s="277"/>
      <c r="C497" s="278" t="s">
        <v>969</v>
      </c>
      <c r="D497" s="277" t="s">
        <v>906</v>
      </c>
      <c r="E497" s="280"/>
      <c r="F497" s="280">
        <v>44227</v>
      </c>
      <c r="G497" s="280" t="s">
        <v>602</v>
      </c>
      <c r="H497" s="281" t="s">
        <v>63</v>
      </c>
      <c r="I497" s="282">
        <v>3377265</v>
      </c>
      <c r="J497" s="277"/>
      <c r="K497" s="1121"/>
      <c r="M497" s="271"/>
      <c r="N497" s="271"/>
    </row>
    <row r="498" s="246" customFormat="1">
      <c r="B498" s="277"/>
      <c r="C498" s="278" t="s">
        <v>970</v>
      </c>
      <c r="D498" s="277" t="s">
        <v>971</v>
      </c>
      <c r="E498" s="280"/>
      <c r="F498" s="280">
        <v>44227</v>
      </c>
      <c r="G498" s="280" t="s">
        <v>602</v>
      </c>
      <c r="H498" s="281" t="s">
        <v>63</v>
      </c>
      <c r="I498" s="282">
        <v>3377265</v>
      </c>
      <c r="J498" s="277"/>
      <c r="K498" s="1121"/>
      <c r="M498" s="271"/>
      <c r="N498" s="271"/>
    </row>
    <row r="499" s="246" customFormat="1">
      <c r="B499" s="277"/>
      <c r="C499" s="278" t="s">
        <v>972</v>
      </c>
      <c r="D499" s="277" t="s">
        <v>973</v>
      </c>
      <c r="E499" s="280">
        <v>44222</v>
      </c>
      <c r="F499" s="280"/>
      <c r="G499" s="280" t="s">
        <v>602</v>
      </c>
      <c r="H499" s="281" t="s">
        <v>63</v>
      </c>
      <c r="I499" s="282">
        <v>3377265</v>
      </c>
      <c r="J499" s="277"/>
      <c r="K499" s="1121"/>
      <c r="M499" s="271"/>
      <c r="N499" s="271"/>
    </row>
    <row r="500" s="246" customFormat="1">
      <c r="B500" s="277"/>
      <c r="C500" s="278" t="s">
        <v>974</v>
      </c>
      <c r="D500" s="277" t="s">
        <v>975</v>
      </c>
      <c r="E500" s="280">
        <v>44228</v>
      </c>
      <c r="F500" s="280"/>
      <c r="G500" s="280" t="s">
        <v>602</v>
      </c>
      <c r="H500" s="281" t="s">
        <v>63</v>
      </c>
      <c r="I500" s="282">
        <v>3377265</v>
      </c>
      <c r="J500" s="277"/>
      <c r="K500" s="1121"/>
      <c r="M500" s="271"/>
      <c r="N500" s="271"/>
    </row>
    <row r="501" s="246" customFormat="1">
      <c r="B501" s="277"/>
      <c r="C501" s="278" t="s">
        <v>976</v>
      </c>
      <c r="D501" s="277" t="s">
        <v>977</v>
      </c>
      <c r="E501" s="280">
        <v>44230</v>
      </c>
      <c r="F501" s="280"/>
      <c r="G501" s="280" t="s">
        <v>602</v>
      </c>
      <c r="H501" s="281" t="s">
        <v>63</v>
      </c>
      <c r="I501" s="282">
        <v>3377265</v>
      </c>
      <c r="J501" s="277"/>
      <c r="K501" s="1121"/>
      <c r="M501" s="271"/>
      <c r="N501" s="271"/>
    </row>
    <row r="502" s="246" customFormat="1">
      <c r="B502" s="277"/>
      <c r="C502" s="278" t="s">
        <v>978</v>
      </c>
      <c r="D502" s="277" t="s">
        <v>979</v>
      </c>
      <c r="E502" s="280">
        <v>44233</v>
      </c>
      <c r="F502" s="280">
        <v>44240</v>
      </c>
      <c r="G502" s="280" t="s">
        <v>602</v>
      </c>
      <c r="H502" s="281" t="s">
        <v>63</v>
      </c>
      <c r="I502" s="282">
        <v>3377265</v>
      </c>
      <c r="J502" s="277"/>
      <c r="K502" s="1121"/>
      <c r="M502" s="271"/>
      <c r="N502" s="271"/>
    </row>
    <row r="503" s="246" customFormat="1">
      <c r="B503" s="277"/>
      <c r="C503" s="278">
        <v>1807</v>
      </c>
      <c r="D503" s="277" t="s">
        <v>980</v>
      </c>
      <c r="E503" s="280">
        <v>44232</v>
      </c>
      <c r="F503" s="280"/>
      <c r="G503" s="280" t="s">
        <v>737</v>
      </c>
      <c r="H503" s="281" t="s">
        <v>63</v>
      </c>
      <c r="I503" s="282">
        <v>2788826</v>
      </c>
      <c r="J503" s="277"/>
      <c r="K503" s="1121"/>
      <c r="M503" s="271"/>
      <c r="N503" s="271"/>
    </row>
    <row r="504" s="246" customFormat="1">
      <c r="B504" s="277"/>
      <c r="C504" s="987" t="s">
        <v>418</v>
      </c>
      <c r="D504" s="277" t="s">
        <v>419</v>
      </c>
      <c r="E504" s="280">
        <v>44216</v>
      </c>
      <c r="F504" s="280"/>
      <c r="G504" s="280" t="s">
        <v>420</v>
      </c>
      <c r="H504" s="281" t="s">
        <v>421</v>
      </c>
      <c r="I504" s="282">
        <v>3069315.66</v>
      </c>
      <c r="J504" s="277"/>
      <c r="K504" s="1121"/>
      <c r="M504" s="271"/>
      <c r="N504" s="271"/>
    </row>
    <row r="505" s="246" customFormat="1">
      <c r="B505" s="277"/>
      <c r="C505" s="278" t="s">
        <v>436</v>
      </c>
      <c r="D505" s="277" t="s">
        <v>437</v>
      </c>
      <c r="E505" s="280">
        <v>44209</v>
      </c>
      <c r="F505" s="280"/>
      <c r="G505" s="280" t="s">
        <v>243</v>
      </c>
      <c r="H505" s="281" t="s">
        <v>421</v>
      </c>
      <c r="I505" s="282">
        <v>2877448</v>
      </c>
      <c r="J505" s="277"/>
      <c r="K505" s="1121"/>
      <c r="M505" s="271"/>
      <c r="N505" s="271"/>
    </row>
    <row r="506" s="246" customFormat="1">
      <c r="B506" s="277"/>
      <c r="C506" s="278" t="s">
        <v>516</v>
      </c>
      <c r="D506" s="277" t="s">
        <v>517</v>
      </c>
      <c r="E506" s="280">
        <v>44230</v>
      </c>
      <c r="F506" s="280"/>
      <c r="G506" s="280" t="s">
        <v>495</v>
      </c>
      <c r="H506" s="281" t="s">
        <v>614</v>
      </c>
      <c r="I506" s="282">
        <v>3165519</v>
      </c>
      <c r="J506" s="277"/>
      <c r="K506" s="1121"/>
      <c r="M506" s="271"/>
      <c r="N506" s="271"/>
    </row>
    <row r="507" s="246" customFormat="1">
      <c r="B507" s="277"/>
      <c r="C507" s="278" t="s">
        <v>981</v>
      </c>
      <c r="D507" s="277" t="s">
        <v>896</v>
      </c>
      <c r="E507" s="280"/>
      <c r="F507" s="280">
        <v>44230</v>
      </c>
      <c r="G507" s="280" t="s">
        <v>495</v>
      </c>
      <c r="H507" s="281" t="s">
        <v>614</v>
      </c>
      <c r="I507" s="282">
        <v>3165519</v>
      </c>
      <c r="J507" s="277"/>
      <c r="K507" s="1121"/>
      <c r="M507" s="271"/>
      <c r="N507" s="271"/>
    </row>
    <row r="508" s="246" customFormat="1">
      <c r="B508" s="277"/>
      <c r="C508" s="278"/>
      <c r="D508" s="277" t="s">
        <v>982</v>
      </c>
      <c r="E508" s="280">
        <v>44241</v>
      </c>
      <c r="F508" s="280"/>
      <c r="G508" s="280" t="s">
        <v>602</v>
      </c>
      <c r="H508" s="281" t="s">
        <v>63</v>
      </c>
      <c r="I508" s="282">
        <v>3377265</v>
      </c>
      <c r="J508" s="277"/>
      <c r="K508" s="1121"/>
      <c r="M508" s="271"/>
      <c r="N508" s="271"/>
    </row>
    <row r="509" s="246" customFormat="1">
      <c r="B509" s="262"/>
      <c r="C509" s="263"/>
      <c r="D509" s="262"/>
      <c r="E509" s="264"/>
      <c r="F509" s="264"/>
      <c r="G509" s="264"/>
      <c r="H509" s="265"/>
      <c r="I509" s="269"/>
      <c r="J509" s="262"/>
      <c r="K509" s="284"/>
      <c r="M509" s="271"/>
      <c r="N509" s="271"/>
    </row>
    <row r="510" s="246" customFormat="1">
      <c r="B510" s="277"/>
      <c r="C510" s="278" t="s">
        <v>379</v>
      </c>
      <c r="D510" s="277" t="s">
        <v>380</v>
      </c>
      <c r="E510" s="280">
        <v>44248</v>
      </c>
      <c r="F510" s="280"/>
      <c r="G510" s="280" t="s">
        <v>243</v>
      </c>
      <c r="H510" s="281" t="s">
        <v>63</v>
      </c>
      <c r="I510" s="282">
        <v>2877448</v>
      </c>
      <c r="J510" s="277"/>
      <c r="K510" s="1121" t="s">
        <v>712</v>
      </c>
      <c r="M510" s="271"/>
      <c r="N510" s="271"/>
    </row>
    <row r="511" s="246" customFormat="1">
      <c r="B511" s="277"/>
      <c r="C511" s="278" t="s">
        <v>381</v>
      </c>
      <c r="D511" s="277" t="s">
        <v>382</v>
      </c>
      <c r="E511" s="280">
        <v>44256</v>
      </c>
      <c r="F511" s="280"/>
      <c r="G511" s="280" t="s">
        <v>243</v>
      </c>
      <c r="H511" s="281" t="s">
        <v>63</v>
      </c>
      <c r="I511" s="282">
        <v>2877448</v>
      </c>
      <c r="J511" s="277"/>
      <c r="K511" s="1121"/>
      <c r="M511" s="271"/>
      <c r="N511" s="271"/>
    </row>
    <row r="512" s="246" customFormat="1">
      <c r="B512" s="277"/>
      <c r="C512" s="278" t="s">
        <v>983</v>
      </c>
      <c r="D512" s="277" t="s">
        <v>905</v>
      </c>
      <c r="E512" s="280"/>
      <c r="F512" s="280">
        <v>44247</v>
      </c>
      <c r="G512" s="280" t="s">
        <v>243</v>
      </c>
      <c r="H512" s="281" t="s">
        <v>63</v>
      </c>
      <c r="I512" s="282">
        <v>2877448</v>
      </c>
      <c r="J512" s="277"/>
      <c r="K512" s="1121"/>
      <c r="M512" s="271"/>
      <c r="N512" s="271"/>
    </row>
    <row r="513" s="246" customFormat="1">
      <c r="B513" s="277"/>
      <c r="C513" s="278" t="s">
        <v>942</v>
      </c>
      <c r="D513" s="277" t="s">
        <v>943</v>
      </c>
      <c r="E513" s="280"/>
      <c r="F513" s="280">
        <v>44256</v>
      </c>
      <c r="G513" s="280" t="s">
        <v>243</v>
      </c>
      <c r="H513" s="281" t="s">
        <v>63</v>
      </c>
      <c r="I513" s="282">
        <v>2877448</v>
      </c>
      <c r="J513" s="277"/>
      <c r="K513" s="1121"/>
      <c r="M513" s="271"/>
      <c r="N513" s="271"/>
    </row>
    <row r="514" s="246" customFormat="1">
      <c r="B514" s="277"/>
      <c r="C514" s="278" t="s">
        <v>984</v>
      </c>
      <c r="D514" s="277" t="s">
        <v>985</v>
      </c>
      <c r="E514" s="280">
        <v>44245</v>
      </c>
      <c r="F514" s="280"/>
      <c r="G514" s="280" t="s">
        <v>62</v>
      </c>
      <c r="H514" s="281" t="s">
        <v>421</v>
      </c>
      <c r="I514" s="282">
        <v>2515000</v>
      </c>
      <c r="J514" s="277"/>
      <c r="K514" s="1121"/>
      <c r="M514" s="271"/>
      <c r="N514" s="271"/>
    </row>
    <row r="515" s="246" customFormat="1">
      <c r="B515" s="277"/>
      <c r="C515" s="278" t="s">
        <v>216</v>
      </c>
      <c r="D515" s="277" t="s">
        <v>217</v>
      </c>
      <c r="E515" s="280">
        <v>44250</v>
      </c>
      <c r="F515" s="280"/>
      <c r="G515" s="280" t="s">
        <v>62</v>
      </c>
      <c r="H515" s="281" t="s">
        <v>421</v>
      </c>
      <c r="I515" s="282">
        <v>2515000</v>
      </c>
      <c r="J515" s="277"/>
      <c r="K515" s="1121"/>
      <c r="M515" s="271"/>
      <c r="N515" s="271"/>
    </row>
    <row r="516" s="246" customFormat="1">
      <c r="B516" s="277"/>
      <c r="C516" s="278" t="s">
        <v>218</v>
      </c>
      <c r="D516" s="277" t="s">
        <v>219</v>
      </c>
      <c r="E516" s="280">
        <v>44250</v>
      </c>
      <c r="F516" s="280"/>
      <c r="G516" s="280" t="s">
        <v>62</v>
      </c>
      <c r="H516" s="281" t="s">
        <v>421</v>
      </c>
      <c r="I516" s="282">
        <v>2515000</v>
      </c>
      <c r="J516" s="277"/>
      <c r="K516" s="1121"/>
      <c r="M516" s="271"/>
      <c r="N516" s="271"/>
    </row>
    <row r="517" s="246" customFormat="1">
      <c r="B517" s="277"/>
      <c r="C517" s="278" t="s">
        <v>147</v>
      </c>
      <c r="D517" s="277" t="s">
        <v>148</v>
      </c>
      <c r="E517" s="280">
        <v>44250</v>
      </c>
      <c r="F517" s="280"/>
      <c r="G517" s="280" t="s">
        <v>62</v>
      </c>
      <c r="H517" s="281" t="s">
        <v>421</v>
      </c>
      <c r="I517" s="282">
        <v>2515000</v>
      </c>
      <c r="J517" s="277"/>
      <c r="K517" s="1121"/>
      <c r="M517" s="271"/>
      <c r="N517" s="271"/>
    </row>
    <row r="518" s="246" customFormat="1">
      <c r="B518" s="277"/>
      <c r="C518" s="278" t="s">
        <v>149</v>
      </c>
      <c r="D518" s="277" t="s">
        <v>150</v>
      </c>
      <c r="E518" s="280">
        <v>44252</v>
      </c>
      <c r="F518" s="280"/>
      <c r="G518" s="280" t="s">
        <v>62</v>
      </c>
      <c r="H518" s="281" t="s">
        <v>421</v>
      </c>
      <c r="I518" s="282">
        <v>2515000</v>
      </c>
      <c r="J518" s="277"/>
      <c r="K518" s="1121"/>
      <c r="M518" s="271"/>
      <c r="N518" s="271"/>
    </row>
    <row r="519" s="246" customFormat="1">
      <c r="B519" s="277"/>
      <c r="C519" s="278" t="s">
        <v>151</v>
      </c>
      <c r="D519" s="277" t="s">
        <v>152</v>
      </c>
      <c r="E519" s="280">
        <v>44252</v>
      </c>
      <c r="F519" s="280"/>
      <c r="G519" s="280" t="s">
        <v>62</v>
      </c>
      <c r="H519" s="281" t="s">
        <v>421</v>
      </c>
      <c r="I519" s="282">
        <v>2515000</v>
      </c>
      <c r="J519" s="277"/>
      <c r="K519" s="1121"/>
      <c r="M519" s="271"/>
      <c r="N519" s="271"/>
    </row>
    <row r="520" s="246" customFormat="1">
      <c r="B520" s="277"/>
      <c r="C520" s="278" t="s">
        <v>153</v>
      </c>
      <c r="D520" s="277" t="s">
        <v>154</v>
      </c>
      <c r="E520" s="280">
        <v>44256</v>
      </c>
      <c r="F520" s="280"/>
      <c r="G520" s="280" t="s">
        <v>62</v>
      </c>
      <c r="H520" s="281" t="s">
        <v>421</v>
      </c>
      <c r="I520" s="282">
        <v>2515000</v>
      </c>
      <c r="J520" s="277"/>
      <c r="K520" s="1121"/>
      <c r="M520" s="271"/>
      <c r="N520" s="271"/>
    </row>
    <row r="521" s="246" customFormat="1">
      <c r="B521" s="277"/>
      <c r="C521" s="278" t="s">
        <v>155</v>
      </c>
      <c r="D521" s="277" t="s">
        <v>156</v>
      </c>
      <c r="E521" s="280">
        <v>44258</v>
      </c>
      <c r="F521" s="280"/>
      <c r="G521" s="280" t="s">
        <v>62</v>
      </c>
      <c r="H521" s="281" t="s">
        <v>421</v>
      </c>
      <c r="I521" s="282">
        <v>2515000</v>
      </c>
      <c r="J521" s="277"/>
      <c r="K521" s="1121"/>
      <c r="M521" s="271"/>
      <c r="N521" s="271"/>
    </row>
    <row r="522" s="246" customFormat="1">
      <c r="B522" s="277"/>
      <c r="C522" s="278" t="s">
        <v>986</v>
      </c>
      <c r="D522" s="277" t="s">
        <v>80</v>
      </c>
      <c r="E522" s="280">
        <v>44264</v>
      </c>
      <c r="F522" s="280"/>
      <c r="G522" s="280" t="s">
        <v>62</v>
      </c>
      <c r="H522" s="281" t="s">
        <v>421</v>
      </c>
      <c r="I522" s="282">
        <v>2515000</v>
      </c>
      <c r="J522" s="277"/>
      <c r="K522" s="1121"/>
      <c r="M522" s="271"/>
      <c r="N522" s="271"/>
    </row>
    <row r="523" s="246" customFormat="1">
      <c r="B523" s="277"/>
      <c r="C523" s="278" t="s">
        <v>987</v>
      </c>
      <c r="D523" s="277" t="s">
        <v>888</v>
      </c>
      <c r="E523" s="280"/>
      <c r="F523" s="280">
        <v>44316</v>
      </c>
      <c r="G523" s="280" t="s">
        <v>62</v>
      </c>
      <c r="H523" s="281" t="s">
        <v>421</v>
      </c>
      <c r="I523" s="282">
        <v>2515000</v>
      </c>
      <c r="J523" s="277"/>
      <c r="K523" s="1121"/>
      <c r="M523" s="271"/>
      <c r="N523" s="271"/>
    </row>
    <row r="524" s="246" customFormat="1">
      <c r="B524" s="277"/>
      <c r="C524" s="278" t="s">
        <v>988</v>
      </c>
      <c r="D524" s="277" t="s">
        <v>890</v>
      </c>
      <c r="E524" s="280"/>
      <c r="F524" s="280">
        <v>44253</v>
      </c>
      <c r="G524" s="280" t="s">
        <v>62</v>
      </c>
      <c r="H524" s="281" t="s">
        <v>421</v>
      </c>
      <c r="I524" s="282">
        <v>2515000</v>
      </c>
      <c r="J524" s="277"/>
      <c r="K524" s="1121"/>
      <c r="M524" s="271"/>
      <c r="N524" s="271"/>
    </row>
    <row r="525" s="246" customFormat="1">
      <c r="B525" s="277"/>
      <c r="C525" s="278" t="s">
        <v>989</v>
      </c>
      <c r="D525" s="277" t="s">
        <v>990</v>
      </c>
      <c r="E525" s="280"/>
      <c r="F525" s="280">
        <v>44263</v>
      </c>
      <c r="G525" s="280" t="s">
        <v>62</v>
      </c>
      <c r="H525" s="281" t="s">
        <v>421</v>
      </c>
      <c r="I525" s="282">
        <v>2515000</v>
      </c>
      <c r="J525" s="277"/>
      <c r="K525" s="1121"/>
      <c r="M525" s="271"/>
      <c r="N525" s="271"/>
    </row>
    <row r="526" s="246" customFormat="1">
      <c r="B526" s="277"/>
      <c r="C526" s="278" t="s">
        <v>991</v>
      </c>
      <c r="D526" s="277" t="s">
        <v>992</v>
      </c>
      <c r="E526" s="280">
        <v>44256</v>
      </c>
      <c r="F526" s="280"/>
      <c r="G526" s="280" t="s">
        <v>771</v>
      </c>
      <c r="H526" s="281" t="s">
        <v>421</v>
      </c>
      <c r="I526" s="282">
        <v>4416187</v>
      </c>
      <c r="J526" s="277"/>
      <c r="K526" s="1121"/>
      <c r="M526" s="271"/>
      <c r="N526" s="271"/>
    </row>
    <row r="527" s="246" customFormat="1">
      <c r="B527" s="277"/>
      <c r="C527" s="278" t="s">
        <v>965</v>
      </c>
      <c r="D527" s="277" t="s">
        <v>966</v>
      </c>
      <c r="E527" s="280"/>
      <c r="F527" s="280">
        <v>44265</v>
      </c>
      <c r="G527" s="280" t="s">
        <v>732</v>
      </c>
      <c r="H527" s="281" t="s">
        <v>733</v>
      </c>
      <c r="I527" s="282">
        <v>4416187</v>
      </c>
      <c r="J527" s="277"/>
      <c r="K527" s="1121"/>
      <c r="M527" s="271"/>
      <c r="N527" s="271"/>
    </row>
    <row r="528" s="246" customFormat="1">
      <c r="B528" s="277"/>
      <c r="C528" s="278" t="s">
        <v>993</v>
      </c>
      <c r="D528" s="277" t="s">
        <v>994</v>
      </c>
      <c r="E528" s="280">
        <v>44257</v>
      </c>
      <c r="F528" s="280"/>
      <c r="G528" s="280" t="s">
        <v>732</v>
      </c>
      <c r="H528" s="281" t="s">
        <v>733</v>
      </c>
      <c r="I528" s="282">
        <v>4416187</v>
      </c>
      <c r="J528" s="277"/>
      <c r="K528" s="1121"/>
      <c r="M528" s="271"/>
      <c r="N528" s="271"/>
    </row>
    <row r="529" s="246" customFormat="1">
      <c r="B529" s="277"/>
      <c r="C529" s="278" t="s">
        <v>995</v>
      </c>
      <c r="D529" s="277" t="s">
        <v>996</v>
      </c>
      <c r="E529" s="280">
        <v>44260</v>
      </c>
      <c r="F529" s="280"/>
      <c r="G529" s="280" t="s">
        <v>920</v>
      </c>
      <c r="H529" s="281" t="s">
        <v>614</v>
      </c>
      <c r="I529" s="282">
        <v>3191572.077</v>
      </c>
      <c r="J529" s="277"/>
      <c r="K529" s="1121"/>
      <c r="M529" s="271"/>
      <c r="N529" s="271"/>
    </row>
    <row r="530" s="246" customFormat="1">
      <c r="B530" s="277"/>
      <c r="C530" s="278" t="s">
        <v>997</v>
      </c>
      <c r="D530" s="277" t="s">
        <v>998</v>
      </c>
      <c r="E530" s="280">
        <v>44260</v>
      </c>
      <c r="F530" s="280"/>
      <c r="G530" s="280" t="s">
        <v>920</v>
      </c>
      <c r="H530" s="281" t="s">
        <v>614</v>
      </c>
      <c r="I530" s="282">
        <v>3191572.077</v>
      </c>
      <c r="J530" s="277"/>
      <c r="K530" s="1121"/>
      <c r="M530" s="271"/>
      <c r="N530" s="271"/>
    </row>
    <row r="531" s="246" customFormat="1">
      <c r="B531" s="277"/>
      <c r="C531" s="278" t="s">
        <v>999</v>
      </c>
      <c r="D531" s="277" t="s">
        <v>1000</v>
      </c>
      <c r="E531" s="280">
        <v>44260</v>
      </c>
      <c r="F531" s="280"/>
      <c r="G531" s="280" t="s">
        <v>920</v>
      </c>
      <c r="H531" s="281" t="s">
        <v>614</v>
      </c>
      <c r="I531" s="282">
        <v>3191572.077</v>
      </c>
      <c r="J531" s="277"/>
      <c r="K531" s="1121"/>
      <c r="M531" s="271"/>
      <c r="N531" s="271"/>
    </row>
    <row r="532" s="246" customFormat="1">
      <c r="B532" s="277"/>
      <c r="C532" s="278" t="s">
        <v>1001</v>
      </c>
      <c r="D532" s="277" t="s">
        <v>1002</v>
      </c>
      <c r="E532" s="280">
        <v>44256</v>
      </c>
      <c r="F532" s="280"/>
      <c r="G532" s="280" t="s">
        <v>602</v>
      </c>
      <c r="H532" s="281" t="s">
        <v>63</v>
      </c>
      <c r="I532" s="282">
        <v>3310723</v>
      </c>
      <c r="J532" s="277"/>
      <c r="K532" s="1121"/>
      <c r="M532" s="271"/>
      <c r="N532" s="271"/>
    </row>
    <row r="533" s="246" customFormat="1">
      <c r="B533" s="277"/>
      <c r="C533" s="278" t="s">
        <v>1003</v>
      </c>
      <c r="D533" s="277" t="s">
        <v>1004</v>
      </c>
      <c r="E533" s="280"/>
      <c r="F533" s="280">
        <v>44255</v>
      </c>
      <c r="G533" s="280" t="s">
        <v>602</v>
      </c>
      <c r="H533" s="281" t="s">
        <v>63</v>
      </c>
      <c r="I533" s="282">
        <v>3310723</v>
      </c>
      <c r="J533" s="277"/>
      <c r="K533" s="1121"/>
      <c r="M533" s="271"/>
      <c r="N533" s="271"/>
    </row>
    <row r="534" s="246" customFormat="1">
      <c r="B534" s="277"/>
      <c r="C534" s="278" t="s">
        <v>1005</v>
      </c>
      <c r="D534" s="277" t="s">
        <v>1006</v>
      </c>
      <c r="E534" s="280">
        <v>44249</v>
      </c>
      <c r="F534" s="280"/>
      <c r="G534" s="280" t="s">
        <v>737</v>
      </c>
      <c r="H534" s="281" t="s">
        <v>63</v>
      </c>
      <c r="I534" s="282">
        <v>2788826</v>
      </c>
      <c r="J534" s="277"/>
      <c r="K534" s="1121"/>
      <c r="M534" s="271"/>
      <c r="N534" s="271"/>
    </row>
    <row r="535" s="246" customFormat="1">
      <c r="B535" s="277"/>
      <c r="C535" s="278" t="s">
        <v>155</v>
      </c>
      <c r="D535" s="277" t="s">
        <v>519</v>
      </c>
      <c r="E535" s="280">
        <v>44263</v>
      </c>
      <c r="F535" s="280"/>
      <c r="G535" s="280" t="s">
        <v>495</v>
      </c>
      <c r="H535" s="281" t="s">
        <v>614</v>
      </c>
      <c r="I535" s="282">
        <v>3165519</v>
      </c>
      <c r="J535" s="277"/>
      <c r="K535" s="1121"/>
      <c r="M535" s="271"/>
      <c r="N535" s="271"/>
    </row>
    <row r="536" s="246" customFormat="1">
      <c r="B536" s="277"/>
      <c r="C536" s="278" t="s">
        <v>981</v>
      </c>
      <c r="D536" s="277" t="s">
        <v>896</v>
      </c>
      <c r="E536" s="280"/>
      <c r="F536" s="280">
        <v>44230</v>
      </c>
      <c r="G536" s="280" t="s">
        <v>495</v>
      </c>
      <c r="H536" s="281" t="s">
        <v>614</v>
      </c>
      <c r="I536" s="282">
        <v>3165519</v>
      </c>
      <c r="J536" s="277"/>
      <c r="K536" s="1121"/>
      <c r="M536" s="271"/>
      <c r="N536" s="271"/>
    </row>
    <row r="537" s="246" customFormat="1">
      <c r="B537" s="277"/>
      <c r="C537" s="278" t="s">
        <v>1007</v>
      </c>
      <c r="D537" s="277" t="s">
        <v>1008</v>
      </c>
      <c r="E537" s="280">
        <v>44250</v>
      </c>
      <c r="F537" s="280"/>
      <c r="G537" s="280" t="s">
        <v>480</v>
      </c>
      <c r="H537" s="281" t="s">
        <v>614</v>
      </c>
      <c r="I537" s="282">
        <v>2653222</v>
      </c>
      <c r="J537" s="277"/>
      <c r="K537" s="1121"/>
      <c r="M537" s="271"/>
      <c r="N537" s="271"/>
    </row>
    <row r="538" s="246" customFormat="1">
      <c r="B538" s="277"/>
      <c r="C538" s="278" t="s">
        <v>485</v>
      </c>
      <c r="D538" s="277" t="s">
        <v>486</v>
      </c>
      <c r="E538" s="280">
        <v>44250</v>
      </c>
      <c r="F538" s="280"/>
      <c r="G538" s="280" t="s">
        <v>480</v>
      </c>
      <c r="H538" s="281" t="s">
        <v>614</v>
      </c>
      <c r="I538" s="282">
        <v>2653222</v>
      </c>
      <c r="J538" s="277"/>
      <c r="K538" s="1121"/>
      <c r="M538" s="271"/>
      <c r="N538" s="271"/>
    </row>
    <row r="539" s="246" customFormat="1">
      <c r="B539" s="262"/>
      <c r="C539" s="263"/>
      <c r="D539" s="262"/>
      <c r="E539" s="264"/>
      <c r="F539" s="264"/>
      <c r="G539" s="264"/>
      <c r="H539" s="265"/>
      <c r="I539" s="269"/>
      <c r="J539" s="262"/>
      <c r="K539" s="284"/>
      <c r="M539" s="271"/>
      <c r="N539" s="271"/>
    </row>
    <row r="540" s="246" customFormat="1">
      <c r="B540" s="277"/>
      <c r="C540" s="278"/>
      <c r="D540" s="277"/>
      <c r="E540" s="280"/>
      <c r="F540" s="280"/>
      <c r="G540" s="280"/>
      <c r="H540" s="281"/>
      <c r="I540" s="282"/>
      <c r="J540" s="277"/>
      <c r="K540" s="283"/>
      <c r="M540" s="271"/>
      <c r="N540" s="271"/>
    </row>
    <row r="541" s="246" customFormat="1">
      <c r="B541" s="277"/>
      <c r="C541" s="278"/>
      <c r="D541" s="277"/>
      <c r="E541" s="280"/>
      <c r="F541" s="280"/>
      <c r="G541" s="280"/>
      <c r="H541" s="281"/>
      <c r="I541" s="282"/>
      <c r="J541" s="277"/>
      <c r="K541" s="283"/>
      <c r="M541" s="271"/>
      <c r="N541" s="271"/>
    </row>
    <row r="542" s="246" customFormat="1">
      <c r="B542" s="277"/>
      <c r="C542" s="278"/>
      <c r="D542" s="277"/>
      <c r="E542" s="280"/>
      <c r="F542" s="280"/>
      <c r="G542" s="280"/>
      <c r="H542" s="281"/>
      <c r="I542" s="282"/>
      <c r="J542" s="277"/>
      <c r="K542" s="283"/>
      <c r="M542" s="271"/>
      <c r="N542" s="271"/>
    </row>
    <row r="543" s="246" customFormat="1">
      <c r="B543" s="277"/>
      <c r="C543" s="278"/>
      <c r="D543" s="277"/>
      <c r="E543" s="280"/>
      <c r="F543" s="280"/>
      <c r="G543" s="280"/>
      <c r="H543" s="281"/>
      <c r="I543" s="282"/>
      <c r="J543" s="277"/>
      <c r="K543" s="283"/>
      <c r="M543" s="271"/>
      <c r="N543" s="271"/>
    </row>
    <row r="544" s="246" customFormat="1">
      <c r="B544" s="277"/>
      <c r="C544" s="278"/>
      <c r="D544" s="277"/>
      <c r="E544" s="280"/>
      <c r="F544" s="280"/>
      <c r="G544" s="280"/>
      <c r="H544" s="281"/>
      <c r="I544" s="282"/>
      <c r="J544" s="277"/>
      <c r="K544" s="283"/>
      <c r="M544" s="271"/>
      <c r="N544" s="271"/>
    </row>
    <row r="545" s="246" customFormat="1">
      <c r="B545" s="277"/>
      <c r="C545" s="278"/>
      <c r="D545" s="277"/>
      <c r="E545" s="280"/>
      <c r="F545" s="280"/>
      <c r="G545" s="280"/>
      <c r="H545" s="281"/>
      <c r="I545" s="282"/>
      <c r="J545" s="277"/>
      <c r="K545" s="283"/>
      <c r="M545" s="271"/>
      <c r="N545" s="271"/>
    </row>
    <row r="546" s="246" customFormat="1">
      <c r="B546" s="277"/>
      <c r="C546" s="278"/>
      <c r="D546" s="277"/>
      <c r="E546" s="280"/>
      <c r="F546" s="280"/>
      <c r="G546" s="280"/>
      <c r="H546" s="281"/>
      <c r="I546" s="282"/>
      <c r="J546" s="277"/>
      <c r="K546" s="283"/>
      <c r="M546" s="271"/>
      <c r="N546" s="271"/>
    </row>
    <row r="547" s="246" customFormat="1">
      <c r="B547" s="277"/>
      <c r="C547" s="278"/>
      <c r="D547" s="277"/>
      <c r="E547" s="280"/>
      <c r="F547" s="280"/>
      <c r="G547" s="280"/>
      <c r="H547" s="281"/>
      <c r="I547" s="282"/>
      <c r="J547" s="277"/>
      <c r="K547" s="283"/>
      <c r="M547" s="271"/>
      <c r="N547" s="271"/>
    </row>
    <row r="548" s="246" customFormat="1">
      <c r="B548" s="277"/>
      <c r="C548" s="278"/>
      <c r="D548" s="277"/>
      <c r="E548" s="280"/>
      <c r="F548" s="280"/>
      <c r="G548" s="280"/>
      <c r="H548" s="281"/>
      <c r="I548" s="282"/>
      <c r="J548" s="277"/>
      <c r="K548" s="283"/>
      <c r="M548" s="271"/>
      <c r="N548" s="271"/>
    </row>
    <row r="549" s="246" customFormat="1">
      <c r="B549" s="277"/>
      <c r="C549" s="278"/>
      <c r="D549" s="277"/>
      <c r="E549" s="280"/>
      <c r="F549" s="280"/>
      <c r="G549" s="280"/>
      <c r="H549" s="281"/>
      <c r="I549" s="282"/>
      <c r="J549" s="277"/>
      <c r="K549" s="283"/>
      <c r="M549" s="271"/>
      <c r="N549" s="271"/>
    </row>
    <row r="550" s="246" customFormat="1">
      <c r="B550" s="277"/>
      <c r="C550" s="278"/>
      <c r="D550" s="277"/>
      <c r="E550" s="280"/>
      <c r="F550" s="280"/>
      <c r="G550" s="280"/>
      <c r="H550" s="281"/>
      <c r="I550" s="282"/>
      <c r="J550" s="277"/>
      <c r="K550" s="283"/>
      <c r="M550" s="271"/>
      <c r="N550" s="271"/>
    </row>
    <row r="551" s="246" customFormat="1">
      <c r="B551" s="277"/>
      <c r="C551" s="278"/>
      <c r="D551" s="277"/>
      <c r="E551" s="280"/>
      <c r="F551" s="280"/>
      <c r="G551" s="280"/>
      <c r="H551" s="281"/>
      <c r="I551" s="282"/>
      <c r="J551" s="277"/>
      <c r="K551" s="283"/>
      <c r="M551" s="271"/>
      <c r="N551" s="271"/>
    </row>
    <row r="552" s="246" customFormat="1">
      <c r="B552" s="277"/>
      <c r="C552" s="278"/>
      <c r="D552" s="277"/>
      <c r="E552" s="280"/>
      <c r="F552" s="280"/>
      <c r="G552" s="280"/>
      <c r="H552" s="281"/>
      <c r="I552" s="282"/>
      <c r="J552" s="277"/>
      <c r="K552" s="283"/>
      <c r="M552" s="271"/>
      <c r="N552" s="271"/>
    </row>
    <row r="553" s="246" customFormat="1">
      <c r="B553" s="277"/>
      <c r="C553" s="278"/>
      <c r="D553" s="277"/>
      <c r="E553" s="280"/>
      <c r="F553" s="280"/>
      <c r="G553" s="280"/>
      <c r="H553" s="281"/>
      <c r="I553" s="282"/>
      <c r="J553" s="277"/>
      <c r="K553" s="283"/>
      <c r="M553" s="271"/>
      <c r="N553" s="271"/>
    </row>
    <row r="554" s="246" customFormat="1">
      <c r="B554" s="277"/>
      <c r="C554" s="278"/>
      <c r="D554" s="277"/>
      <c r="E554" s="280"/>
      <c r="F554" s="280"/>
      <c r="G554" s="280"/>
      <c r="H554" s="281"/>
      <c r="I554" s="282"/>
      <c r="J554" s="277"/>
      <c r="K554" s="283"/>
      <c r="M554" s="271"/>
      <c r="N554" s="271"/>
    </row>
    <row r="555" s="246" customFormat="1">
      <c r="B555" s="277"/>
      <c r="C555" s="278"/>
      <c r="D555" s="277"/>
      <c r="E555" s="280"/>
      <c r="F555" s="280"/>
      <c r="G555" s="280"/>
      <c r="H555" s="281"/>
      <c r="I555" s="282"/>
      <c r="J555" s="277"/>
      <c r="K555" s="283"/>
      <c r="M555" s="271"/>
      <c r="N555" s="271"/>
    </row>
    <row r="556" s="246" customFormat="1">
      <c r="B556" s="277"/>
      <c r="C556" s="278"/>
      <c r="D556" s="277"/>
      <c r="E556" s="280"/>
      <c r="F556" s="280"/>
      <c r="G556" s="280"/>
      <c r="H556" s="281"/>
      <c r="I556" s="282"/>
      <c r="J556" s="277"/>
      <c r="K556" s="283"/>
      <c r="M556" s="271"/>
      <c r="N556" s="271"/>
    </row>
    <row r="557" s="246" customFormat="1">
      <c r="B557" s="277"/>
      <c r="C557" s="278"/>
      <c r="D557" s="277"/>
      <c r="E557" s="280"/>
      <c r="F557" s="280"/>
      <c r="G557" s="280"/>
      <c r="H557" s="281"/>
      <c r="I557" s="282"/>
      <c r="J557" s="277"/>
      <c r="K557" s="283"/>
      <c r="M557" s="271"/>
      <c r="N557" s="271"/>
    </row>
    <row r="558" s="246" customFormat="1">
      <c r="B558" s="277"/>
      <c r="C558" s="278"/>
      <c r="D558" s="277"/>
      <c r="E558" s="280"/>
      <c r="F558" s="280"/>
      <c r="G558" s="280"/>
      <c r="H558" s="281"/>
      <c r="I558" s="282"/>
      <c r="J558" s="277"/>
      <c r="K558" s="283"/>
      <c r="M558" s="271"/>
      <c r="N558" s="271"/>
    </row>
    <row r="559" s="246" customFormat="1">
      <c r="B559" s="277"/>
      <c r="C559" s="278"/>
      <c r="D559" s="277"/>
      <c r="E559" s="280"/>
      <c r="F559" s="280"/>
      <c r="G559" s="280"/>
      <c r="H559" s="281"/>
      <c r="I559" s="282"/>
      <c r="J559" s="277"/>
      <c r="K559" s="283"/>
      <c r="M559" s="271"/>
      <c r="N559" s="271"/>
    </row>
    <row r="560" s="246" customFormat="1">
      <c r="B560" s="277"/>
      <c r="C560" s="278"/>
      <c r="D560" s="277"/>
      <c r="E560" s="280"/>
      <c r="F560" s="280"/>
      <c r="G560" s="280"/>
      <c r="H560" s="281"/>
      <c r="I560" s="282"/>
      <c r="J560" s="277"/>
      <c r="K560" s="283"/>
      <c r="M560" s="271"/>
      <c r="N560" s="271"/>
    </row>
    <row r="561" s="246" customFormat="1">
      <c r="B561" s="277"/>
      <c r="C561" s="278"/>
      <c r="D561" s="277"/>
      <c r="E561" s="280"/>
      <c r="F561" s="280"/>
      <c r="G561" s="280"/>
      <c r="H561" s="281"/>
      <c r="I561" s="282"/>
      <c r="J561" s="277"/>
      <c r="K561" s="283"/>
      <c r="M561" s="271"/>
      <c r="N561" s="271"/>
    </row>
    <row r="562" s="246" customFormat="1">
      <c r="B562" s="277"/>
      <c r="C562" s="278"/>
      <c r="D562" s="277"/>
      <c r="E562" s="280"/>
      <c r="F562" s="280"/>
      <c r="G562" s="280"/>
      <c r="H562" s="281"/>
      <c r="I562" s="282"/>
      <c r="J562" s="277"/>
      <c r="K562" s="283"/>
      <c r="M562" s="271"/>
      <c r="N562" s="271"/>
    </row>
    <row r="563" s="246" customFormat="1">
      <c r="B563" s="277"/>
      <c r="C563" s="278"/>
      <c r="D563" s="277"/>
      <c r="E563" s="280"/>
      <c r="F563" s="280"/>
      <c r="G563" s="280"/>
      <c r="H563" s="281"/>
      <c r="I563" s="282"/>
      <c r="J563" s="277"/>
      <c r="K563" s="283"/>
      <c r="M563" s="271"/>
      <c r="N563" s="271"/>
    </row>
    <row r="564" s="246" customFormat="1">
      <c r="B564" s="277"/>
      <c r="C564" s="278"/>
      <c r="D564" s="277"/>
      <c r="E564" s="280"/>
      <c r="F564" s="280"/>
      <c r="G564" s="280"/>
      <c r="H564" s="281"/>
      <c r="I564" s="282"/>
      <c r="J564" s="277"/>
      <c r="K564" s="283"/>
      <c r="M564" s="271"/>
      <c r="N564" s="271"/>
    </row>
    <row r="565" s="246" customFormat="1">
      <c r="B565" s="277"/>
      <c r="C565" s="278"/>
      <c r="D565" s="277"/>
      <c r="E565" s="280"/>
      <c r="F565" s="280"/>
      <c r="G565" s="280"/>
      <c r="H565" s="281"/>
      <c r="I565" s="282"/>
      <c r="J565" s="277"/>
      <c r="K565" s="283"/>
      <c r="M565" s="271"/>
      <c r="N565" s="271"/>
    </row>
    <row r="566" s="246" customFormat="1">
      <c r="B566" s="277"/>
      <c r="C566" s="278"/>
      <c r="D566" s="277"/>
      <c r="E566" s="280"/>
      <c r="F566" s="280"/>
      <c r="G566" s="280"/>
      <c r="H566" s="281"/>
      <c r="I566" s="282"/>
      <c r="J566" s="277"/>
      <c r="K566" s="283"/>
      <c r="M566" s="271"/>
      <c r="N566" s="271"/>
    </row>
    <row r="567" s="246" customFormat="1">
      <c r="B567" s="277"/>
      <c r="C567" s="278"/>
      <c r="D567" s="277"/>
      <c r="E567" s="280"/>
      <c r="F567" s="280"/>
      <c r="G567" s="280"/>
      <c r="H567" s="281"/>
      <c r="I567" s="282"/>
      <c r="J567" s="277"/>
      <c r="K567" s="283"/>
      <c r="M567" s="271"/>
      <c r="N567" s="271"/>
    </row>
    <row r="568" s="246" customFormat="1">
      <c r="B568" s="277"/>
      <c r="C568" s="278"/>
      <c r="D568" s="277"/>
      <c r="E568" s="280"/>
      <c r="F568" s="280"/>
      <c r="G568" s="280"/>
      <c r="H568" s="281"/>
      <c r="I568" s="282"/>
      <c r="J568" s="277"/>
      <c r="K568" s="283"/>
      <c r="M568" s="271"/>
      <c r="N568" s="271"/>
    </row>
    <row r="569" s="246" customFormat="1">
      <c r="B569" s="277"/>
      <c r="C569" s="278"/>
      <c r="D569" s="277"/>
      <c r="E569" s="280"/>
      <c r="F569" s="280"/>
      <c r="G569" s="280"/>
      <c r="H569" s="281"/>
      <c r="I569" s="282"/>
      <c r="J569" s="277"/>
      <c r="K569" s="283"/>
      <c r="M569" s="271"/>
      <c r="N569" s="271"/>
    </row>
    <row r="570" s="246" customFormat="1">
      <c r="B570" s="277"/>
      <c r="C570" s="278"/>
      <c r="D570" s="277"/>
      <c r="E570" s="280"/>
      <c r="F570" s="280"/>
      <c r="G570" s="280"/>
      <c r="H570" s="281"/>
      <c r="I570" s="282"/>
      <c r="J570" s="277"/>
      <c r="K570" s="283"/>
      <c r="M570" s="271"/>
      <c r="N570" s="271"/>
    </row>
    <row r="571" s="246" customFormat="1">
      <c r="B571" s="277"/>
      <c r="C571" s="278"/>
      <c r="D571" s="277"/>
      <c r="E571" s="280"/>
      <c r="F571" s="280"/>
      <c r="G571" s="280"/>
      <c r="H571" s="281"/>
      <c r="I571" s="282"/>
      <c r="J571" s="277"/>
      <c r="K571" s="283"/>
      <c r="M571" s="271"/>
      <c r="N571" s="271"/>
    </row>
    <row r="572" s="246" customFormat="1">
      <c r="B572" s="277"/>
      <c r="C572" s="278"/>
      <c r="D572" s="277"/>
      <c r="E572" s="280"/>
      <c r="F572" s="280"/>
      <c r="G572" s="280"/>
      <c r="H572" s="281"/>
      <c r="I572" s="282"/>
      <c r="J572" s="277"/>
      <c r="K572" s="283"/>
      <c r="M572" s="271"/>
      <c r="N572" s="271"/>
    </row>
    <row r="573" s="246" customFormat="1">
      <c r="B573" s="277"/>
      <c r="C573" s="278"/>
      <c r="D573" s="277"/>
      <c r="E573" s="280"/>
      <c r="F573" s="280"/>
      <c r="G573" s="280"/>
      <c r="H573" s="281"/>
      <c r="I573" s="282"/>
      <c r="J573" s="277"/>
      <c r="K573" s="283"/>
      <c r="M573" s="271"/>
      <c r="N573" s="271"/>
    </row>
    <row r="574" s="246" customFormat="1">
      <c r="B574" s="277"/>
      <c r="C574" s="278"/>
      <c r="D574" s="277"/>
      <c r="E574" s="280"/>
      <c r="F574" s="280"/>
      <c r="G574" s="280"/>
      <c r="H574" s="281"/>
      <c r="I574" s="282"/>
      <c r="J574" s="277"/>
      <c r="K574" s="284"/>
      <c r="M574" s="271"/>
      <c r="N574" s="271"/>
    </row>
    <row r="575" s="246" customFormat="1">
      <c r="B575" s="277"/>
      <c r="C575" s="278"/>
      <c r="D575" s="277"/>
      <c r="E575" s="280"/>
      <c r="F575" s="280"/>
      <c r="G575" s="280"/>
      <c r="H575" s="281"/>
      <c r="I575" s="282"/>
      <c r="J575" s="277"/>
      <c r="K575" s="284"/>
      <c r="M575" s="271"/>
      <c r="N575" s="271"/>
    </row>
    <row r="576" s="246" customFormat="1">
      <c r="B576" s="277"/>
      <c r="C576" s="278"/>
      <c r="D576" s="277"/>
      <c r="E576" s="280"/>
      <c r="F576" s="281"/>
      <c r="G576" s="278"/>
      <c r="H576" s="278"/>
      <c r="I576" s="282"/>
      <c r="J576" s="277"/>
      <c r="K576" s="284"/>
      <c r="M576" s="271"/>
      <c r="N576" s="271"/>
    </row>
    <row r="577" s="247" customFormat="1">
      <c r="B577" s="285"/>
      <c r="C577" s="286"/>
      <c r="D577" s="287"/>
      <c r="E577" s="288"/>
      <c r="F577" s="289"/>
      <c r="G577" s="290"/>
      <c r="H577" s="290"/>
      <c r="I577" s="292"/>
      <c r="J577" s="293"/>
      <c r="K577" s="294"/>
      <c r="M577" s="295"/>
      <c r="N577" s="295"/>
      <c r="O577" s="248"/>
      <c r="P577" s="248"/>
      <c r="Q577" s="248"/>
    </row>
    <row r="578">
      <c r="A578" s="249"/>
      <c r="B578" s="249"/>
      <c r="F578" s="249"/>
      <c r="G578" s="249"/>
      <c r="H578" s="249"/>
      <c r="I578" s="249"/>
      <c r="J578" s="249"/>
      <c r="K578" s="294"/>
      <c r="L578" s="249"/>
    </row>
    <row r="579">
      <c r="B579" s="251" t="s">
        <v>1009</v>
      </c>
      <c r="K579" s="294"/>
    </row>
    <row r="580">
      <c r="B580" s="248" t="s">
        <v>1010</v>
      </c>
      <c r="K580" s="294"/>
    </row>
    <row r="581">
      <c r="B581" s="248" t="s">
        <v>1011</v>
      </c>
      <c r="K581" s="294"/>
    </row>
    <row r="582">
      <c r="B582" s="248" t="s">
        <v>1012</v>
      </c>
      <c r="K582" s="294"/>
    </row>
    <row r="583">
      <c r="B583" s="291" t="s">
        <v>1013</v>
      </c>
      <c r="K583" s="294"/>
    </row>
    <row r="584">
      <c r="K584" s="294"/>
    </row>
    <row r="585">
      <c r="K585" s="294"/>
    </row>
    <row r="586">
      <c r="K586" s="294"/>
    </row>
    <row r="587">
      <c r="K587" s="294"/>
    </row>
    <row r="588">
      <c r="K588" s="294"/>
    </row>
    <row r="589">
      <c r="K589" s="294"/>
    </row>
    <row r="590">
      <c r="K590" s="294"/>
    </row>
    <row r="591">
      <c r="K591" s="296"/>
    </row>
    <row r="592">
      <c r="K592" s="296"/>
    </row>
    <row r="593">
      <c r="K593" s="296"/>
    </row>
    <row r="594">
      <c r="K594" s="296"/>
    </row>
    <row r="595">
      <c r="K595" s="296"/>
    </row>
    <row r="596">
      <c r="K596" s="296"/>
    </row>
    <row r="597">
      <c r="K597" s="296"/>
    </row>
    <row r="598">
      <c r="K598" s="296"/>
    </row>
    <row r="599">
      <c r="K599" s="296"/>
    </row>
    <row r="600">
      <c r="K600" s="296"/>
    </row>
    <row r="601">
      <c r="K601" s="296"/>
    </row>
    <row r="602">
      <c r="K602" s="296"/>
    </row>
    <row r="603">
      <c r="K603" s="296"/>
    </row>
    <row r="604">
      <c r="K604" s="296"/>
    </row>
    <row r="605">
      <c r="K605" s="296"/>
    </row>
    <row r="606">
      <c r="K606" s="296"/>
    </row>
    <row r="607">
      <c r="K607" s="296"/>
    </row>
    <row r="608">
      <c r="K608" s="296"/>
    </row>
    <row r="609">
      <c r="K609" s="296"/>
    </row>
    <row r="610">
      <c r="K610" s="296"/>
    </row>
    <row r="611">
      <c r="K611" s="296"/>
    </row>
    <row r="612">
      <c r="K612" s="296"/>
    </row>
    <row r="613">
      <c r="K613" s="296"/>
    </row>
    <row r="614">
      <c r="K614" s="296"/>
    </row>
    <row r="615">
      <c r="K615" s="296"/>
    </row>
    <row r="616">
      <c r="K616" s="296"/>
    </row>
    <row r="617">
      <c r="K617" s="296"/>
    </row>
    <row r="618">
      <c r="K618" s="296"/>
    </row>
    <row r="619">
      <c r="K619" s="296"/>
    </row>
    <row r="620">
      <c r="K620" s="296"/>
    </row>
    <row r="621">
      <c r="K621" s="296"/>
    </row>
    <row r="622">
      <c r="K622" s="296"/>
    </row>
    <row r="623">
      <c r="K623" s="296"/>
    </row>
    <row r="624">
      <c r="K624" s="296"/>
    </row>
    <row r="625">
      <c r="K625" s="296"/>
    </row>
  </sheetData>
  <mergeCells>
    <mergeCell ref="K510:K538"/>
    <mergeCell ref="K319:K357"/>
    <mergeCell ref="K359:K401"/>
    <mergeCell ref="K403:K443"/>
    <mergeCell ref="K445:K474"/>
    <mergeCell ref="K476:K508"/>
    <mergeCell ref="K237:K259"/>
    <mergeCell ref="K261:K273"/>
    <mergeCell ref="K275:K285"/>
    <mergeCell ref="K287:K301"/>
    <mergeCell ref="K303:K317"/>
    <mergeCell ref="K6:K7"/>
    <mergeCell ref="K8:K57"/>
    <mergeCell ref="K59:K186"/>
    <mergeCell ref="K188:K220"/>
    <mergeCell ref="K222:K235"/>
    <mergeCell ref="G6:H6"/>
    <mergeCell ref="B6:B7"/>
    <mergeCell ref="C6:C7"/>
    <mergeCell ref="D6:D7"/>
    <mergeCell ref="E6:E7"/>
    <mergeCell ref="F6:F7"/>
  </mergeCells>
  <pageMargins left="0.12" right="0.12" top="0.21" bottom="0.12" header="0.12" footer="0.12"/>
  <pageSetup scale="70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4" tint="-0.499984740745262"/>
  </sheetPr>
  <dimension ref="A1:V35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S27" sqref="S27"/>
    </sheetView>
  </sheetViews>
  <sheetFormatPr defaultColWidth="9.140625" defaultRowHeight="12"/>
  <cols>
    <col min="1" max="1" width="4.7109375" customWidth="1" style="182"/>
    <col min="2" max="2" width="7.5703125" customWidth="1" style="183"/>
    <col min="3" max="3" width="21" customWidth="1" style="184"/>
    <col min="4" max="4" width="6.7109375" customWidth="1" style="183"/>
    <col min="5" max="5" hidden="1" width="10.140625" customWidth="1" style="183"/>
    <col min="6" max="6" hidden="1" width="8.42578125" customWidth="1" style="183"/>
    <col min="7" max="7" width="9.7109375" customWidth="1" style="185"/>
    <col min="8" max="11" width="12" customWidth="1" style="182"/>
    <col min="12" max="12" width="12" customWidth="1" style="185"/>
    <col min="13" max="13" width="12" customWidth="1" style="182"/>
    <col min="14" max="14" width="10" customWidth="1" style="182"/>
    <col min="15" max="16" hidden="1" width="9.140625" customWidth="1" style="182"/>
    <col min="17" max="19" width="10.28515625" customWidth="1" style="182"/>
    <col min="20" max="21" width="9.85546875" customWidth="1" style="183"/>
    <col min="22" max="22" width="5" customWidth="1" style="182"/>
    <col min="23" max="16384" width="9.140625" customWidth="1" style="182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O1" s="178" t="s">
        <v>416</v>
      </c>
      <c r="T1" s="189"/>
      <c r="U1" s="187"/>
    </row>
    <row r="2" ht="12.75" s="178" customFormat="1">
      <c r="A2" s="186" t="s">
        <v>1014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89"/>
      <c r="G3" s="190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89"/>
      <c r="G4" s="196">
        <v>3112156.4</v>
      </c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89"/>
      <c r="G5" s="190"/>
      <c r="L5" s="190"/>
      <c r="T5" s="189"/>
      <c r="U5" s="187"/>
    </row>
    <row r="6" ht="27" customHeight="1" s="179" customFormat="1">
      <c r="A6" s="197" t="s">
        <v>36</v>
      </c>
      <c r="B6" s="198" t="s">
        <v>37</v>
      </c>
      <c r="C6" s="198" t="s">
        <v>38</v>
      </c>
      <c r="D6" s="198" t="s">
        <v>39</v>
      </c>
      <c r="E6" s="198" t="s">
        <v>40</v>
      </c>
      <c r="F6" s="199" t="s">
        <v>41</v>
      </c>
      <c r="G6" s="200" t="s">
        <v>42</v>
      </c>
      <c r="H6" s="201" t="s">
        <v>44</v>
      </c>
      <c r="I6" s="218" t="s">
        <v>45</v>
      </c>
      <c r="J6" s="219" t="s">
        <v>46</v>
      </c>
      <c r="K6" s="220" t="s">
        <v>47</v>
      </c>
      <c r="L6" s="220" t="s">
        <v>48</v>
      </c>
      <c r="M6" s="221" t="s">
        <v>49</v>
      </c>
      <c r="N6" s="222" t="s">
        <v>50</v>
      </c>
      <c r="O6" s="223" t="s">
        <v>52</v>
      </c>
      <c r="P6" s="221" t="s">
        <v>53</v>
      </c>
      <c r="Q6" s="233" t="s">
        <v>54</v>
      </c>
      <c r="R6" s="234" t="s">
        <v>55</v>
      </c>
      <c r="S6" s="234" t="s">
        <v>56</v>
      </c>
      <c r="T6" s="234" t="s">
        <v>57</v>
      </c>
      <c r="U6" s="235" t="s">
        <v>58</v>
      </c>
    </row>
    <row r="7" ht="18" customHeight="1" s="178" customFormat="1">
      <c r="A7" s="202" t="s">
        <v>64</v>
      </c>
      <c r="B7" s="1254" t="s">
        <v>1015</v>
      </c>
      <c r="C7" s="1247" t="s">
        <v>1016</v>
      </c>
      <c r="D7" s="205" t="s">
        <v>84</v>
      </c>
      <c r="E7" s="205" t="s">
        <v>1017</v>
      </c>
      <c r="F7" s="205" t="s">
        <v>421</v>
      </c>
      <c r="G7" s="112">
        <v>3112156.4</v>
      </c>
      <c r="H7" s="206">
        <f>+$G$4*4.89%</f>
        <v>152184.44796</v>
      </c>
      <c r="I7" s="224">
        <f>+$G$4*4%</f>
        <v>124486.256</v>
      </c>
      <c r="J7" s="224">
        <f>+$G$4*2%</f>
        <v>62243.128</v>
      </c>
      <c r="K7" s="224">
        <v>15000</v>
      </c>
      <c r="L7" s="225">
        <f>SUM(G7:K7)</f>
        <v>3466070.23196</v>
      </c>
      <c r="M7" s="225">
        <f>+L7*8%</f>
        <v>277285.6185568</v>
      </c>
      <c r="N7" s="226">
        <f>26*20000</f>
        <v>520000</v>
      </c>
      <c r="O7" s="227"/>
      <c r="P7" s="225"/>
      <c r="Q7" s="236">
        <f>SUM(L7:P7)</f>
        <v>4263355.8505168</v>
      </c>
      <c r="R7" s="236">
        <f>M7*0.1</f>
        <v>27728.56185568</v>
      </c>
      <c r="S7" s="237">
        <f>Q7+R7</f>
        <v>4291084.41237248</v>
      </c>
      <c r="T7" s="238">
        <v>44409</v>
      </c>
      <c r="U7" s="239">
        <v>44500</v>
      </c>
      <c r="V7" s="231"/>
    </row>
    <row r="8" ht="18" customHeight="1" s="180" customFormat="1">
      <c r="A8" s="1061" t="s">
        <v>87</v>
      </c>
      <c r="B8" s="1188"/>
      <c r="C8" s="1062"/>
      <c r="D8" s="1062"/>
      <c r="E8" s="1062"/>
      <c r="F8" s="1087"/>
      <c r="G8" s="209">
        <f ref="G8:S8" t="shared" si="0">SUM(G7:G7)</f>
        <v>3112156.4</v>
      </c>
      <c r="H8" s="209">
        <f t="shared" si="0"/>
        <v>152184.44796</v>
      </c>
      <c r="I8" s="209">
        <f t="shared" si="0"/>
        <v>124486.256</v>
      </c>
      <c r="J8" s="209">
        <f t="shared" si="0"/>
        <v>62243.128</v>
      </c>
      <c r="K8" s="209">
        <f t="shared" si="0"/>
        <v>15000</v>
      </c>
      <c r="L8" s="209">
        <f t="shared" si="0"/>
        <v>3466070.23196</v>
      </c>
      <c r="M8" s="209">
        <f t="shared" si="0"/>
        <v>277285.6185568</v>
      </c>
      <c r="N8" s="209">
        <f t="shared" si="0"/>
        <v>520000</v>
      </c>
      <c r="O8" s="209">
        <f t="shared" si="0"/>
        <v>0</v>
      </c>
      <c r="P8" s="209">
        <f t="shared" si="0"/>
        <v>0</v>
      </c>
      <c r="Q8" s="209">
        <f t="shared" si="0"/>
        <v>4263355.8505168</v>
      </c>
      <c r="R8" s="209">
        <f t="shared" si="0"/>
        <v>27728.56185568</v>
      </c>
      <c r="S8" s="209">
        <f t="shared" si="0"/>
        <v>4291084.41237248</v>
      </c>
      <c r="T8" s="240"/>
      <c r="U8" s="241"/>
    </row>
    <row r="9" s="180" customFormat="1">
      <c r="A9" s="210" t="s">
        <v>87</v>
      </c>
      <c r="B9" s="1178"/>
      <c r="C9" s="184"/>
      <c r="D9" s="212"/>
      <c r="E9" s="212"/>
      <c r="F9" s="212"/>
      <c r="G9" s="185"/>
      <c r="L9" s="228"/>
      <c r="T9" s="212"/>
      <c r="U9" s="211"/>
    </row>
    <row r="10" s="178" customFormat="1">
      <c r="A10" s="213" t="s">
        <v>87</v>
      </c>
      <c r="B10" s="1178"/>
      <c r="C10" s="181"/>
      <c r="D10" s="189"/>
      <c r="E10" s="189"/>
      <c r="F10" s="189"/>
      <c r="G10" s="190"/>
      <c r="M10" s="229"/>
      <c r="N10" s="229"/>
      <c r="O10" s="229"/>
      <c r="P10" s="230"/>
      <c r="Q10" s="187"/>
    </row>
    <row r="11" s="178" customFormat="1">
      <c r="A11" s="178" t="s">
        <v>87</v>
      </c>
      <c r="B11" s="1178"/>
      <c r="C11" s="214" t="str">
        <f>+'BANJARMASIN '!C102</f>
        <v>Karawang,  16 Agustus 2020</v>
      </c>
      <c r="D11" s="189"/>
      <c r="E11" s="189"/>
      <c r="F11" s="189"/>
      <c r="G11" s="190"/>
      <c r="L11" s="231"/>
      <c r="M11" s="231"/>
      <c r="N11" s="231"/>
      <c r="O11" s="231"/>
      <c r="P11" s="230"/>
      <c r="Q11" s="242"/>
    </row>
    <row r="12" s="178" customFormat="1">
      <c r="A12" s="213" t="s">
        <v>87</v>
      </c>
      <c r="B12" s="1178"/>
      <c r="C12" s="189"/>
      <c r="D12" s="189"/>
      <c r="E12" s="189"/>
      <c r="F12" s="189"/>
      <c r="G12" s="190"/>
      <c r="M12" s="229"/>
      <c r="N12" s="229"/>
      <c r="O12" s="229"/>
      <c r="P12" s="230"/>
      <c r="Q12" s="242"/>
    </row>
    <row r="13" s="178" customFormat="1">
      <c r="A13" s="178" t="s">
        <v>87</v>
      </c>
      <c r="B13" s="1178"/>
      <c r="C13" s="189" t="s">
        <v>232</v>
      </c>
      <c r="D13" s="189"/>
      <c r="F13" s="215"/>
      <c r="G13" s="190"/>
      <c r="K13" s="229"/>
      <c r="L13" s="181" t="s">
        <v>233</v>
      </c>
      <c r="M13" s="231"/>
      <c r="N13" s="181"/>
      <c r="O13" s="190"/>
      <c r="Q13" s="242"/>
    </row>
    <row r="14" s="178" customFormat="1">
      <c r="A14" s="178" t="s">
        <v>87</v>
      </c>
      <c r="B14" s="1178"/>
      <c r="C14" s="189"/>
      <c r="D14" s="189"/>
      <c r="F14" s="215"/>
      <c r="G14" s="190"/>
      <c r="H14" s="190"/>
      <c r="K14" s="229"/>
      <c r="Q14" s="242"/>
    </row>
    <row r="15" s="178" customFormat="1">
      <c r="A15" s="178" t="s">
        <v>87</v>
      </c>
      <c r="B15" s="1178"/>
      <c r="C15" s="189"/>
      <c r="D15" s="189"/>
      <c r="F15" s="215"/>
      <c r="G15" s="190"/>
      <c r="H15" s="190"/>
      <c r="K15" s="229"/>
      <c r="M15" s="230"/>
      <c r="Q15" s="242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M16" s="231"/>
      <c r="Q16" s="242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Q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P18" s="189"/>
      <c r="Q18" s="243"/>
    </row>
    <row r="19" s="178" customFormat="1">
      <c r="A19" s="181" t="s">
        <v>87</v>
      </c>
      <c r="B19" s="1178"/>
      <c r="C19" s="189"/>
      <c r="D19" s="189"/>
      <c r="F19" s="189"/>
      <c r="G19" s="190"/>
      <c r="H19" s="190"/>
      <c r="K19" s="229"/>
      <c r="Q19" s="243"/>
    </row>
    <row r="20" s="181" customFormat="1">
      <c r="A20" s="181" t="s">
        <v>87</v>
      </c>
      <c r="B20" s="1190"/>
      <c r="C20" s="214" t="s">
        <v>234</v>
      </c>
      <c r="D20" s="189"/>
      <c r="E20" s="189"/>
      <c r="F20" s="214"/>
      <c r="G20" s="190"/>
      <c r="H20" s="190"/>
      <c r="I20" s="232" t="s">
        <v>235</v>
      </c>
      <c r="L20" s="213" t="s">
        <v>236</v>
      </c>
      <c r="N20" s="214" t="s">
        <v>237</v>
      </c>
      <c r="Q20" s="243"/>
      <c r="R20" s="213" t="s">
        <v>238</v>
      </c>
    </row>
    <row r="21" s="181" customFormat="1">
      <c r="A21" s="181" t="s">
        <v>87</v>
      </c>
      <c r="B21" s="1191"/>
      <c r="C21" s="188"/>
      <c r="D21" s="189"/>
      <c r="E21" s="189"/>
      <c r="F21" s="189"/>
      <c r="G21" s="190"/>
      <c r="L21" s="190"/>
      <c r="Q21" s="189"/>
    </row>
    <row r="22" s="181" customFormat="1">
      <c r="A22" s="181" t="s">
        <v>87</v>
      </c>
      <c r="B22" s="1191"/>
      <c r="C22" s="188"/>
      <c r="D22" s="189"/>
      <c r="E22" s="189"/>
      <c r="F22" s="189"/>
      <c r="G22" s="190"/>
      <c r="L22" s="190"/>
      <c r="Q22" s="189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Q23" s="189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H24" s="216"/>
      <c r="L24" s="190"/>
      <c r="T24" s="189"/>
      <c r="U24" s="189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H25" s="216"/>
      <c r="L25" s="190"/>
      <c r="T25" s="189"/>
      <c r="U25" s="189"/>
    </row>
    <row r="26" s="181" customFormat="1">
      <c r="A26" s="181" t="s">
        <v>87</v>
      </c>
      <c r="B26" s="1191"/>
      <c r="F26" s="215"/>
      <c r="G26" s="190"/>
      <c r="H26" s="216"/>
    </row>
    <row r="27" s="181" customFormat="1">
      <c r="A27" s="181" t="s">
        <v>87</v>
      </c>
      <c r="B27" s="1191"/>
      <c r="F27" s="215"/>
    </row>
    <row r="28" s="181" customFormat="1">
      <c r="A28" s="181" t="s">
        <v>87</v>
      </c>
      <c r="B28" s="1191"/>
      <c r="F28" s="215"/>
    </row>
    <row r="29" s="181" customFormat="1">
      <c r="A29" s="181" t="s">
        <v>87</v>
      </c>
      <c r="B29" s="1191"/>
      <c r="F29" s="215"/>
    </row>
    <row r="30" s="181" customFormat="1">
      <c r="A30" s="181" t="s">
        <v>87</v>
      </c>
      <c r="B30" s="1191"/>
      <c r="F30" s="215"/>
    </row>
    <row r="31" s="181" customFormat="1">
      <c r="A31" s="181" t="s">
        <v>87</v>
      </c>
      <c r="B31" s="1191"/>
      <c r="F31" s="215"/>
    </row>
    <row r="32" s="181" customFormat="1">
      <c r="A32" s="181" t="s">
        <v>87</v>
      </c>
      <c r="B32" s="1191"/>
      <c r="F32" s="215"/>
    </row>
    <row r="33" s="181" customFormat="1">
      <c r="A33" s="181" t="s">
        <v>87</v>
      </c>
      <c r="B33" s="1191"/>
      <c r="F33" s="215"/>
    </row>
    <row r="34">
      <c r="A34" s="182" t="s">
        <v>87</v>
      </c>
      <c r="B34" s="1191"/>
      <c r="C34" s="182"/>
      <c r="D34" s="182"/>
      <c r="E34" s="182"/>
      <c r="F34" s="217"/>
      <c r="G34" s="182"/>
      <c r="L34" s="182"/>
      <c r="T34" s="182"/>
      <c r="U34" s="182"/>
    </row>
    <row r="35">
      <c r="C35" s="182"/>
      <c r="D35" s="182"/>
      <c r="E35" s="182"/>
      <c r="F35" s="217"/>
      <c r="G35" s="182"/>
      <c r="L35" s="182"/>
      <c r="T35" s="182"/>
      <c r="U35" s="182"/>
    </row>
  </sheetData>
  <mergeCells>
    <mergeCell ref="A8:F8"/>
  </mergeCells>
  <printOptions horizontalCentered="1"/>
  <pageMargins left="0.17" right="0.12" top="0.75" bottom="0.75" header="0.3" footer="0.3"/>
  <pageSetup paperSize="9" scale="75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1"/>
  <dimension ref="A1:AB65"/>
  <sheetViews>
    <sheetView tabSelected="1" topLeftCell="A31" zoomScale="70" zoomScaleNormal="70" workbookViewId="0">
      <selection activeCell="N10" sqref="N10"/>
    </sheetView>
  </sheetViews>
  <sheetFormatPr defaultColWidth="9.140625" defaultRowHeight="15"/>
  <cols>
    <col min="1" max="1" width="23" customWidth="1" style="2"/>
    <col min="2" max="2" width="2.42578125" customWidth="1" style="2"/>
    <col min="3" max="3" width="6.28515625" customWidth="1" style="2"/>
    <col min="4" max="4" width="6.28515625" customWidth="1" style="2"/>
    <col min="5" max="5" width="21.28515625" customWidth="1" style="2"/>
    <col min="6" max="6" width="23.7109375" customWidth="1" style="2"/>
    <col min="7" max="7" width="23.7109375" customWidth="1" style="3"/>
    <col min="8" max="8" width="20.7109375" customWidth="1" style="3"/>
    <col min="9" max="9" width="24.5703125" customWidth="1" style="3"/>
    <col min="10" max="10" width="18" customWidth="1" style="3"/>
    <col min="11" max="11" width="10.140625" customWidth="1" style="2"/>
    <col min="12" max="12" width="16.5703125" customWidth="1" style="3"/>
    <col min="13" max="13" width="16.28515625" customWidth="1" style="2"/>
    <col min="14" max="15" width="15.7109375" customWidth="1" style="2"/>
    <col min="16" max="16" width="12.42578125" customWidth="1" style="2"/>
    <col min="17" max="18" width="10.140625" customWidth="1" style="2"/>
    <col min="19" max="20" width="10.140625" customWidth="1" style="171"/>
    <col min="21" max="22" width="10.140625" customWidth="1" style="2"/>
    <col min="23" max="23" width="19.42578125" customWidth="1" style="2"/>
    <col min="24" max="27" width="9.140625" customWidth="1" style="2"/>
    <col min="28" max="28" width="19.85546875" customWidth="1" style="2"/>
    <col min="29" max="16384" width="9.140625" customWidth="1" style="2"/>
  </cols>
  <sheetData>
    <row r="1" ht="27" customHeight="1">
      <c r="A1" s="13"/>
      <c r="B1" s="13"/>
      <c r="C1" s="13"/>
      <c r="D1" s="13"/>
      <c r="E1" s="13"/>
      <c r="F1" s="13"/>
      <c r="G1" s="1255" t="s">
        <v>1</v>
      </c>
      <c r="H1" s="6"/>
      <c r="I1" s="6" t="s">
        <v>1090</v>
      </c>
      <c r="J1" s="6"/>
    </row>
    <row r="2" ht="18.75">
      <c r="A2" s="8" t="s">
        <v>1018</v>
      </c>
      <c r="B2" s="8" t="s">
        <v>1019</v>
      </c>
      <c r="C2" s="8" t="s">
        <v>1101</v>
      </c>
      <c r="D2" s="8"/>
      <c r="E2" s="9"/>
      <c r="F2" s="13"/>
      <c r="H2" s="7"/>
      <c r="I2" s="10" t="s">
        <v>1021</v>
      </c>
      <c r="J2" s="7"/>
    </row>
    <row r="3" ht="18.75">
      <c r="A3" s="8" t="s">
        <v>1022</v>
      </c>
      <c r="B3" s="8" t="s">
        <v>1019</v>
      </c>
      <c r="C3" s="1122">
        <v>44429</v>
      </c>
      <c r="D3" s="1122"/>
      <c r="E3" s="1122"/>
      <c r="F3" s="13"/>
      <c r="H3" s="11"/>
      <c r="I3" s="12" t="s">
        <v>1023</v>
      </c>
      <c r="J3" s="11"/>
    </row>
    <row r="4">
      <c r="A4" s="13"/>
      <c r="B4" s="13"/>
      <c r="C4" s="13"/>
      <c r="D4" s="13"/>
      <c r="E4" s="13"/>
      <c r="F4" s="13"/>
      <c r="H4" s="14"/>
      <c r="I4" s="15" t="s">
        <v>1024</v>
      </c>
      <c r="J4" s="14"/>
    </row>
    <row r="5" ht="6" customHeight="1">
      <c r="A5" s="13"/>
      <c r="B5" s="13"/>
      <c r="C5" s="13"/>
      <c r="D5" s="13"/>
      <c r="E5" s="13"/>
      <c r="F5" s="13"/>
      <c r="H5" s="11"/>
      <c r="I5" s="12"/>
      <c r="J5" s="11"/>
    </row>
    <row r="6" ht="16.5" customHeight="1">
      <c r="A6" s="16" t="s">
        <v>1025</v>
      </c>
      <c r="B6" s="13"/>
      <c r="C6" s="13"/>
      <c r="D6" s="13"/>
      <c r="E6" s="13"/>
      <c r="F6" s="13"/>
      <c r="H6" s="14"/>
      <c r="I6" s="15" t="s">
        <v>1026</v>
      </c>
      <c r="J6" s="14"/>
    </row>
    <row r="7" ht="16.5" customHeight="1">
      <c r="A7" s="17"/>
      <c r="F7" s="13"/>
      <c r="H7" s="14"/>
      <c r="I7" s="15" t="s">
        <v>1027</v>
      </c>
      <c r="J7" s="14"/>
    </row>
    <row r="8" ht="16.5" customHeight="1">
      <c r="A8" s="18" t="s">
        <v>41</v>
      </c>
      <c r="F8" s="13"/>
      <c r="H8" s="14"/>
      <c r="I8" s="15" t="s">
        <v>1028</v>
      </c>
      <c r="J8" s="14"/>
    </row>
    <row r="9" ht="16.5" customHeight="1">
      <c r="A9" s="19" t="s">
        <v>1029</v>
      </c>
      <c r="B9" s="13"/>
      <c r="C9" s="13"/>
      <c r="D9" s="13"/>
      <c r="E9" s="13"/>
      <c r="F9" s="13"/>
      <c r="H9" s="14"/>
      <c r="I9" s="15" t="s">
        <v>1030</v>
      </c>
      <c r="J9" s="14"/>
    </row>
    <row r="10" ht="16.5" customHeight="1" s="23" customFormat="1">
      <c r="A10" s="20" t="s">
        <v>1031</v>
      </c>
      <c r="B10" s="21"/>
      <c r="C10" s="21"/>
      <c r="D10" s="21"/>
      <c r="E10" s="21"/>
      <c r="F10" s="21"/>
      <c r="G10" s="132"/>
      <c r="H10" s="132"/>
      <c r="I10" s="132"/>
      <c r="J10" s="132"/>
      <c r="L10" s="132"/>
      <c r="S10" s="174"/>
      <c r="T10" s="174"/>
    </row>
    <row r="11" ht="16.5" customHeight="1" s="23" customFormat="1">
      <c r="A11" s="20" t="s">
        <v>1032</v>
      </c>
      <c r="B11" s="21"/>
      <c r="C11" s="21"/>
      <c r="D11" s="21"/>
      <c r="E11" s="21"/>
      <c r="F11" s="21"/>
      <c r="G11" s="132"/>
      <c r="H11" s="132"/>
      <c r="I11" s="132"/>
      <c r="J11" s="132"/>
      <c r="K11" s="134"/>
      <c r="L11" s="132"/>
      <c r="M11" s="156"/>
      <c r="S11" s="174"/>
      <c r="T11" s="174"/>
    </row>
    <row r="12" ht="16.5" customHeight="1" s="23" customFormat="1">
      <c r="A12" s="18" t="s">
        <v>1033</v>
      </c>
      <c r="B12" s="21"/>
      <c r="C12" s="21"/>
      <c r="D12" s="21"/>
      <c r="E12" s="21"/>
      <c r="F12" s="21"/>
      <c r="G12" s="132"/>
      <c r="H12" s="132"/>
      <c r="I12" s="132"/>
      <c r="J12" s="132"/>
      <c r="K12" s="134"/>
      <c r="L12" s="132"/>
      <c r="M12" s="156"/>
      <c r="S12" s="174"/>
      <c r="T12" s="174"/>
    </row>
    <row r="13" ht="16.5" customHeight="1" s="23" customFormat="1">
      <c r="A13" s="18" t="s">
        <v>1034</v>
      </c>
      <c r="B13" s="22"/>
      <c r="C13" s="22"/>
      <c r="D13" s="22"/>
      <c r="E13" s="21"/>
      <c r="F13" s="21"/>
      <c r="G13" s="132"/>
      <c r="H13" s="132"/>
      <c r="I13" s="132"/>
      <c r="J13" s="132"/>
      <c r="K13" s="134"/>
      <c r="L13" s="132"/>
      <c r="M13" s="156"/>
      <c r="S13" s="174"/>
      <c r="T13" s="174"/>
    </row>
    <row r="14" ht="15.75" s="23" customFormat="1">
      <c r="B14" s="21"/>
      <c r="C14" s="21"/>
      <c r="D14" s="21"/>
      <c r="E14" s="21"/>
      <c r="F14" s="21"/>
      <c r="G14" s="132"/>
      <c r="H14" s="132"/>
      <c r="I14" s="132"/>
      <c r="J14" s="132"/>
      <c r="K14" s="134"/>
      <c r="L14" s="132"/>
      <c r="M14" s="156"/>
      <c r="S14" s="174"/>
      <c r="T14" s="174"/>
    </row>
    <row r="15" ht="15.75" s="23" customFormat="1">
      <c r="A15" s="134"/>
      <c r="B15" s="134"/>
      <c r="C15" s="134"/>
      <c r="D15" s="134"/>
      <c r="E15" s="134"/>
      <c r="F15" s="134"/>
      <c r="G15" s="132"/>
      <c r="H15" s="132"/>
      <c r="I15" s="132"/>
      <c r="J15" s="132"/>
      <c r="K15" s="134"/>
      <c r="L15" s="132"/>
      <c r="M15" s="156"/>
      <c r="S15" s="174"/>
      <c r="T15" s="174"/>
    </row>
    <row r="16" ht="21" customHeight="1" s="129" customFormat="1">
      <c r="A16" s="1123" t="s">
        <v>548</v>
      </c>
      <c r="B16" s="1123"/>
      <c r="C16" s="1123"/>
      <c r="D16" s="1123"/>
      <c r="E16" s="1123"/>
      <c r="F16" s="135"/>
      <c r="G16" s="1124" t="s">
        <v>1035</v>
      </c>
      <c r="H16" s="1124"/>
      <c r="I16" s="1124"/>
      <c r="J16" s="1124"/>
      <c r="K16" s="150"/>
      <c r="L16" s="132"/>
      <c r="M16" s="157"/>
      <c r="S16" s="175"/>
      <c r="T16" s="175"/>
    </row>
    <row r="17" ht="15.75" s="23" customFormat="1">
      <c r="A17" s="1125" t="s">
        <v>1036</v>
      </c>
      <c r="B17" s="1126"/>
      <c r="C17" s="1127"/>
      <c r="D17" s="138" t="s">
        <v>10</v>
      </c>
      <c r="E17" s="139" t="s">
        <v>1038</v>
      </c>
      <c r="F17" s="139" t="s">
        <v>1093</v>
      </c>
      <c r="G17" s="140" t="s">
        <v>1039</v>
      </c>
      <c r="H17" s="140" t="s">
        <v>1094</v>
      </c>
      <c r="I17" s="140" t="s">
        <v>1095</v>
      </c>
      <c r="J17" s="140" t="s">
        <v>1096</v>
      </c>
      <c r="K17" s="134"/>
      <c r="L17" s="132"/>
      <c r="M17" s="156"/>
      <c r="S17" s="174"/>
      <c r="T17" s="174"/>
    </row>
    <row r="18" ht="15.75" s="129" customFormat="1">
      <c r="A18" s="1125"/>
      <c r="B18" s="1126"/>
      <c r="C18" s="1127"/>
      <c r="D18" s="138">
        <v>1</v>
      </c>
      <c r="E18" s="988" t="s">
        <v>435</v>
      </c>
      <c r="F18" s="988" t="s">
        <v>63</v>
      </c>
      <c r="G18" s="142">
        <f>+'BANJARMASIN '!M100-0.5</f>
        <v>261583195.5807223</v>
      </c>
      <c r="H18" s="142">
        <f>+'BANJARMASIN '!O100++'BANJARMASIN '!P100+'BANJARMASIN '!Q100</f>
        <v>102838120.416185</v>
      </c>
      <c r="I18" s="142">
        <f>+'BANJARMASIN '!N100</f>
        <v>20926655.686457787</v>
      </c>
      <c r="J18" s="142">
        <f>SUM(G18:I18)</f>
        <v>385347971.6833651</v>
      </c>
      <c r="K18" s="150"/>
      <c r="L18" s="158">
        <f>+I18*10%</f>
        <v>2092665.5686457788</v>
      </c>
      <c r="M18" s="159">
        <f>+L18+J18+0.1</f>
        <v>387440637.3520109</v>
      </c>
      <c r="N18" s="160"/>
      <c r="O18" s="163"/>
      <c r="S18" s="175"/>
      <c r="T18" s="175"/>
      <c r="U18" s="163"/>
      <c r="V18" s="163"/>
      <c r="W18" s="163"/>
      <c r="AB18" s="163">
        <f>+G18+H18+'INVOICE JULI'!G21</f>
        <v>364421315.9969073</v>
      </c>
    </row>
    <row r="19" ht="15.75" s="23" customFormat="1">
      <c r="A19" s="1125"/>
      <c r="B19" s="1126"/>
      <c r="C19" s="1127"/>
      <c r="D19" s="138">
        <f>+D18+1</f>
        <v>2</v>
      </c>
      <c r="E19" s="988" t="s">
        <v>62</v>
      </c>
      <c r="F19" s="988" t="s">
        <v>63</v>
      </c>
      <c r="G19" s="142">
        <f>+PONTIANAK!M100</f>
        <v>205670547.516129</v>
      </c>
      <c r="H19" s="142">
        <f>+PONTIANAK!Q100+PONTIANAK!R100+PONTIANAK!P100+PONTIANAK!O100</f>
        <v>95843424.85549133</v>
      </c>
      <c r="I19" s="142">
        <f>+PONTIANAK!N100</f>
        <v>16285962.054193541</v>
      </c>
      <c r="J19" s="142">
        <f ref="J19:J43" t="shared" si="0">SUM(G19:I19)</f>
        <v>317799934.42581385</v>
      </c>
      <c r="K19" s="161"/>
      <c r="L19" s="158">
        <f ref="L19:L43" t="shared" si="1">+I19*10%</f>
        <v>1628596.2054193541</v>
      </c>
      <c r="M19" s="159">
        <f ref="M19:M43" t="shared" si="2">+L19+J19</f>
        <v>319428530.6312332</v>
      </c>
      <c r="N19" s="170"/>
      <c r="O19" s="163"/>
      <c r="S19" s="175"/>
      <c r="T19" s="174"/>
      <c r="U19" s="170"/>
      <c r="W19" s="163"/>
    </row>
    <row r="20" ht="15.75" s="23" customFormat="1">
      <c r="A20" s="136"/>
      <c r="B20" s="137"/>
      <c r="C20" s="138"/>
      <c r="D20" s="138">
        <f>+D19+1</f>
        <v>3</v>
      </c>
      <c r="E20" s="988" t="s">
        <v>573</v>
      </c>
      <c r="F20" s="988" t="s">
        <v>1097</v>
      </c>
      <c r="G20" s="142">
        <f>+'DRIVER LEADER'!L11</f>
        <v>15292900.7505</v>
      </c>
      <c r="H20" s="142">
        <f>+'DRIVER LEADER'!N11+'DRIVER LEADER'!O11+'DRIVER LEADER'!P11</f>
        <v>5537294.01734104</v>
      </c>
      <c r="I20" s="142">
        <f>+'DRIVER LEADER'!M11</f>
        <v>1223432.06004</v>
      </c>
      <c r="J20" s="142">
        <f t="shared" si="0"/>
        <v>22053626.827881</v>
      </c>
      <c r="K20" s="161"/>
      <c r="L20" s="158">
        <f t="shared" si="1"/>
        <v>122343.206004</v>
      </c>
      <c r="M20" s="159">
        <f t="shared" si="2"/>
        <v>22175970.033885</v>
      </c>
      <c r="N20" s="170"/>
      <c r="O20" s="163"/>
      <c r="S20" s="175"/>
      <c r="T20" s="174"/>
      <c r="U20" s="170"/>
      <c r="W20" s="163"/>
    </row>
    <row r="21" ht="15.75" s="23" customFormat="1">
      <c r="A21" s="1125"/>
      <c r="B21" s="1126"/>
      <c r="C21" s="1127"/>
      <c r="D21" s="138">
        <f ref="D21:D41" t="shared" si="3">+D20+1</f>
        <v>4</v>
      </c>
      <c r="E21" s="988" t="s">
        <v>573</v>
      </c>
      <c r="F21" s="988" t="s">
        <v>421</v>
      </c>
      <c r="G21" s="142">
        <f>+'HALIM '!L19</f>
        <v>58785323.1716</v>
      </c>
      <c r="H21" s="142">
        <f>+'HALIM '!N19+'HALIM '!O19+'HALIM '!P19</f>
        <v>14283763.433526</v>
      </c>
      <c r="I21" s="142">
        <f>+'HALIM '!M19</f>
        <v>4702825.853728</v>
      </c>
      <c r="J21" s="142">
        <f t="shared" si="0"/>
        <v>77771912.458854</v>
      </c>
      <c r="K21" s="161"/>
      <c r="L21" s="158">
        <f t="shared" si="1"/>
        <v>470282.5853728</v>
      </c>
      <c r="M21" s="159">
        <f t="shared" si="2"/>
        <v>78242195.0442268</v>
      </c>
      <c r="N21" s="170"/>
      <c r="O21" s="163"/>
      <c r="S21" s="175"/>
      <c r="T21" s="174"/>
      <c r="U21" s="170"/>
      <c r="W21" s="163"/>
    </row>
    <row r="22" ht="15.75" s="23" customFormat="1">
      <c r="A22" s="136"/>
      <c r="B22" s="137"/>
      <c r="C22" s="138"/>
      <c r="D22" s="138">
        <f t="shared" si="3"/>
        <v>5</v>
      </c>
      <c r="E22" s="988" t="s">
        <v>1098</v>
      </c>
      <c r="F22" s="988" t="s">
        <v>1099</v>
      </c>
      <c r="G22" s="142">
        <f>+TIPAR!L11</f>
        <v>19595107.0572</v>
      </c>
      <c r="H22" s="142">
        <f>+TIPAR!N11+TIPAR!O11+TIPAR!P11</f>
        <v>2130000</v>
      </c>
      <c r="I22" s="142">
        <f>+TIPAR!M11</f>
        <v>1567608.564576</v>
      </c>
      <c r="J22" s="142">
        <f t="shared" si="0"/>
        <v>23292715.621776</v>
      </c>
      <c r="K22" s="161"/>
      <c r="L22" s="158">
        <f t="shared" si="1"/>
        <v>156760.8564576</v>
      </c>
      <c r="M22" s="159">
        <f t="shared" si="2"/>
        <v>23449476.4782336</v>
      </c>
      <c r="N22" s="170"/>
      <c r="O22" s="163"/>
      <c r="S22" s="175"/>
      <c r="T22" s="174"/>
      <c r="U22" s="170"/>
      <c r="W22" s="163"/>
    </row>
    <row r="23" ht="15.75" s="23" customFormat="1">
      <c r="A23" s="1125"/>
      <c r="B23" s="1126"/>
      <c r="C23" s="1127"/>
      <c r="D23" s="138">
        <f t="shared" si="3"/>
        <v>6</v>
      </c>
      <c r="E23" s="988" t="s">
        <v>664</v>
      </c>
      <c r="F23" s="988" t="s">
        <v>421</v>
      </c>
      <c r="G23" s="142">
        <f>+'RAWA BUAYA'!L14</f>
        <v>34291437.3501</v>
      </c>
      <c r="H23" s="142">
        <f>+'RAWA BUAYA'!N14+'RAWA BUAYA'!O14+'RAWA BUAYA'!P14</f>
        <v>7790903.22580645</v>
      </c>
      <c r="I23" s="142">
        <f>+'RAWA BUAYA'!M14</f>
        <v>2743314.988008</v>
      </c>
      <c r="J23" s="142">
        <f t="shared" si="0"/>
        <v>44825655.5639145</v>
      </c>
      <c r="K23" s="161"/>
      <c r="L23" s="158">
        <f t="shared" si="1"/>
        <v>274331.4988008</v>
      </c>
      <c r="M23" s="159">
        <f t="shared" si="2"/>
        <v>45099987.0627153</v>
      </c>
      <c r="N23" s="170"/>
      <c r="O23" s="163"/>
      <c r="R23" s="176"/>
      <c r="S23" s="175"/>
      <c r="T23" s="174"/>
      <c r="U23" s="170"/>
      <c r="W23" s="163"/>
    </row>
    <row r="24" ht="15.75" s="23" customFormat="1">
      <c r="A24" s="1125"/>
      <c r="B24" s="1126"/>
      <c r="C24" s="1127"/>
      <c r="D24" s="138">
        <f t="shared" si="3"/>
        <v>7</v>
      </c>
      <c r="E24" s="988" t="s">
        <v>1100</v>
      </c>
      <c r="F24" s="988" t="s">
        <v>421</v>
      </c>
      <c r="G24" s="142">
        <f>+'TAMAN TECHNO'!L12</f>
        <v>24493883.8215</v>
      </c>
      <c r="H24" s="142">
        <f>+'TAMAN TECHNO'!N12+'TAMAN TECHNO'!O12+'TAMAN TECHNO'!P12</f>
        <v>4958000</v>
      </c>
      <c r="I24" s="142">
        <f>+'TAMAN TECHNO'!M12</f>
        <v>1959510.70572</v>
      </c>
      <c r="J24" s="142">
        <f t="shared" si="0"/>
        <v>31411394.52722</v>
      </c>
      <c r="K24" s="161"/>
      <c r="L24" s="158">
        <f t="shared" si="1"/>
        <v>195951.070572</v>
      </c>
      <c r="M24" s="159">
        <f t="shared" si="2"/>
        <v>31607345.597792</v>
      </c>
      <c r="N24" s="170"/>
      <c r="O24" s="163"/>
      <c r="P24" s="170"/>
      <c r="R24" s="177"/>
      <c r="S24" s="175"/>
      <c r="T24" s="174"/>
      <c r="U24" s="170"/>
      <c r="W24" s="163"/>
    </row>
    <row r="25" ht="15.75" s="23" customFormat="1">
      <c r="A25" s="1125"/>
      <c r="B25" s="1126"/>
      <c r="C25" s="1127"/>
      <c r="D25" s="138">
        <f t="shared" si="3"/>
        <v>8</v>
      </c>
      <c r="E25" s="988" t="s">
        <v>768</v>
      </c>
      <c r="F25" s="988" t="s">
        <v>421</v>
      </c>
      <c r="G25" s="142">
        <f>+'ANTERAJA -BOGOR'!L11</f>
        <v>19595107.0572</v>
      </c>
      <c r="H25" s="142">
        <f>+'ANTERAJA -BOGOR'!N11+'ANTERAJA -BOGOR'!O11+'ANTERAJA -BOGOR'!P11</f>
        <v>4972000</v>
      </c>
      <c r="I25" s="142">
        <f>+'ANTERAJA -BOGOR'!M11</f>
        <v>1567608.564576</v>
      </c>
      <c r="J25" s="142">
        <f t="shared" si="0"/>
        <v>26134715.621776</v>
      </c>
      <c r="K25" s="161"/>
      <c r="L25" s="158">
        <f t="shared" si="1"/>
        <v>156760.8564576</v>
      </c>
      <c r="M25" s="159">
        <f t="shared" si="2"/>
        <v>26291476.4782336</v>
      </c>
      <c r="N25" s="170"/>
      <c r="O25" s="163"/>
      <c r="R25" s="176"/>
      <c r="S25" s="175"/>
      <c r="T25" s="174"/>
      <c r="U25" s="170"/>
      <c r="W25" s="163"/>
    </row>
    <row r="26" ht="15.75" s="23" customFormat="1">
      <c r="A26" s="1125"/>
      <c r="B26" s="1126"/>
      <c r="C26" s="1127"/>
      <c r="D26" s="138">
        <f t="shared" si="3"/>
        <v>9</v>
      </c>
      <c r="E26" s="988" t="s">
        <v>771</v>
      </c>
      <c r="F26" s="988" t="s">
        <v>421</v>
      </c>
      <c r="G26" s="142">
        <f>+'ANTERAJA - SUNTER'!L12</f>
        <v>24493883.8215</v>
      </c>
      <c r="H26" s="142">
        <f>+'ANTERAJA - SUNTER'!N12+'ANTERAJA - SUNTER'!O12+'ANTERAJA - SUNTER'!P12</f>
        <v>6282000</v>
      </c>
      <c r="I26" s="142">
        <f>+'ANTERAJA - SUNTER'!M12</f>
        <v>1959510.70572</v>
      </c>
      <c r="J26" s="142">
        <f t="shared" si="0"/>
        <v>32735394.52722</v>
      </c>
      <c r="K26" s="161"/>
      <c r="L26" s="158">
        <f t="shared" si="1"/>
        <v>195951.070572</v>
      </c>
      <c r="M26" s="159">
        <f t="shared" si="2"/>
        <v>32931345.597792</v>
      </c>
      <c r="N26" s="170"/>
      <c r="O26" s="163"/>
      <c r="R26" s="176"/>
      <c r="S26" s="175"/>
      <c r="T26" s="174"/>
      <c r="U26" s="170"/>
      <c r="W26" s="163"/>
    </row>
    <row r="27" ht="15.75" s="23" customFormat="1">
      <c r="A27" s="1125"/>
      <c r="B27" s="1126"/>
      <c r="C27" s="1127"/>
      <c r="D27" s="138">
        <f t="shared" si="3"/>
        <v>10</v>
      </c>
      <c r="E27" s="988" t="s">
        <v>732</v>
      </c>
      <c r="F27" s="988" t="s">
        <v>733</v>
      </c>
      <c r="G27" s="142">
        <f>+MARUNDA!L12</f>
        <v>19595107.0572</v>
      </c>
      <c r="H27" s="142">
        <f>+MARUNDA!N12+MARUNDA!O12+MARUNDA!P12</f>
        <v>6508000</v>
      </c>
      <c r="I27" s="142">
        <f>+MARUNDA!M12</f>
        <v>1567608.564576</v>
      </c>
      <c r="J27" s="142">
        <f t="shared" si="0"/>
        <v>27670715.621776</v>
      </c>
      <c r="K27" s="161"/>
      <c r="L27" s="158">
        <f t="shared" si="1"/>
        <v>156760.8564576</v>
      </c>
      <c r="M27" s="159">
        <f t="shared" si="2"/>
        <v>27827476.4782336</v>
      </c>
      <c r="N27" s="170"/>
      <c r="O27" s="163"/>
      <c r="R27" s="176"/>
      <c r="S27" s="175"/>
      <c r="T27" s="174"/>
      <c r="U27" s="170"/>
      <c r="W27" s="163"/>
    </row>
    <row r="28" ht="15.75" s="23" customFormat="1">
      <c r="A28" s="1125"/>
      <c r="B28" s="1126"/>
      <c r="C28" s="1127"/>
      <c r="D28" s="138">
        <f t="shared" si="3"/>
        <v>11</v>
      </c>
      <c r="E28" s="988" t="s">
        <v>920</v>
      </c>
      <c r="F28" s="988" t="s">
        <v>421</v>
      </c>
      <c r="G28" s="142">
        <f>+'MAKASSAR '!L25</f>
        <v>39860747.2537</v>
      </c>
      <c r="H28" s="142">
        <f>+'MAKASSAR '!N25+'MAKASSAR '!O25</f>
        <v>10161709.67741936</v>
      </c>
      <c r="I28" s="142">
        <f>+'MAKASSAR '!M25</f>
        <v>3188859.780296</v>
      </c>
      <c r="J28" s="142">
        <f t="shared" si="0"/>
        <v>53211316.711415365</v>
      </c>
      <c r="K28" s="161"/>
      <c r="L28" s="158">
        <f t="shared" si="1"/>
        <v>318885.9780296</v>
      </c>
      <c r="M28" s="159">
        <f t="shared" si="2"/>
        <v>53530202.68944497</v>
      </c>
      <c r="N28" s="170"/>
      <c r="O28" s="163"/>
      <c r="S28" s="175"/>
      <c r="T28" s="174"/>
      <c r="U28" s="170"/>
      <c r="W28" s="163"/>
    </row>
    <row r="29" ht="15.75" s="23" customFormat="1">
      <c r="A29" s="136"/>
      <c r="B29" s="137"/>
      <c r="C29" s="138"/>
      <c r="D29" s="138">
        <f t="shared" si="3"/>
        <v>12</v>
      </c>
      <c r="E29" s="988" t="s">
        <v>1102</v>
      </c>
      <c r="F29" s="988" t="s">
        <v>421</v>
      </c>
      <c r="G29" s="142">
        <f>+'PARE-PARE'!L13</f>
        <v>18498588.5396903</v>
      </c>
      <c r="H29" s="142">
        <f>+'PARE-PARE'!N13</f>
        <v>4846000</v>
      </c>
      <c r="I29" s="142">
        <f>+'PARE-PARE'!M13</f>
        <v>1479887.08317523</v>
      </c>
      <c r="J29" s="142">
        <f t="shared" si="0"/>
        <v>24824475.6228655</v>
      </c>
      <c r="K29" s="161"/>
      <c r="L29" s="158">
        <f>+I29*10%</f>
        <v>147988.708317523</v>
      </c>
      <c r="M29" s="159">
        <f>+L29+J29</f>
        <v>24972464.3311831</v>
      </c>
      <c r="N29" s="170"/>
      <c r="O29" s="163"/>
      <c r="S29" s="175"/>
      <c r="T29" s="174"/>
      <c r="U29" s="170"/>
      <c r="W29" s="163"/>
    </row>
    <row r="30" ht="15.75" s="23" customFormat="1">
      <c r="A30" s="136"/>
      <c r="B30" s="137"/>
      <c r="C30" s="138"/>
      <c r="D30" s="138">
        <f t="shared" si="3"/>
        <v>13</v>
      </c>
      <c r="E30" s="988" t="s">
        <v>1103</v>
      </c>
      <c r="F30" s="988" t="s">
        <v>421</v>
      </c>
      <c r="G30" s="142">
        <f>+KOLAKA!L9</f>
        <v>4839186.29578933</v>
      </c>
      <c r="H30" s="142">
        <f>+KOLAKA!N9</f>
        <v>525000</v>
      </c>
      <c r="I30" s="142">
        <f>+KOLAKA!M9</f>
        <v>387134.903663147</v>
      </c>
      <c r="J30" s="142">
        <f t="shared" si="0"/>
        <v>5751321.19945248</v>
      </c>
      <c r="K30" s="161"/>
      <c r="L30" s="158">
        <f>+I30*10%</f>
        <v>38713.4903663147</v>
      </c>
      <c r="M30" s="159">
        <f>+L30+J30</f>
        <v>5790034.68981879</v>
      </c>
      <c r="N30" s="170"/>
      <c r="O30" s="163"/>
      <c r="S30" s="175"/>
      <c r="T30" s="174"/>
      <c r="U30" s="170"/>
      <c r="W30" s="163"/>
    </row>
    <row r="31" ht="15.75" s="23" customFormat="1">
      <c r="A31" s="1125"/>
      <c r="B31" s="1126"/>
      <c r="C31" s="1127"/>
      <c r="D31" s="138">
        <f t="shared" si="3"/>
        <v>14</v>
      </c>
      <c r="E31" s="988" t="s">
        <v>602</v>
      </c>
      <c r="F31" s="988" t="s">
        <v>63</v>
      </c>
      <c r="G31" s="142">
        <f>+MANADO!M60</f>
        <v>163764868.12046775</v>
      </c>
      <c r="H31" s="142">
        <f>+MANADO!O60+MANADO!P60+MANADO!Q60</f>
        <v>48929397.77456647</v>
      </c>
      <c r="I31" s="142">
        <f>+MANADO!N60</f>
        <v>13101189.449637415</v>
      </c>
      <c r="J31" s="142">
        <f t="shared" si="0"/>
        <v>225795455.34467164</v>
      </c>
      <c r="K31" s="161"/>
      <c r="L31" s="158">
        <f t="shared" si="1"/>
        <v>1310118.9449637416</v>
      </c>
      <c r="M31" s="159">
        <f t="shared" si="2"/>
        <v>227105574.2896354</v>
      </c>
      <c r="N31" s="170"/>
      <c r="O31" s="163"/>
      <c r="R31" s="176"/>
      <c r="S31" s="175"/>
      <c r="T31" s="174"/>
      <c r="U31" s="170"/>
      <c r="W31" s="163"/>
    </row>
    <row r="32" ht="15.75" s="23" customFormat="1">
      <c r="A32" s="136"/>
      <c r="B32" s="137"/>
      <c r="C32" s="138"/>
      <c r="D32" s="138">
        <f t="shared" si="3"/>
        <v>15</v>
      </c>
      <c r="E32" s="988" t="s">
        <v>602</v>
      </c>
      <c r="F32" s="988" t="s">
        <v>421</v>
      </c>
      <c r="G32" s="142">
        <f>+'anteraja MANADO'!L10</f>
        <v>11240148.4755</v>
      </c>
      <c r="H32" s="142">
        <f>+'anteraja MANADO'!N10+'anteraja MANADO'!O10+'anteraja MANADO'!P10</f>
        <v>1340000</v>
      </c>
      <c r="I32" s="142">
        <f>+'anteraja MANADO'!M10</f>
        <v>899211.87804</v>
      </c>
      <c r="J32" s="142">
        <f t="shared" si="0"/>
        <v>13479360.35354</v>
      </c>
      <c r="K32" s="161"/>
      <c r="L32" s="158">
        <f t="shared" si="1"/>
        <v>89921.187804</v>
      </c>
      <c r="M32" s="159">
        <f t="shared" si="2"/>
        <v>13569281.541344</v>
      </c>
      <c r="N32" s="170"/>
      <c r="O32" s="163"/>
      <c r="R32" s="176"/>
      <c r="S32" s="175"/>
      <c r="T32" s="174"/>
      <c r="U32" s="170"/>
      <c r="W32" s="163"/>
    </row>
    <row r="33" ht="15.75" s="23" customFormat="1">
      <c r="A33" s="136"/>
      <c r="B33" s="137"/>
      <c r="C33" s="138"/>
      <c r="D33" s="138">
        <f t="shared" si="3"/>
        <v>16</v>
      </c>
      <c r="E33" s="988" t="s">
        <v>1104</v>
      </c>
      <c r="F33" s="988" t="s">
        <v>421</v>
      </c>
      <c r="G33" s="142">
        <f>+BENGKULU!L13</f>
        <v>12003596.0483871</v>
      </c>
      <c r="H33" s="142">
        <f>+BENGKULU!N13</f>
        <v>2480000</v>
      </c>
      <c r="I33" s="142">
        <f>+BENGKULU!M13</f>
        <v>960287.683870968</v>
      </c>
      <c r="J33" s="142">
        <f t="shared" si="0"/>
        <v>15443883.7322581</v>
      </c>
      <c r="K33" s="161"/>
      <c r="L33" s="158">
        <f>+I33*10%</f>
        <v>96028.7683870968</v>
      </c>
      <c r="M33" s="159">
        <f>+L33+J33</f>
        <v>15539912.5006452</v>
      </c>
      <c r="N33" s="170"/>
      <c r="O33" s="163"/>
      <c r="R33" s="176"/>
      <c r="S33" s="175"/>
      <c r="T33" s="174"/>
      <c r="U33" s="170"/>
      <c r="W33" s="163"/>
    </row>
    <row r="34" ht="15.75" s="23" customFormat="1">
      <c r="A34" s="1125"/>
      <c r="B34" s="1126"/>
      <c r="C34" s="1127"/>
      <c r="D34" s="138">
        <f t="shared" si="3"/>
        <v>17</v>
      </c>
      <c r="E34" s="988" t="s">
        <v>737</v>
      </c>
      <c r="F34" s="988" t="s">
        <v>63</v>
      </c>
      <c r="G34" s="142">
        <f>+GORONTALO!L28</f>
        <v>46801679.2933677</v>
      </c>
      <c r="H34" s="142">
        <f>+GORONTALO!N28+GORONTALO!O28+GORONTALO!P28</f>
        <v>13800542.9190751</v>
      </c>
      <c r="I34" s="142">
        <f>+GORONTALO!M28</f>
        <v>3744134.34346942</v>
      </c>
      <c r="J34" s="142">
        <f t="shared" si="0"/>
        <v>64346356.5559123</v>
      </c>
      <c r="K34" s="161"/>
      <c r="L34" s="158">
        <f t="shared" si="1"/>
        <v>374413.434346942</v>
      </c>
      <c r="M34" s="159">
        <f t="shared" si="2"/>
        <v>64720769.9902592</v>
      </c>
      <c r="N34" s="170"/>
      <c r="O34" s="163"/>
      <c r="R34" s="176"/>
      <c r="S34" s="175"/>
      <c r="T34" s="174"/>
      <c r="U34" s="170"/>
      <c r="W34" s="163"/>
    </row>
    <row r="35" ht="15.75" s="23" customFormat="1">
      <c r="A35" s="1125"/>
      <c r="B35" s="1126"/>
      <c r="C35" s="1127"/>
      <c r="D35" s="138">
        <f t="shared" si="3"/>
        <v>18</v>
      </c>
      <c r="E35" s="988" t="s">
        <v>495</v>
      </c>
      <c r="F35" s="988" t="s">
        <v>421</v>
      </c>
      <c r="G35" s="142">
        <f>+PALEMBANG!L35</f>
        <v>83747740.9371</v>
      </c>
      <c r="H35" s="142">
        <f>+PALEMBANG!N35+PALEMBANG!O35</f>
        <v>11004000</v>
      </c>
      <c r="I35" s="142">
        <f>+PALEMBANG!M35</f>
        <v>6699819.274968</v>
      </c>
      <c r="J35" s="142">
        <f t="shared" si="0"/>
        <v>101451560.212068</v>
      </c>
      <c r="K35" s="161"/>
      <c r="L35" s="158">
        <f t="shared" si="1"/>
        <v>669981.9274968</v>
      </c>
      <c r="M35" s="159">
        <f t="shared" si="2"/>
        <v>102121542.139565</v>
      </c>
      <c r="N35" s="170"/>
      <c r="O35" s="163"/>
      <c r="S35" s="175"/>
      <c r="T35" s="174"/>
      <c r="U35" s="170"/>
      <c r="W35" s="163"/>
    </row>
    <row r="36" ht="15.75" s="23" customFormat="1">
      <c r="A36" s="1125"/>
      <c r="B36" s="1126"/>
      <c r="C36" s="1127"/>
      <c r="D36" s="138">
        <f t="shared" si="3"/>
        <v>19</v>
      </c>
      <c r="E36" s="988" t="s">
        <v>480</v>
      </c>
      <c r="F36" s="988" t="s">
        <v>421</v>
      </c>
      <c r="G36" s="142">
        <f>+'ANTERAJA LAMPUNG'!L14</f>
        <v>19953461.4791548</v>
      </c>
      <c r="H36" s="142">
        <f>+'ANTERAJA LAMPUNG'!N14+'ANTERAJA LAMPUNG'!O14+'ANTERAJA LAMPUNG'!P14</f>
        <v>3000000</v>
      </c>
      <c r="I36" s="142">
        <f>+'ANTERAJA LAMPUNG'!M14</f>
        <v>1596276.91833239</v>
      </c>
      <c r="J36" s="142">
        <f t="shared" si="0"/>
        <v>24549738.3974872</v>
      </c>
      <c r="K36" s="161"/>
      <c r="L36" s="158">
        <f t="shared" si="1"/>
        <v>159627.691833239</v>
      </c>
      <c r="M36" s="159">
        <f t="shared" si="2"/>
        <v>24709366.0893204</v>
      </c>
      <c r="N36" s="170"/>
      <c r="O36" s="163"/>
      <c r="R36" s="174"/>
      <c r="S36" s="175"/>
      <c r="T36" s="174"/>
      <c r="U36" s="170"/>
      <c r="W36" s="163"/>
    </row>
    <row r="37" ht="15.75" s="23" customFormat="1">
      <c r="A37" s="1125"/>
      <c r="B37" s="1126"/>
      <c r="C37" s="1127"/>
      <c r="D37" s="138">
        <f t="shared" si="3"/>
        <v>20</v>
      </c>
      <c r="E37" s="988" t="s">
        <v>468</v>
      </c>
      <c r="F37" s="988" t="s">
        <v>421</v>
      </c>
      <c r="G37" s="142">
        <f>+'ANTERAJA JAMBI'!L14</f>
        <v>20838250.6451613</v>
      </c>
      <c r="H37" s="142">
        <f>+'ANTERAJA JAMBI'!N14+'ANTERAJA JAMBI'!O14+'ANTERAJA JAMBI'!P14</f>
        <v>2840000</v>
      </c>
      <c r="I37" s="142">
        <f>+'ANTERAJA JAMBI'!M14</f>
        <v>1667060.0516129</v>
      </c>
      <c r="J37" s="142">
        <f t="shared" si="0"/>
        <v>25345310.6967742</v>
      </c>
      <c r="K37" s="161"/>
      <c r="L37" s="158">
        <f t="shared" si="1"/>
        <v>166706.00516129</v>
      </c>
      <c r="M37" s="159">
        <f t="shared" si="2"/>
        <v>25512016.7019355</v>
      </c>
      <c r="N37" s="170"/>
      <c r="O37" s="163"/>
      <c r="R37" s="174"/>
      <c r="S37" s="175"/>
      <c r="T37" s="174"/>
      <c r="U37" s="170"/>
      <c r="W37" s="163"/>
    </row>
    <row r="38" ht="15.75" s="23" customFormat="1">
      <c r="A38" s="1125"/>
      <c r="B38" s="1126"/>
      <c r="C38" s="1127"/>
      <c r="D38" s="138">
        <f t="shared" si="3"/>
        <v>21</v>
      </c>
      <c r="E38" s="988" t="s">
        <v>62</v>
      </c>
      <c r="F38" s="988" t="s">
        <v>421</v>
      </c>
      <c r="G38" s="142">
        <f>+'ANTERAJA PONTIANAK'!M13</f>
        <v>16722701</v>
      </c>
      <c r="H38" s="142">
        <f>+'ANTERAJA PONTIANAK'!O13+'ANTERAJA PONTIANAK'!P13+'ANTERAJA PONTIANAK'!Q13</f>
        <v>2980000</v>
      </c>
      <c r="I38" s="142">
        <f>+'ANTERAJA PONTIANAK'!N13</f>
        <v>1337816.0799999998</v>
      </c>
      <c r="J38" s="142">
        <f t="shared" si="0"/>
        <v>21040517.08</v>
      </c>
      <c r="K38" s="161"/>
      <c r="L38" s="158">
        <f t="shared" si="1"/>
        <v>133781.60799999998</v>
      </c>
      <c r="M38" s="159">
        <f t="shared" si="2"/>
        <v>21174298.687999997</v>
      </c>
      <c r="N38" s="170"/>
      <c r="O38" s="163"/>
      <c r="R38" s="174"/>
      <c r="S38" s="175"/>
      <c r="T38" s="174"/>
      <c r="U38" s="170"/>
      <c r="W38" s="163"/>
    </row>
    <row r="39" ht="15.75" s="23" customFormat="1">
      <c r="A39" s="136"/>
      <c r="B39" s="137"/>
      <c r="C39" s="138"/>
      <c r="D39" s="138">
        <f t="shared" si="3"/>
        <v>22</v>
      </c>
      <c r="E39" s="988" t="s">
        <v>452</v>
      </c>
      <c r="F39" s="988" t="s">
        <v>421</v>
      </c>
      <c r="G39" s="142">
        <f>+'PANGKAL PINANG'!L9</f>
        <v>6464184.97714194</v>
      </c>
      <c r="H39" s="142">
        <f>+'PANGKAL PINANG'!N9+'PANGKAL PINANG'!O9+'PANGKAL PINANG'!P9</f>
        <v>480000</v>
      </c>
      <c r="I39" s="142">
        <f>+'PANGKAL PINANG'!M9</f>
        <v>517134.798171355</v>
      </c>
      <c r="J39" s="142">
        <f t="shared" si="0"/>
        <v>7461319.77531329</v>
      </c>
      <c r="K39" s="161"/>
      <c r="L39" s="158">
        <f t="shared" si="1"/>
        <v>51713.4798171355</v>
      </c>
      <c r="M39" s="159">
        <f t="shared" si="2"/>
        <v>7513033.25513043</v>
      </c>
      <c r="N39" s="170"/>
      <c r="O39" s="163"/>
      <c r="R39" s="174"/>
      <c r="S39" s="175"/>
      <c r="T39" s="174"/>
      <c r="U39" s="170"/>
      <c r="W39" s="163"/>
    </row>
    <row r="40" ht="15.75" s="23" customFormat="1">
      <c r="A40" s="136"/>
      <c r="B40" s="137"/>
      <c r="C40" s="138"/>
      <c r="D40" s="138">
        <f t="shared" si="3"/>
        <v>23</v>
      </c>
      <c r="E40" s="988" t="s">
        <v>1105</v>
      </c>
      <c r="F40" s="988" t="s">
        <v>421</v>
      </c>
      <c r="G40" s="142">
        <f>+BANGKABELITUNG!L8</f>
        <v>2763218.18211936</v>
      </c>
      <c r="H40" s="142">
        <f>+BANGKABELITUNG!N8</f>
        <v>0</v>
      </c>
      <c r="I40" s="142">
        <f>+BANGKABELITUNG!M8</f>
        <v>221057.454569548</v>
      </c>
      <c r="J40" s="142">
        <f t="shared" si="0"/>
        <v>2984275.63668891</v>
      </c>
      <c r="K40" s="161"/>
      <c r="L40" s="158">
        <f>+I40*10%</f>
        <v>22105.7454569548</v>
      </c>
      <c r="M40" s="159">
        <f>+L40+J40</f>
        <v>3006381.38214586</v>
      </c>
      <c r="N40" s="170"/>
      <c r="O40" s="163"/>
      <c r="R40" s="174"/>
      <c r="S40" s="175"/>
      <c r="T40" s="174"/>
      <c r="U40" s="170"/>
      <c r="W40" s="163"/>
    </row>
    <row r="41" ht="15.75" s="23" customFormat="1">
      <c r="A41" s="136"/>
      <c r="B41" s="137"/>
      <c r="C41" s="138"/>
      <c r="D41" s="138">
        <f t="shared" si="3"/>
        <v>24</v>
      </c>
      <c r="E41" s="141" t="s">
        <v>435</v>
      </c>
      <c r="F41" s="988" t="s">
        <v>421</v>
      </c>
      <c r="G41" s="142">
        <f>+'BANJARMASIN ANTERAJA'!L12</f>
        <v>15750547.7263226</v>
      </c>
      <c r="H41" s="142">
        <f>+'BANJARMASIN ANTERAJA'!O12+'BANJARMASIN ANTERAJA'!N12+'BANJARMASIN ANTERAJA'!P12</f>
        <v>2120000</v>
      </c>
      <c r="I41" s="142">
        <f>+'BANJARMASIN ANTERAJA'!M12</f>
        <v>1260043.81810581</v>
      </c>
      <c r="J41" s="142">
        <f t="shared" si="0"/>
        <v>19130591.5444284</v>
      </c>
      <c r="K41" s="161"/>
      <c r="L41" s="158">
        <f t="shared" si="1"/>
        <v>126004.381810581</v>
      </c>
      <c r="M41" s="159">
        <f t="shared" si="2"/>
        <v>19256595.926239</v>
      </c>
      <c r="N41" s="170"/>
      <c r="O41" s="163"/>
      <c r="R41" s="174"/>
      <c r="S41" s="175"/>
      <c r="T41" s="174"/>
      <c r="U41" s="170"/>
      <c r="W41" s="163"/>
    </row>
    <row r="42" ht="15.75" s="23" customFormat="1">
      <c r="A42" s="136"/>
      <c r="B42" s="137"/>
      <c r="C42" s="138"/>
      <c r="D42" s="138">
        <f ref="D42:D44" t="shared" si="12">+D41+1</f>
        <v>25</v>
      </c>
      <c r="E42" s="141" t="s">
        <v>427</v>
      </c>
      <c r="F42" s="988" t="s">
        <v>421</v>
      </c>
      <c r="G42" s="142">
        <f>+'ANTERAJA PALANGKARAYA'!L10</f>
        <v>9230379.12160645</v>
      </c>
      <c r="H42" s="142">
        <f>+'ANTERAJA PALANGKARAYA'!N10</f>
        <v>820000</v>
      </c>
      <c r="I42" s="142">
        <f>+'ANTERAJA PALANGKARAYA'!M10</f>
        <v>738430.329728516</v>
      </c>
      <c r="J42" s="142">
        <f t="shared" si="0"/>
        <v>10788809.451335</v>
      </c>
      <c r="K42" s="161"/>
      <c r="L42" s="158">
        <f>+I42*10%</f>
        <v>73843.0329728516</v>
      </c>
      <c r="M42" s="159">
        <f>+L42+J42</f>
        <v>10862652.4843078</v>
      </c>
      <c r="N42" s="170"/>
      <c r="O42" s="163"/>
      <c r="R42" s="174"/>
      <c r="S42" s="175"/>
      <c r="T42" s="174"/>
      <c r="U42" s="170"/>
      <c r="W42" s="163"/>
    </row>
    <row r="43" ht="15.75" s="23" customFormat="1">
      <c r="A43" s="136"/>
      <c r="B43" s="137"/>
      <c r="C43" s="138"/>
      <c r="D43" s="138">
        <f t="shared" si="12"/>
        <v>26</v>
      </c>
      <c r="E43" s="141" t="s">
        <v>420</v>
      </c>
      <c r="F43" s="988" t="s">
        <v>421</v>
      </c>
      <c r="G43" s="142">
        <f>+'ANTERAJA BALIKPAPAN'!L9</f>
        <v>5748016.2623609</v>
      </c>
      <c r="H43" s="142">
        <f>+'ANTERAJA BALIKPAPAN'!N9+'ANTERAJA BALIKPAPAN'!O9+'ANTERAJA BALIKPAPAN'!P9</f>
        <v>600000</v>
      </c>
      <c r="I43" s="142">
        <f>+'ANTERAJA BALIKPAPAN'!M9</f>
        <v>459841.300988872</v>
      </c>
      <c r="J43" s="142">
        <f t="shared" si="0"/>
        <v>6807857.56334977</v>
      </c>
      <c r="K43" s="161"/>
      <c r="L43" s="158">
        <f t="shared" si="1"/>
        <v>45984.1300988872</v>
      </c>
      <c r="M43" s="159">
        <f t="shared" si="2"/>
        <v>6853841.69344866</v>
      </c>
      <c r="N43" s="170"/>
      <c r="O43" s="163"/>
      <c r="R43" s="174"/>
      <c r="S43" s="175"/>
      <c r="T43" s="174"/>
      <c r="U43" s="170"/>
      <c r="W43" s="163"/>
    </row>
    <row r="44" ht="15.75" s="23" customFormat="1">
      <c r="A44" s="136"/>
      <c r="B44" s="137"/>
      <c r="C44" s="138"/>
      <c r="D44" s="138">
        <f t="shared" si="12"/>
        <v>27</v>
      </c>
      <c r="E44" s="141" t="s">
        <v>1017</v>
      </c>
      <c r="F44" s="988" t="s">
        <v>421</v>
      </c>
      <c r="G44" s="142">
        <f>+'ANTERAJA SAMARINDA'!L8</f>
        <v>3466070.23196</v>
      </c>
      <c r="H44" s="142">
        <f>+'ANTERAJA SAMARINDA'!N8</f>
        <v>520000</v>
      </c>
      <c r="I44" s="142">
        <f>+'ANTERAJA SAMARINDA'!M8</f>
        <v>277285.6185568</v>
      </c>
      <c r="J44" s="142">
        <f>SUM(G44:I44)</f>
        <v>4263355.8505168</v>
      </c>
      <c r="K44" s="161"/>
      <c r="L44" s="158">
        <f>+I44*10%</f>
        <v>27728.56185568</v>
      </c>
      <c r="M44" s="159">
        <f>+L44+J44</f>
        <v>4291084.41237248</v>
      </c>
      <c r="N44" s="170"/>
      <c r="O44" s="163"/>
      <c r="R44" s="174"/>
      <c r="S44" s="175"/>
      <c r="T44" s="174"/>
      <c r="U44" s="170"/>
      <c r="W44" s="163"/>
    </row>
    <row r="45" ht="15.75" s="23" customFormat="1">
      <c r="A45" s="1125"/>
      <c r="B45" s="1126"/>
      <c r="C45" s="1127"/>
      <c r="D45" s="138"/>
      <c r="E45" s="141"/>
      <c r="F45" s="141"/>
      <c r="G45" s="142"/>
      <c r="H45" s="142"/>
      <c r="I45" s="142"/>
      <c r="J45" s="142"/>
      <c r="K45" s="161"/>
      <c r="L45" s="132">
        <f>SUM(L18:L44)</f>
        <v>9303950.851478169</v>
      </c>
      <c r="M45" s="132">
        <f>SUM(M18:M44)</f>
        <v>1625023493.559152</v>
      </c>
      <c r="S45" s="174"/>
      <c r="T45" s="174"/>
    </row>
    <row r="46" ht="15.75" s="129" customFormat="1">
      <c r="A46" s="1128" t="s">
        <v>1046</v>
      </c>
      <c r="B46" s="1129"/>
      <c r="C46" s="1129"/>
      <c r="D46" s="1129"/>
      <c r="E46" s="1130"/>
      <c r="F46" s="144"/>
      <c r="G46" s="52">
        <f>SUM(G18:G45)+0.5</f>
        <v>1165089878.2734807</v>
      </c>
      <c r="H46" s="52">
        <f ref="H46:J46" t="shared" si="18">SUM(H18:H45)+0.5</f>
        <v>357590156.81941074</v>
      </c>
      <c r="I46" s="52">
        <f t="shared" si="18"/>
        <v>93039509.01478168</v>
      </c>
      <c r="J46" s="52">
        <f t="shared" si="18"/>
        <v>1615719543.1076734</v>
      </c>
      <c r="K46" s="150"/>
      <c r="L46" s="158"/>
      <c r="M46" s="162"/>
      <c r="S46" s="175"/>
      <c r="T46" s="175"/>
    </row>
    <row r="47" ht="15.75" s="23" customFormat="1">
      <c r="A47" s="145"/>
      <c r="B47" s="145"/>
      <c r="C47" s="145"/>
      <c r="D47" s="145"/>
      <c r="E47" s="146"/>
      <c r="F47" s="146"/>
      <c r="G47" s="44"/>
      <c r="H47" s="44"/>
      <c r="I47" s="44"/>
      <c r="J47" s="44"/>
      <c r="K47" s="164"/>
      <c r="L47" s="132"/>
      <c r="M47" s="165"/>
      <c r="S47" s="174"/>
      <c r="T47" s="174"/>
    </row>
    <row r="48" ht="15.75" s="23" customFormat="1">
      <c r="A48" s="1128" t="s">
        <v>54</v>
      </c>
      <c r="B48" s="1129"/>
      <c r="C48" s="1129"/>
      <c r="D48" s="1129"/>
      <c r="E48" s="1130"/>
      <c r="F48" s="144"/>
      <c r="G48" s="52">
        <f>G46+H46</f>
        <v>1522680035.0928915</v>
      </c>
      <c r="H48" s="44"/>
      <c r="I48" s="44"/>
      <c r="J48" s="44"/>
      <c r="K48" s="164"/>
      <c r="L48" s="132"/>
      <c r="M48" s="165"/>
      <c r="S48" s="174"/>
      <c r="T48" s="174"/>
    </row>
    <row r="49" ht="15.75" s="23" customFormat="1">
      <c r="A49" s="1128" t="s">
        <v>49</v>
      </c>
      <c r="B49" s="1129"/>
      <c r="C49" s="1129"/>
      <c r="D49" s="1129"/>
      <c r="E49" s="1130"/>
      <c r="F49" s="144"/>
      <c r="G49" s="52">
        <f>I46</f>
        <v>93039509.01478168</v>
      </c>
      <c r="H49" s="44"/>
      <c r="I49" s="149"/>
      <c r="J49" s="44"/>
      <c r="K49" s="164"/>
      <c r="L49" s="132"/>
      <c r="M49" s="165"/>
      <c r="S49" s="174"/>
      <c r="T49" s="174"/>
    </row>
    <row r="50" ht="15.75" s="23" customFormat="1">
      <c r="A50" s="1128" t="s">
        <v>1047</v>
      </c>
      <c r="B50" s="1129"/>
      <c r="C50" s="1129"/>
      <c r="D50" s="1129"/>
      <c r="E50" s="1130"/>
      <c r="F50" s="144"/>
      <c r="G50" s="49">
        <f>ROUNDDOWN(G49*10%,0)</f>
        <v>9303950</v>
      </c>
      <c r="H50" s="148"/>
      <c r="I50" s="166"/>
      <c r="J50" s="148"/>
      <c r="K50" s="164"/>
      <c r="L50" s="132"/>
      <c r="M50" s="159"/>
      <c r="S50" s="174"/>
      <c r="T50" s="174"/>
    </row>
    <row r="51" ht="15.75" s="23" customFormat="1">
      <c r="A51" s="1128" t="s">
        <v>1046</v>
      </c>
      <c r="B51" s="1129"/>
      <c r="C51" s="1129"/>
      <c r="D51" s="1129"/>
      <c r="E51" s="1130"/>
      <c r="F51" s="144"/>
      <c r="G51" s="52">
        <f>G48+G49+G50</f>
        <v>1625023494.1076732</v>
      </c>
      <c r="H51" s="149"/>
      <c r="I51" s="167" t="s">
        <v>1106</v>
      </c>
      <c r="J51" s="149"/>
      <c r="K51" s="164"/>
      <c r="L51" s="132"/>
      <c r="M51" s="156"/>
      <c r="S51" s="174"/>
      <c r="T51" s="174"/>
    </row>
    <row r="52" ht="15.75" s="23" customFormat="1">
      <c r="A52" s="151"/>
      <c r="B52" s="151"/>
      <c r="C52" s="151"/>
      <c r="D52" s="151"/>
      <c r="E52" s="151"/>
      <c r="F52" s="151"/>
      <c r="G52" s="132"/>
      <c r="H52" s="132"/>
      <c r="I52" s="158"/>
      <c r="J52" s="132"/>
      <c r="K52" s="134"/>
      <c r="L52" s="132"/>
      <c r="M52" s="156"/>
      <c r="S52" s="174"/>
      <c r="T52" s="174"/>
    </row>
    <row r="53" ht="15.75" s="23" customFormat="1">
      <c r="A53" s="172" t="s">
        <v>1048</v>
      </c>
      <c r="B53" s="155"/>
      <c r="C53" s="172"/>
      <c r="D53" s="172"/>
      <c r="E53" s="151"/>
      <c r="F53" s="151"/>
      <c r="G53" s="132"/>
      <c r="H53" s="132"/>
      <c r="I53" s="158"/>
      <c r="J53" s="132"/>
      <c r="K53" s="134"/>
      <c r="L53" s="132"/>
      <c r="M53" s="156"/>
      <c r="S53" s="174"/>
      <c r="T53" s="174"/>
    </row>
    <row r="54" ht="15.75" s="23" customFormat="1">
      <c r="A54" s="155"/>
      <c r="B54" s="151"/>
      <c r="C54" s="172" t="s">
        <v>1049</v>
      </c>
      <c r="D54" s="172"/>
      <c r="E54" s="151"/>
      <c r="F54" s="151"/>
      <c r="G54" s="132"/>
      <c r="H54" s="132"/>
      <c r="I54" s="167"/>
      <c r="J54" s="132"/>
      <c r="K54" s="134"/>
      <c r="L54" s="132"/>
      <c r="S54" s="174"/>
      <c r="T54" s="174"/>
    </row>
    <row r="55" ht="15.75" s="23" customFormat="1">
      <c r="A55" s="155"/>
      <c r="B55" s="151"/>
      <c r="C55" s="172" t="s">
        <v>1050</v>
      </c>
      <c r="D55" s="172"/>
      <c r="E55" s="151"/>
      <c r="F55" s="151"/>
      <c r="H55" s="154"/>
      <c r="I55" s="167"/>
      <c r="J55" s="154"/>
      <c r="K55" s="134"/>
      <c r="L55" s="132"/>
      <c r="S55" s="174"/>
      <c r="T55" s="174"/>
    </row>
    <row r="56" ht="15.75" s="23" customFormat="1">
      <c r="A56" s="155"/>
      <c r="B56" s="151"/>
      <c r="C56" s="172" t="s">
        <v>1051</v>
      </c>
      <c r="D56" s="172"/>
      <c r="E56" s="151"/>
      <c r="F56" s="151"/>
      <c r="H56" s="154"/>
      <c r="I56" s="167"/>
      <c r="J56" s="154"/>
      <c r="K56" s="134"/>
      <c r="L56" s="132"/>
      <c r="S56" s="174"/>
      <c r="T56" s="174"/>
    </row>
    <row r="57" ht="15.75" s="23" customFormat="1">
      <c r="A57" s="155"/>
      <c r="B57" s="151"/>
      <c r="C57" s="172" t="s">
        <v>1052</v>
      </c>
      <c r="D57" s="172"/>
      <c r="E57" s="151"/>
      <c r="F57" s="151"/>
      <c r="H57" s="154"/>
      <c r="I57" s="167"/>
      <c r="J57" s="154"/>
      <c r="K57" s="134"/>
      <c r="L57" s="132"/>
      <c r="S57" s="174"/>
      <c r="T57" s="174"/>
    </row>
    <row r="58" ht="15.75" s="23" customFormat="1">
      <c r="A58" s="155"/>
      <c r="B58" s="151"/>
      <c r="C58" s="152"/>
      <c r="D58" s="152"/>
      <c r="E58" s="151"/>
      <c r="F58" s="151"/>
      <c r="H58" s="154"/>
      <c r="I58" s="167"/>
      <c r="J58" s="154"/>
      <c r="K58" s="134"/>
      <c r="L58" s="132"/>
      <c r="S58" s="174"/>
      <c r="T58" s="174"/>
    </row>
    <row r="59" ht="15.75" s="23" customFormat="1">
      <c r="A59" s="155"/>
      <c r="B59" s="151"/>
      <c r="C59" s="152"/>
      <c r="D59" s="152"/>
      <c r="E59" s="151"/>
      <c r="F59" s="151"/>
      <c r="H59" s="154"/>
      <c r="I59" s="167"/>
      <c r="J59" s="154"/>
      <c r="K59" s="134"/>
      <c r="L59" s="132"/>
      <c r="S59" s="174"/>
      <c r="T59" s="174"/>
    </row>
    <row r="60" ht="15.75" s="23" customFormat="1">
      <c r="A60" s="151"/>
      <c r="B60" s="151"/>
      <c r="C60" s="151"/>
      <c r="D60" s="151"/>
      <c r="E60" s="151"/>
      <c r="F60" s="151"/>
      <c r="H60" s="154"/>
      <c r="I60" s="167"/>
      <c r="J60" s="154"/>
      <c r="K60" s="134"/>
      <c r="L60" s="132"/>
      <c r="S60" s="174"/>
      <c r="T60" s="174"/>
    </row>
    <row r="61" ht="15.75" s="23" customFormat="1">
      <c r="A61" s="151"/>
      <c r="B61" s="151"/>
      <c r="C61" s="151"/>
      <c r="D61" s="151"/>
      <c r="E61" s="151"/>
      <c r="F61" s="151"/>
      <c r="H61" s="154"/>
      <c r="I61" s="167" t="s">
        <v>1053</v>
      </c>
      <c r="J61" s="154"/>
      <c r="K61" s="134"/>
      <c r="L61" s="132"/>
      <c r="S61" s="174"/>
      <c r="T61" s="174"/>
    </row>
    <row r="62" ht="15.75" s="23" customFormat="1">
      <c r="A62" s="151"/>
      <c r="B62" s="151"/>
      <c r="C62" s="151"/>
      <c r="D62" s="151"/>
      <c r="E62" s="151"/>
      <c r="F62" s="151"/>
      <c r="H62" s="154"/>
      <c r="I62" s="167" t="s">
        <v>1054</v>
      </c>
      <c r="J62" s="154"/>
      <c r="K62" s="134"/>
      <c r="L62" s="132"/>
      <c r="S62" s="174"/>
      <c r="T62" s="174"/>
    </row>
    <row r="63">
      <c r="A63" s="13"/>
      <c r="B63" s="13"/>
      <c r="C63" s="13"/>
      <c r="D63" s="13"/>
      <c r="E63" s="13"/>
      <c r="F63" s="13"/>
      <c r="G63" s="2"/>
      <c r="H63" s="57"/>
      <c r="I63" s="173"/>
      <c r="J63" s="57"/>
      <c r="K63" s="13"/>
    </row>
    <row r="64">
      <c r="A64" s="13"/>
      <c r="B64" s="13"/>
      <c r="C64" s="13"/>
      <c r="D64" s="13"/>
      <c r="E64" s="13"/>
      <c r="F64" s="13"/>
      <c r="G64" s="2"/>
      <c r="H64" s="57"/>
      <c r="I64" s="57"/>
      <c r="J64" s="57"/>
      <c r="K64" s="13"/>
    </row>
    <row r="65">
      <c r="K65" s="13"/>
    </row>
  </sheetData>
  <mergeCells>
    <mergeCell ref="A46:E46"/>
    <mergeCell ref="A48:E48"/>
    <mergeCell ref="A49:E49"/>
    <mergeCell ref="A50:E50"/>
    <mergeCell ref="A51:E51"/>
    <mergeCell ref="A35:C35"/>
    <mergeCell ref="A36:C36"/>
    <mergeCell ref="A37:C37"/>
    <mergeCell ref="A38:C38"/>
    <mergeCell ref="A45:C45"/>
    <mergeCell ref="A26:C26"/>
    <mergeCell ref="A27:C27"/>
    <mergeCell ref="A28:C28"/>
    <mergeCell ref="A31:C31"/>
    <mergeCell ref="A34:C34"/>
    <mergeCell ref="A19:C19"/>
    <mergeCell ref="A21:C21"/>
    <mergeCell ref="A23:C23"/>
    <mergeCell ref="A24:C24"/>
    <mergeCell ref="A25:C25"/>
    <mergeCell ref="C3:E3"/>
    <mergeCell ref="A16:E16"/>
    <mergeCell ref="G16:J16"/>
    <mergeCell ref="A17:C17"/>
    <mergeCell ref="A18:C18"/>
  </mergeCells>
  <printOptions horizontalCentered="1"/>
  <pageMargins left="0" right="0" top="0" bottom="0" header="0.19" footer="0.16"/>
  <pageSetup paperSize="9" scale="60" orientation="landscape" horizontalDpi="120" verticalDpi="72"/>
  <headerFooter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3" filterMode="1">
    <tabColor theme="9" tint="-0.499984740745262"/>
  </sheetPr>
  <dimension ref="A1:S61"/>
  <sheetViews>
    <sheetView zoomScale="70" zoomScaleNormal="70" workbookViewId="0">
      <selection activeCell="C7" sqref="C7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6.28515625" customWidth="1" style="2"/>
    <col min="4" max="4" width="6.28515625" customWidth="1" style="2"/>
    <col min="5" max="5" width="22" customWidth="1" style="2"/>
    <col min="6" max="6" width="21.7109375" customWidth="1" style="2"/>
    <col min="7" max="7" width="25.140625" customWidth="1" style="3"/>
    <col min="8" max="8" width="16.85546875" customWidth="1" style="3"/>
    <col min="9" max="9" width="27.5703125" customWidth="1" style="3"/>
    <col min="10" max="10" width="21.85546875" customWidth="1" style="3"/>
    <col min="11" max="11" width="11.28515625" customWidth="1" style="2"/>
    <col min="12" max="12" width="4.7109375" customWidth="1" style="3"/>
    <col min="13" max="13" width="13.28515625" customWidth="1" style="2"/>
    <col min="14" max="14" width="21.85546875" customWidth="1" style="2"/>
    <col min="15" max="17" width="9.1406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27" customHeight="1">
      <c r="A1" s="13"/>
      <c r="B1" s="13"/>
      <c r="C1" s="13"/>
      <c r="D1" s="13"/>
      <c r="E1" s="13"/>
      <c r="F1" s="13"/>
      <c r="G1" s="1255" t="s">
        <v>1</v>
      </c>
      <c r="H1" s="6"/>
      <c r="I1" s="6" t="s">
        <v>1090</v>
      </c>
      <c r="J1" s="6"/>
    </row>
    <row r="2">
      <c r="A2" s="13"/>
      <c r="B2" s="13"/>
      <c r="C2" s="13"/>
      <c r="D2" s="13"/>
      <c r="E2" s="13"/>
      <c r="F2" s="13"/>
      <c r="H2" s="7"/>
      <c r="I2" s="10" t="s">
        <v>1021</v>
      </c>
      <c r="J2" s="7"/>
    </row>
    <row r="3">
      <c r="A3" s="13"/>
      <c r="B3" s="13"/>
      <c r="C3" s="13"/>
      <c r="D3" s="13"/>
      <c r="E3" s="13"/>
      <c r="F3" s="13"/>
      <c r="H3" s="11"/>
      <c r="I3" s="12" t="s">
        <v>1023</v>
      </c>
      <c r="J3" s="11"/>
    </row>
    <row r="4">
      <c r="A4" s="13"/>
      <c r="B4" s="13"/>
      <c r="C4" s="13"/>
      <c r="D4" s="13"/>
      <c r="E4" s="13"/>
      <c r="F4" s="13"/>
      <c r="H4" s="14"/>
      <c r="I4" s="15" t="s">
        <v>1024</v>
      </c>
      <c r="J4" s="14"/>
    </row>
    <row r="5" ht="6" customHeight="1">
      <c r="A5" s="13"/>
      <c r="B5" s="13"/>
      <c r="C5" s="13"/>
      <c r="D5" s="13"/>
      <c r="E5" s="13"/>
      <c r="F5" s="13"/>
      <c r="H5" s="11"/>
      <c r="I5" s="12"/>
      <c r="J5" s="11"/>
    </row>
    <row r="6">
      <c r="A6" s="13"/>
      <c r="B6" s="13"/>
      <c r="C6" s="13"/>
      <c r="D6" s="13"/>
      <c r="E6" s="13"/>
      <c r="F6" s="13"/>
      <c r="H6" s="14"/>
      <c r="I6" s="15" t="s">
        <v>1026</v>
      </c>
      <c r="J6" s="14"/>
    </row>
    <row r="7" ht="18.75">
      <c r="A7" s="8" t="s">
        <v>1018</v>
      </c>
      <c r="B7" s="130" t="s">
        <v>1019</v>
      </c>
      <c r="C7" s="8" t="s">
        <v>1091</v>
      </c>
      <c r="D7" s="8"/>
      <c r="E7" s="9"/>
      <c r="F7" s="13"/>
      <c r="H7" s="14"/>
      <c r="I7" s="15" t="s">
        <v>1027</v>
      </c>
      <c r="J7" s="14"/>
    </row>
    <row r="8" ht="18.75">
      <c r="A8" s="8" t="s">
        <v>1022</v>
      </c>
      <c r="B8" s="130" t="s">
        <v>1019</v>
      </c>
      <c r="C8" s="1122">
        <f>+'INVOICE AGUSTUS'!C3:E3</f>
        <v>44429</v>
      </c>
      <c r="D8" s="1122"/>
      <c r="E8" s="1122"/>
      <c r="F8" s="13"/>
      <c r="H8" s="14"/>
      <c r="I8" s="15" t="s">
        <v>1028</v>
      </c>
      <c r="J8" s="14"/>
    </row>
    <row r="9">
      <c r="A9" s="131"/>
      <c r="B9" s="131"/>
      <c r="C9" s="131"/>
      <c r="D9" s="131"/>
      <c r="E9" s="131"/>
      <c r="F9" s="13"/>
      <c r="H9" s="14"/>
      <c r="I9" s="15" t="s">
        <v>1030</v>
      </c>
      <c r="J9" s="14"/>
    </row>
    <row r="10" ht="15.75" s="23" customFormat="1">
      <c r="A10" s="16" t="s">
        <v>1025</v>
      </c>
      <c r="B10" s="21"/>
      <c r="C10" s="21"/>
      <c r="D10" s="21"/>
      <c r="E10" s="21"/>
      <c r="F10" s="21"/>
      <c r="G10" s="132"/>
      <c r="H10" s="132"/>
      <c r="I10" s="132"/>
      <c r="J10" s="132"/>
      <c r="L10" s="132"/>
      <c r="S10" s="168"/>
    </row>
    <row r="11" ht="15.75" s="23" customFormat="1">
      <c r="F11" s="133"/>
      <c r="G11" s="132"/>
      <c r="H11" s="132"/>
      <c r="I11" s="132"/>
      <c r="J11" s="132"/>
      <c r="L11" s="132"/>
      <c r="S11" s="168"/>
    </row>
    <row r="12" ht="15.75" s="23" customFormat="1">
      <c r="A12" s="18" t="s">
        <v>41</v>
      </c>
      <c r="B12" s="21"/>
      <c r="C12" s="21"/>
      <c r="D12" s="21"/>
      <c r="E12" s="21"/>
      <c r="F12" s="21"/>
      <c r="G12" s="132"/>
      <c r="H12" s="132"/>
      <c r="I12" s="132"/>
      <c r="J12" s="132"/>
      <c r="K12" s="134"/>
      <c r="L12" s="132"/>
      <c r="M12" s="134"/>
      <c r="S12" s="168"/>
    </row>
    <row r="13" ht="15.75" s="23" customFormat="1">
      <c r="A13" s="19" t="s">
        <v>1029</v>
      </c>
      <c r="B13" s="22"/>
      <c r="C13" s="22"/>
      <c r="D13" s="22"/>
      <c r="E13" s="21"/>
      <c r="F13" s="21"/>
      <c r="G13" s="132"/>
      <c r="H13" s="132"/>
      <c r="I13" s="132"/>
      <c r="J13" s="132"/>
      <c r="K13" s="134"/>
      <c r="L13" s="132"/>
      <c r="M13" s="134"/>
      <c r="S13" s="168"/>
    </row>
    <row r="14" ht="15.75" s="23" customFormat="1">
      <c r="A14" s="20" t="s">
        <v>1031</v>
      </c>
      <c r="B14" s="21"/>
      <c r="C14" s="21"/>
      <c r="D14" s="21"/>
      <c r="E14" s="21"/>
      <c r="F14" s="21"/>
      <c r="G14" s="132"/>
      <c r="H14" s="132"/>
      <c r="I14" s="132"/>
      <c r="J14" s="132"/>
      <c r="K14" s="134"/>
      <c r="L14" s="132"/>
      <c r="M14" s="134"/>
      <c r="S14" s="168"/>
    </row>
    <row r="15" ht="15.75" s="23" customFormat="1">
      <c r="A15" s="20" t="s">
        <v>1032</v>
      </c>
      <c r="B15" s="21"/>
      <c r="C15" s="21"/>
      <c r="D15" s="21"/>
      <c r="E15" s="21"/>
      <c r="F15" s="21"/>
      <c r="G15" s="132"/>
      <c r="H15" s="132"/>
      <c r="I15" s="132"/>
      <c r="J15" s="132"/>
      <c r="K15" s="134"/>
      <c r="L15" s="132"/>
      <c r="M15" s="134"/>
      <c r="S15" s="168"/>
    </row>
    <row r="16" ht="15.75" s="23" customFormat="1">
      <c r="A16" s="18" t="s">
        <v>1033</v>
      </c>
      <c r="B16" s="21"/>
      <c r="C16" s="21"/>
      <c r="D16" s="21"/>
      <c r="E16" s="21"/>
      <c r="F16" s="21"/>
      <c r="G16" s="132"/>
      <c r="H16" s="132"/>
      <c r="I16" s="132"/>
      <c r="J16" s="132"/>
      <c r="K16" s="134"/>
      <c r="L16" s="132"/>
      <c r="M16" s="134"/>
      <c r="S16" s="168"/>
    </row>
    <row r="17" ht="15.75" s="23" customFormat="1">
      <c r="A17" s="18" t="s">
        <v>1034</v>
      </c>
      <c r="B17" s="21"/>
      <c r="C17" s="21"/>
      <c r="D17" s="21"/>
      <c r="E17" s="21"/>
      <c r="F17" s="21"/>
      <c r="G17" s="132"/>
      <c r="H17" s="132"/>
      <c r="I17" s="132"/>
      <c r="J17" s="132"/>
      <c r="K17" s="134"/>
      <c r="L17" s="132"/>
      <c r="M17" s="134"/>
      <c r="S17" s="168"/>
    </row>
    <row r="18" ht="15.75" s="23" customFormat="1">
      <c r="A18" s="134"/>
      <c r="B18" s="134"/>
      <c r="C18" s="134"/>
      <c r="D18" s="134"/>
      <c r="E18" s="134"/>
      <c r="F18" s="134"/>
      <c r="G18" s="132"/>
      <c r="H18" s="132"/>
      <c r="I18" s="132"/>
      <c r="J18" s="132"/>
      <c r="K18" s="134"/>
      <c r="L18" s="132"/>
      <c r="M18" s="156"/>
      <c r="S18" s="168"/>
    </row>
    <row r="19" ht="15.75" s="129" customFormat="1">
      <c r="A19" s="1131" t="s">
        <v>548</v>
      </c>
      <c r="B19" s="1131"/>
      <c r="C19" s="1131"/>
      <c r="D19" s="1131"/>
      <c r="E19" s="1131"/>
      <c r="F19" s="135"/>
      <c r="G19" s="1132" t="s">
        <v>1035</v>
      </c>
      <c r="H19" s="1132"/>
      <c r="I19" s="1132"/>
      <c r="J19" s="1132"/>
      <c r="K19" s="150"/>
      <c r="L19" s="132"/>
      <c r="M19" s="157"/>
      <c r="S19" s="169"/>
    </row>
    <row r="20" ht="15.75" s="23" customFormat="1">
      <c r="A20" s="1125" t="s">
        <v>1092</v>
      </c>
      <c r="B20" s="1126"/>
      <c r="C20" s="1127"/>
      <c r="D20" s="138" t="s">
        <v>10</v>
      </c>
      <c r="E20" s="139" t="s">
        <v>1038</v>
      </c>
      <c r="F20" s="139" t="s">
        <v>1093</v>
      </c>
      <c r="G20" s="140" t="s">
        <v>1039</v>
      </c>
      <c r="H20" s="140" t="s">
        <v>1094</v>
      </c>
      <c r="I20" s="140" t="s">
        <v>1095</v>
      </c>
      <c r="J20" s="140" t="s">
        <v>1096</v>
      </c>
      <c r="K20" s="134"/>
      <c r="L20" s="132"/>
      <c r="M20" s="156"/>
      <c r="S20" s="168"/>
    </row>
    <row r="21" hidden="1" ht="15.75" s="129" customFormat="1">
      <c r="A21" s="1125"/>
      <c r="B21" s="1126"/>
      <c r="C21" s="1127"/>
      <c r="D21" s="138">
        <v>1</v>
      </c>
      <c r="E21" s="988" t="s">
        <v>435</v>
      </c>
      <c r="F21" s="988" t="s">
        <v>63</v>
      </c>
      <c r="G21" s="142"/>
      <c r="H21" s="142"/>
      <c r="I21" s="142"/>
      <c r="J21" s="142">
        <f>SUM(G21:I21)</f>
        <v>0</v>
      </c>
      <c r="K21" s="150"/>
      <c r="L21" s="158"/>
      <c r="M21" s="159">
        <f>+I21*10%</f>
        <v>0</v>
      </c>
      <c r="N21" s="160">
        <f>+M21+J21</f>
        <v>0</v>
      </c>
      <c r="S21" s="169"/>
    </row>
    <row r="22" hidden="1" ht="15.75" s="23" customFormat="1">
      <c r="A22" s="1125"/>
      <c r="B22" s="1126"/>
      <c r="C22" s="1127"/>
      <c r="D22" s="138">
        <v>2</v>
      </c>
      <c r="E22" s="988" t="s">
        <v>62</v>
      </c>
      <c r="F22" s="988" t="s">
        <v>63</v>
      </c>
      <c r="G22" s="142"/>
      <c r="H22" s="142"/>
      <c r="I22" s="142"/>
      <c r="J22" s="142">
        <f ref="J22:J36" t="shared" si="0">SUM(G22:I22)</f>
        <v>0</v>
      </c>
      <c r="K22" s="161"/>
      <c r="L22" s="132"/>
      <c r="M22" s="159">
        <f ref="M22:M32" t="shared" si="1">+I22*10%</f>
        <v>0</v>
      </c>
      <c r="N22" s="160">
        <f ref="N22:N32" t="shared" si="2">+M22+J22</f>
        <v>0</v>
      </c>
    </row>
    <row r="23" ht="15.75" s="23" customFormat="1">
      <c r="A23" s="1125"/>
      <c r="B23" s="1126"/>
      <c r="C23" s="1127"/>
      <c r="D23" s="138">
        <v>1</v>
      </c>
      <c r="E23" s="988" t="s">
        <v>573</v>
      </c>
      <c r="F23" s="988" t="s">
        <v>1097</v>
      </c>
      <c r="G23" s="142">
        <f>+'HALIM JULI '!L9</f>
        <v>2959588.56085806</v>
      </c>
      <c r="H23" s="142"/>
      <c r="I23" s="142">
        <f>+'HALIM JULI '!M9</f>
        <v>236767.084868645</v>
      </c>
      <c r="J23" s="142">
        <f t="shared" si="0"/>
        <v>3196355.6457267</v>
      </c>
      <c r="K23" s="161"/>
      <c r="L23" s="132"/>
      <c r="M23" s="159">
        <f t="shared" si="1"/>
        <v>23676.7084868645</v>
      </c>
      <c r="N23" s="160">
        <f t="shared" si="2"/>
        <v>3220032.35421357</v>
      </c>
    </row>
    <row r="24" hidden="1" ht="15.75" s="23" customFormat="1">
      <c r="A24" s="1125"/>
      <c r="B24" s="1126"/>
      <c r="C24" s="1127"/>
      <c r="D24" s="138">
        <v>2</v>
      </c>
      <c r="E24" s="988" t="s">
        <v>573</v>
      </c>
      <c r="F24" s="988" t="s">
        <v>421</v>
      </c>
      <c r="G24" s="142"/>
      <c r="H24" s="142"/>
      <c r="I24" s="142"/>
      <c r="J24" s="142">
        <f t="shared" si="0"/>
        <v>0</v>
      </c>
      <c r="K24" s="161"/>
      <c r="L24" s="132"/>
      <c r="M24" s="159">
        <f t="shared" si="1"/>
        <v>0</v>
      </c>
      <c r="N24" s="160">
        <f t="shared" si="2"/>
        <v>0</v>
      </c>
    </row>
    <row r="25" hidden="1" ht="15.75" s="23" customFormat="1">
      <c r="A25" s="1125"/>
      <c r="B25" s="1126"/>
      <c r="C25" s="1127"/>
      <c r="D25" s="138">
        <f ref="D25:D40" t="shared" si="3">+D24+1</f>
        <v>3</v>
      </c>
      <c r="E25" s="988" t="s">
        <v>1098</v>
      </c>
      <c r="F25" s="988" t="s">
        <v>1099</v>
      </c>
      <c r="G25" s="142"/>
      <c r="H25" s="142"/>
      <c r="I25" s="142"/>
      <c r="J25" s="142">
        <f t="shared" si="0"/>
        <v>0</v>
      </c>
      <c r="K25" s="161"/>
      <c r="L25" s="132"/>
      <c r="M25" s="159">
        <f t="shared" si="1"/>
        <v>0</v>
      </c>
      <c r="N25" s="160">
        <f t="shared" si="2"/>
        <v>0</v>
      </c>
    </row>
    <row r="26" ht="15.75" s="23" customFormat="1">
      <c r="A26" s="1125"/>
      <c r="B26" s="1126"/>
      <c r="C26" s="1127"/>
      <c r="D26" s="138">
        <v>2</v>
      </c>
      <c r="E26" s="988" t="s">
        <v>664</v>
      </c>
      <c r="F26" s="988" t="s">
        <v>421</v>
      </c>
      <c r="G26" s="142">
        <f>+'RAWA BUAYA JULI'!L8</f>
        <v>2619454.44171936</v>
      </c>
      <c r="H26" s="142"/>
      <c r="I26" s="142">
        <f>+'RAWA BUAYA JULI'!M8</f>
        <v>209556.355337548</v>
      </c>
      <c r="J26" s="142">
        <f t="shared" si="0"/>
        <v>2829010.7970569083</v>
      </c>
      <c r="K26" s="161"/>
      <c r="L26" s="132"/>
      <c r="M26" s="159">
        <f t="shared" si="1"/>
        <v>20955.6355337548</v>
      </c>
      <c r="N26" s="160">
        <f t="shared" si="2"/>
        <v>2849966.432590663</v>
      </c>
    </row>
    <row r="27" hidden="1" ht="15.75" s="23" customFormat="1">
      <c r="A27" s="1125"/>
      <c r="B27" s="1126"/>
      <c r="C27" s="1127"/>
      <c r="D27" s="138">
        <v>2</v>
      </c>
      <c r="E27" s="988" t="s">
        <v>1100</v>
      </c>
      <c r="F27" s="988" t="s">
        <v>421</v>
      </c>
      <c r="G27" s="142"/>
      <c r="H27" s="142"/>
      <c r="I27" s="142"/>
      <c r="J27" s="142">
        <f t="shared" si="0"/>
        <v>0</v>
      </c>
      <c r="K27" s="161"/>
      <c r="L27" s="132"/>
      <c r="M27" s="159">
        <f t="shared" si="1"/>
        <v>0</v>
      </c>
      <c r="N27" s="160">
        <f t="shared" si="2"/>
        <v>0</v>
      </c>
      <c r="R27" s="170"/>
    </row>
    <row r="28" hidden="1" ht="15.75" s="23" customFormat="1">
      <c r="A28" s="1125"/>
      <c r="B28" s="1126"/>
      <c r="C28" s="1127"/>
      <c r="D28" s="138">
        <f t="shared" si="3"/>
        <v>3</v>
      </c>
      <c r="E28" s="988" t="s">
        <v>768</v>
      </c>
      <c r="F28" s="988" t="s">
        <v>421</v>
      </c>
      <c r="G28" s="142"/>
      <c r="H28" s="142"/>
      <c r="I28" s="142"/>
      <c r="J28" s="142">
        <f t="shared" si="0"/>
        <v>0</v>
      </c>
      <c r="K28" s="161"/>
      <c r="L28" s="132"/>
      <c r="M28" s="159">
        <f t="shared" si="1"/>
        <v>0</v>
      </c>
      <c r="N28" s="160">
        <f t="shared" si="2"/>
        <v>0</v>
      </c>
    </row>
    <row r="29" hidden="1" ht="15.75" s="23" customFormat="1">
      <c r="A29" s="1125"/>
      <c r="B29" s="1126"/>
      <c r="C29" s="1127"/>
      <c r="D29" s="138">
        <f t="shared" si="3"/>
        <v>4</v>
      </c>
      <c r="E29" s="988" t="s">
        <v>771</v>
      </c>
      <c r="F29" s="988" t="s">
        <v>421</v>
      </c>
      <c r="G29" s="142"/>
      <c r="H29" s="142"/>
      <c r="I29" s="142"/>
      <c r="J29" s="142">
        <f t="shared" si="0"/>
        <v>0</v>
      </c>
      <c r="K29" s="161"/>
      <c r="L29" s="132"/>
      <c r="M29" s="159">
        <f t="shared" si="1"/>
        <v>0</v>
      </c>
      <c r="N29" s="160">
        <f t="shared" si="2"/>
        <v>0</v>
      </c>
    </row>
    <row r="30" hidden="1" ht="15.75" s="23" customFormat="1">
      <c r="A30" s="1125"/>
      <c r="B30" s="1126"/>
      <c r="C30" s="1127"/>
      <c r="D30" s="138">
        <v>2</v>
      </c>
      <c r="E30" s="988" t="s">
        <v>732</v>
      </c>
      <c r="F30" s="988" t="s">
        <v>733</v>
      </c>
      <c r="G30" s="142"/>
      <c r="H30" s="142"/>
      <c r="I30" s="142"/>
      <c r="J30" s="142">
        <f t="shared" si="0"/>
        <v>0</v>
      </c>
      <c r="K30" s="161"/>
      <c r="L30" s="132"/>
      <c r="M30" s="159">
        <f t="shared" si="1"/>
        <v>0</v>
      </c>
      <c r="N30" s="160">
        <f t="shared" si="2"/>
        <v>0</v>
      </c>
    </row>
    <row r="31" hidden="1" ht="15.75" s="23" customFormat="1">
      <c r="A31" s="1125"/>
      <c r="B31" s="1126"/>
      <c r="C31" s="1127"/>
      <c r="D31" s="138">
        <f t="shared" si="3"/>
        <v>3</v>
      </c>
      <c r="E31" s="988" t="s">
        <v>920</v>
      </c>
      <c r="F31" s="988" t="s">
        <v>421</v>
      </c>
      <c r="G31" s="142"/>
      <c r="H31" s="142"/>
      <c r="I31" s="142"/>
      <c r="J31" s="142">
        <f t="shared" si="0"/>
        <v>0</v>
      </c>
      <c r="K31" s="161"/>
      <c r="L31" s="132"/>
      <c r="M31" s="159">
        <f t="shared" si="1"/>
        <v>0</v>
      </c>
      <c r="N31" s="160">
        <f t="shared" si="2"/>
        <v>0</v>
      </c>
    </row>
    <row r="32" hidden="1" ht="15.75" s="23" customFormat="1">
      <c r="A32" s="1125"/>
      <c r="B32" s="1126"/>
      <c r="C32" s="1127"/>
      <c r="D32" s="138">
        <v>3</v>
      </c>
      <c r="E32" s="988" t="s">
        <v>602</v>
      </c>
      <c r="F32" s="988" t="s">
        <v>63</v>
      </c>
      <c r="G32" s="142"/>
      <c r="H32" s="142"/>
      <c r="I32" s="142"/>
      <c r="J32" s="142">
        <f t="shared" si="0"/>
        <v>0</v>
      </c>
      <c r="K32" s="161"/>
      <c r="L32" s="132"/>
      <c r="M32" s="159">
        <f t="shared" si="1"/>
        <v>0</v>
      </c>
      <c r="N32" s="160">
        <f t="shared" si="2"/>
        <v>0</v>
      </c>
    </row>
    <row r="33" hidden="1" ht="15.75" s="23" customFormat="1">
      <c r="A33" s="1125"/>
      <c r="B33" s="1126"/>
      <c r="C33" s="1127"/>
      <c r="D33" s="138">
        <v>3</v>
      </c>
      <c r="E33" s="988" t="s">
        <v>737</v>
      </c>
      <c r="F33" s="988" t="s">
        <v>63</v>
      </c>
      <c r="G33" s="142"/>
      <c r="H33" s="142"/>
      <c r="I33" s="142"/>
      <c r="J33" s="142">
        <f t="shared" si="0"/>
        <v>0</v>
      </c>
      <c r="K33" s="161"/>
      <c r="L33" s="132"/>
      <c r="M33" s="159">
        <f ref="M33:M40" t="shared" si="4">+I33*10%</f>
        <v>0</v>
      </c>
      <c r="N33" s="160">
        <f ref="N33:N40" t="shared" si="5">+M33+J33</f>
        <v>0</v>
      </c>
    </row>
    <row r="34" hidden="1" ht="15.75" s="23" customFormat="1">
      <c r="A34" s="1125"/>
      <c r="B34" s="1126"/>
      <c r="C34" s="1127"/>
      <c r="D34" s="138">
        <v>4</v>
      </c>
      <c r="E34" s="988" t="s">
        <v>495</v>
      </c>
      <c r="F34" s="988" t="s">
        <v>421</v>
      </c>
      <c r="G34" s="142"/>
      <c r="H34" s="142"/>
      <c r="I34" s="142"/>
      <c r="J34" s="142">
        <f t="shared" si="0"/>
        <v>0</v>
      </c>
      <c r="K34" s="161"/>
      <c r="L34" s="132"/>
      <c r="M34" s="159">
        <f t="shared" si="4"/>
        <v>0</v>
      </c>
      <c r="N34" s="160">
        <f t="shared" si="5"/>
        <v>0</v>
      </c>
    </row>
    <row r="35" hidden="1" ht="15.75" s="23" customFormat="1">
      <c r="A35" s="1125"/>
      <c r="B35" s="1126"/>
      <c r="C35" s="1127"/>
      <c r="D35" s="138">
        <f t="shared" si="3"/>
        <v>5</v>
      </c>
      <c r="E35" s="988" t="s">
        <v>480</v>
      </c>
      <c r="F35" s="988" t="s">
        <v>421</v>
      </c>
      <c r="G35" s="142"/>
      <c r="H35" s="142"/>
      <c r="I35" s="142"/>
      <c r="J35" s="142">
        <f t="shared" si="0"/>
        <v>0</v>
      </c>
      <c r="K35" s="161"/>
      <c r="L35" s="132"/>
      <c r="M35" s="159">
        <f t="shared" si="4"/>
        <v>0</v>
      </c>
      <c r="N35" s="160">
        <f t="shared" si="5"/>
        <v>0</v>
      </c>
    </row>
    <row r="36" hidden="1" ht="15.75" s="23" customFormat="1">
      <c r="A36" s="1125"/>
      <c r="B36" s="1126"/>
      <c r="C36" s="1127"/>
      <c r="D36" s="138">
        <f t="shared" si="3"/>
        <v>6</v>
      </c>
      <c r="E36" s="988" t="s">
        <v>468</v>
      </c>
      <c r="F36" s="988" t="s">
        <v>421</v>
      </c>
      <c r="G36" s="142"/>
      <c r="H36" s="142"/>
      <c r="I36" s="142"/>
      <c r="J36" s="142">
        <f t="shared" si="0"/>
        <v>0</v>
      </c>
      <c r="K36" s="161"/>
      <c r="L36" s="132"/>
      <c r="M36" s="159">
        <f t="shared" si="4"/>
        <v>0</v>
      </c>
      <c r="N36" s="160">
        <f t="shared" si="5"/>
        <v>0</v>
      </c>
    </row>
    <row r="37" hidden="1" ht="15.75" s="23" customFormat="1">
      <c r="A37" s="1125"/>
      <c r="B37" s="1126"/>
      <c r="C37" s="1127"/>
      <c r="D37" s="138">
        <f t="shared" si="3"/>
        <v>7</v>
      </c>
      <c r="E37" s="988" t="s">
        <v>62</v>
      </c>
      <c r="F37" s="988" t="s">
        <v>421</v>
      </c>
      <c r="G37" s="142"/>
      <c r="H37" s="142"/>
      <c r="I37" s="142"/>
      <c r="J37" s="142">
        <f ref="J37:J40" t="shared" si="6">SUM(G37:I37)</f>
        <v>0</v>
      </c>
      <c r="K37" s="161"/>
      <c r="L37" s="132"/>
      <c r="M37" s="159">
        <f t="shared" si="4"/>
        <v>0</v>
      </c>
      <c r="N37" s="160">
        <f t="shared" si="5"/>
        <v>0</v>
      </c>
      <c r="R37" s="168"/>
      <c r="S37" s="168"/>
    </row>
    <row r="38" hidden="1" ht="15.75" s="23" customFormat="1">
      <c r="A38" s="1125"/>
      <c r="B38" s="1126"/>
      <c r="C38" s="1127"/>
      <c r="D38" s="138">
        <f t="shared" si="3"/>
        <v>8</v>
      </c>
      <c r="E38" s="988" t="s">
        <v>452</v>
      </c>
      <c r="F38" s="988" t="s">
        <v>421</v>
      </c>
      <c r="G38" s="142"/>
      <c r="H38" s="142"/>
      <c r="I38" s="142"/>
      <c r="J38" s="142">
        <f t="shared" si="6"/>
        <v>0</v>
      </c>
      <c r="K38" s="134"/>
      <c r="L38" s="132"/>
      <c r="M38" s="159">
        <f t="shared" si="4"/>
        <v>0</v>
      </c>
      <c r="N38" s="160">
        <f t="shared" si="5"/>
        <v>0</v>
      </c>
      <c r="R38" s="168"/>
      <c r="S38" s="168"/>
    </row>
    <row r="39" hidden="1" ht="15.75" s="23" customFormat="1">
      <c r="A39" s="136"/>
      <c r="B39" s="137"/>
      <c r="C39" s="138"/>
      <c r="D39" s="138">
        <v>4</v>
      </c>
      <c r="E39" s="141" t="s">
        <v>435</v>
      </c>
      <c r="F39" s="988" t="s">
        <v>421</v>
      </c>
      <c r="G39" s="142"/>
      <c r="H39" s="142"/>
      <c r="I39" s="142"/>
      <c r="J39" s="142">
        <f t="shared" si="6"/>
        <v>0</v>
      </c>
      <c r="K39" s="134"/>
      <c r="L39" s="132"/>
      <c r="M39" s="159">
        <f t="shared" si="4"/>
        <v>0</v>
      </c>
      <c r="N39" s="160">
        <f t="shared" si="5"/>
        <v>0</v>
      </c>
      <c r="R39" s="168"/>
      <c r="S39" s="168"/>
    </row>
    <row r="40" hidden="1" ht="15.75" s="23" customFormat="1">
      <c r="A40" s="1125"/>
      <c r="B40" s="1126"/>
      <c r="C40" s="1127"/>
      <c r="D40" s="138">
        <f t="shared" si="3"/>
        <v>5</v>
      </c>
      <c r="E40" s="141" t="s">
        <v>420</v>
      </c>
      <c r="F40" s="988" t="s">
        <v>421</v>
      </c>
      <c r="G40" s="142"/>
      <c r="H40" s="142"/>
      <c r="I40" s="142"/>
      <c r="J40" s="142">
        <f t="shared" si="6"/>
        <v>0</v>
      </c>
      <c r="K40" s="161"/>
      <c r="L40" s="132"/>
      <c r="M40" s="159">
        <f t="shared" si="4"/>
        <v>0</v>
      </c>
      <c r="N40" s="160">
        <f t="shared" si="5"/>
        <v>0</v>
      </c>
      <c r="S40" s="168"/>
    </row>
    <row r="41" ht="15.75" s="23" customFormat="1">
      <c r="A41" s="136"/>
      <c r="B41" s="137"/>
      <c r="C41" s="137"/>
      <c r="D41" s="137"/>
      <c r="E41" s="143"/>
      <c r="F41" s="143"/>
      <c r="G41" s="142"/>
      <c r="H41" s="142"/>
      <c r="I41" s="142"/>
      <c r="J41" s="142"/>
      <c r="K41" s="161"/>
      <c r="L41" s="132"/>
      <c r="M41" s="159"/>
      <c r="S41" s="168"/>
    </row>
    <row r="42" ht="15.75" s="129" customFormat="1">
      <c r="A42" s="1128" t="s">
        <v>1046</v>
      </c>
      <c r="B42" s="1129"/>
      <c r="C42" s="1129"/>
      <c r="D42" s="1129"/>
      <c r="E42" s="1130"/>
      <c r="F42" s="144"/>
      <c r="G42" s="52">
        <f>SUM(G21:G41)</f>
        <v>5579043.00257742</v>
      </c>
      <c r="H42" s="52">
        <f>SUM(H21:H41)</f>
        <v>0</v>
      </c>
      <c r="I42" s="52">
        <f>SUM(I21:I41)</f>
        <v>446323.440206193</v>
      </c>
      <c r="J42" s="52">
        <f>SUM(J21:J41)</f>
        <v>6025366.442783608</v>
      </c>
      <c r="K42" s="150"/>
      <c r="L42" s="158"/>
      <c r="M42" s="162"/>
      <c r="N42" s="163"/>
      <c r="S42" s="169"/>
    </row>
    <row r="43" ht="15.75" s="23" customFormat="1">
      <c r="A43" s="145"/>
      <c r="B43" s="145"/>
      <c r="C43" s="145"/>
      <c r="D43" s="145"/>
      <c r="E43" s="146"/>
      <c r="F43" s="146"/>
      <c r="G43" s="44"/>
      <c r="H43" s="44"/>
      <c r="I43" s="44"/>
      <c r="J43" s="44"/>
      <c r="K43" s="164">
        <f>SUM(K22:K42)</f>
        <v>0</v>
      </c>
      <c r="L43" s="132"/>
      <c r="M43" s="165"/>
      <c r="S43" s="168"/>
    </row>
    <row r="44" ht="15.75" s="23" customFormat="1">
      <c r="A44" s="1133" t="s">
        <v>54</v>
      </c>
      <c r="B44" s="1134"/>
      <c r="C44" s="1134"/>
      <c r="D44" s="1134"/>
      <c r="E44" s="1135"/>
      <c r="F44" s="147"/>
      <c r="G44" s="47">
        <f>G42+H42</f>
        <v>5579043.00257742</v>
      </c>
      <c r="H44" s="44"/>
      <c r="I44" s="44"/>
      <c r="J44" s="44"/>
      <c r="K44" s="164"/>
      <c r="L44" s="132"/>
      <c r="M44" s="165"/>
      <c r="S44" s="168"/>
    </row>
    <row r="45" ht="15.75" s="23" customFormat="1">
      <c r="A45" s="1133" t="s">
        <v>49</v>
      </c>
      <c r="B45" s="1134"/>
      <c r="C45" s="1134"/>
      <c r="D45" s="1134"/>
      <c r="E45" s="1135"/>
      <c r="F45" s="147"/>
      <c r="G45" s="47">
        <f>I42</f>
        <v>446323.440206193</v>
      </c>
      <c r="H45" s="44"/>
      <c r="I45" s="44"/>
      <c r="J45" s="44"/>
      <c r="K45" s="164"/>
      <c r="L45" s="132"/>
      <c r="M45" s="165"/>
      <c r="S45" s="168"/>
    </row>
    <row r="46" ht="15.75" s="23" customFormat="1">
      <c r="A46" s="1133" t="s">
        <v>1047</v>
      </c>
      <c r="B46" s="1134"/>
      <c r="C46" s="1134"/>
      <c r="D46" s="1134"/>
      <c r="E46" s="1135"/>
      <c r="F46" s="147"/>
      <c r="G46" s="49">
        <f>ROUNDUP(G45*10%,0)</f>
        <v>44633</v>
      </c>
      <c r="H46" s="148"/>
      <c r="I46" s="166"/>
      <c r="J46" s="148"/>
      <c r="K46" s="164"/>
      <c r="L46" s="132"/>
      <c r="M46" s="159"/>
      <c r="S46" s="168"/>
    </row>
    <row r="47" ht="15.75" s="23" customFormat="1">
      <c r="A47" s="1128" t="s">
        <v>1046</v>
      </c>
      <c r="B47" s="1129"/>
      <c r="C47" s="1129"/>
      <c r="D47" s="1129"/>
      <c r="E47" s="1130"/>
      <c r="F47" s="144"/>
      <c r="G47" s="52">
        <f>G44+G45+G46</f>
        <v>6069999.442783614</v>
      </c>
      <c r="H47" s="149"/>
      <c r="I47" s="167" t="str">
        <f>+'INVOICE AGUSTUS'!I51</f>
        <v>Karawang, 21 Agustus  2021</v>
      </c>
      <c r="J47" s="149"/>
      <c r="K47" s="164"/>
      <c r="L47" s="132"/>
      <c r="M47" s="156"/>
      <c r="S47" s="168"/>
    </row>
    <row r="48" ht="15.75" s="23" customFormat="1">
      <c r="A48" s="150"/>
      <c r="B48" s="150"/>
      <c r="C48" s="150"/>
      <c r="D48" s="150"/>
      <c r="E48" s="150"/>
      <c r="F48" s="151"/>
      <c r="G48" s="132"/>
      <c r="H48" s="132"/>
      <c r="I48" s="158"/>
      <c r="J48" s="132"/>
      <c r="K48" s="134"/>
      <c r="L48" s="132"/>
      <c r="M48" s="134"/>
      <c r="S48" s="168"/>
    </row>
    <row r="49" ht="15.75" s="23" customFormat="1">
      <c r="A49" s="152" t="s">
        <v>1048</v>
      </c>
      <c r="B49" s="153"/>
      <c r="C49" s="152"/>
      <c r="D49" s="152"/>
      <c r="E49" s="150"/>
      <c r="F49" s="151"/>
      <c r="G49" s="132"/>
      <c r="H49" s="132"/>
      <c r="I49" s="158"/>
      <c r="J49" s="132"/>
      <c r="K49" s="134"/>
      <c r="L49" s="132"/>
      <c r="M49" s="134"/>
      <c r="S49" s="168"/>
    </row>
    <row r="50" ht="15.75" s="23" customFormat="1">
      <c r="A50" s="153"/>
      <c r="B50" s="150"/>
      <c r="C50" s="152" t="s">
        <v>1049</v>
      </c>
      <c r="D50" s="152"/>
      <c r="E50" s="150"/>
      <c r="F50" s="151"/>
      <c r="G50" s="132"/>
      <c r="H50" s="132"/>
      <c r="I50" s="167"/>
      <c r="J50" s="132"/>
      <c r="K50" s="134"/>
      <c r="L50" s="132"/>
      <c r="S50" s="168"/>
    </row>
    <row r="51" ht="15.75" s="23" customFormat="1">
      <c r="A51" s="153"/>
      <c r="B51" s="150"/>
      <c r="C51" s="152" t="s">
        <v>1050</v>
      </c>
      <c r="D51" s="152"/>
      <c r="E51" s="150"/>
      <c r="F51" s="151"/>
      <c r="H51" s="154"/>
      <c r="I51" s="167"/>
      <c r="J51" s="154"/>
      <c r="K51" s="134"/>
      <c r="L51" s="132"/>
      <c r="S51" s="168"/>
    </row>
    <row r="52" ht="15.75" s="23" customFormat="1">
      <c r="A52" s="153"/>
      <c r="B52" s="150"/>
      <c r="C52" s="152" t="s">
        <v>1051</v>
      </c>
      <c r="D52" s="152"/>
      <c r="E52" s="150"/>
      <c r="F52" s="151"/>
      <c r="H52" s="154"/>
      <c r="I52" s="167"/>
      <c r="J52" s="154"/>
      <c r="K52" s="134"/>
      <c r="L52" s="132"/>
      <c r="S52" s="168"/>
    </row>
    <row r="53" ht="15.75" s="23" customFormat="1">
      <c r="A53" s="153"/>
      <c r="B53" s="150"/>
      <c r="C53" s="152" t="s">
        <v>1052</v>
      </c>
      <c r="D53" s="152"/>
      <c r="E53" s="150"/>
      <c r="F53" s="151"/>
      <c r="H53" s="154"/>
      <c r="I53" s="167"/>
      <c r="J53" s="154"/>
      <c r="K53" s="134"/>
      <c r="L53" s="132"/>
      <c r="S53" s="168"/>
    </row>
    <row r="54" ht="15.75" s="23" customFormat="1">
      <c r="A54" s="155"/>
      <c r="B54" s="151"/>
      <c r="C54" s="152"/>
      <c r="D54" s="152"/>
      <c r="E54" s="151"/>
      <c r="F54" s="151"/>
      <c r="H54" s="154"/>
      <c r="I54" s="167"/>
      <c r="J54" s="154"/>
      <c r="K54" s="134"/>
      <c r="L54" s="132"/>
      <c r="S54" s="168"/>
    </row>
    <row r="55" ht="15.75" s="23" customFormat="1">
      <c r="A55" s="155"/>
      <c r="B55" s="151"/>
      <c r="C55" s="152"/>
      <c r="D55" s="152"/>
      <c r="E55" s="151"/>
      <c r="F55" s="151"/>
      <c r="H55" s="154"/>
      <c r="I55" s="167"/>
      <c r="J55" s="154"/>
      <c r="K55" s="134"/>
      <c r="L55" s="132"/>
      <c r="S55" s="168"/>
    </row>
    <row r="56" ht="15.75" s="23" customFormat="1">
      <c r="A56" s="151"/>
      <c r="B56" s="151"/>
      <c r="C56" s="151"/>
      <c r="D56" s="151"/>
      <c r="E56" s="151"/>
      <c r="F56" s="151"/>
      <c r="H56" s="154"/>
      <c r="I56" s="167"/>
      <c r="J56" s="154"/>
      <c r="K56" s="134"/>
      <c r="L56" s="132"/>
      <c r="S56" s="168"/>
    </row>
    <row r="57" ht="15.75" s="23" customFormat="1">
      <c r="A57" s="151"/>
      <c r="B57" s="151"/>
      <c r="C57" s="151"/>
      <c r="D57" s="151"/>
      <c r="E57" s="151"/>
      <c r="F57" s="151"/>
      <c r="H57" s="154"/>
      <c r="I57" s="167" t="s">
        <v>1053</v>
      </c>
      <c r="J57" s="154"/>
      <c r="K57" s="134"/>
      <c r="L57" s="132"/>
      <c r="S57" s="168"/>
    </row>
    <row r="58" ht="15.75" s="23" customFormat="1">
      <c r="A58" s="151"/>
      <c r="B58" s="151"/>
      <c r="C58" s="151"/>
      <c r="D58" s="151"/>
      <c r="E58" s="151"/>
      <c r="F58" s="151"/>
      <c r="H58" s="154"/>
      <c r="I58" s="167" t="s">
        <v>1054</v>
      </c>
      <c r="J58" s="154"/>
      <c r="K58" s="134"/>
      <c r="L58" s="132"/>
      <c r="S58" s="168"/>
    </row>
    <row r="59">
      <c r="A59" s="13"/>
      <c r="B59" s="13"/>
      <c r="C59" s="13"/>
      <c r="D59" s="13"/>
      <c r="E59" s="13"/>
      <c r="F59" s="13"/>
      <c r="G59" s="2"/>
      <c r="H59" s="57"/>
      <c r="I59" s="57"/>
      <c r="J59" s="57"/>
      <c r="K59" s="13"/>
    </row>
    <row r="60">
      <c r="A60" s="13"/>
      <c r="B60" s="13"/>
      <c r="C60" s="13"/>
      <c r="D60" s="13"/>
      <c r="E60" s="13"/>
      <c r="F60" s="13"/>
      <c r="G60" s="2"/>
      <c r="H60" s="57"/>
      <c r="I60" s="57"/>
      <c r="J60" s="57"/>
      <c r="K60" s="13"/>
    </row>
    <row r="61">
      <c r="K61" s="13"/>
    </row>
  </sheetData>
  <autoFilter ref="A20:S40">
    <filterColumn colId="6">
      <customFilters>
        <customFilter operator="notEqual" val=""/>
      </customFilters>
    </filterColumn>
  </autoFilter>
  <mergeCells>
    <mergeCell ref="A45:E45"/>
    <mergeCell ref="A46:E46"/>
    <mergeCell ref="A47:E47"/>
    <mergeCell ref="A37:C37"/>
    <mergeCell ref="A38:C38"/>
    <mergeCell ref="A40:C40"/>
    <mergeCell ref="A42:E42"/>
    <mergeCell ref="A44:E44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C8:E8"/>
    <mergeCell ref="A19:E19"/>
    <mergeCell ref="G19:J19"/>
    <mergeCell ref="A20:C20"/>
    <mergeCell ref="A21:C21"/>
  </mergeCells>
  <printOptions horizontalCentered="1"/>
  <pageMargins left="0" right="0" top="0" bottom="0" header="0.12" footer="0.3"/>
  <pageSetup paperSize="9" scale="75" orientation="landscape" horizontalDpi="120" verticalDpi="72"/>
  <headerFooter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2">
    <tabColor theme="0"/>
  </sheetPr>
  <dimension ref="A1:AK13"/>
  <sheetViews>
    <sheetView workbookViewId="0">
      <pane xSplit="3" ySplit="7" topLeftCell="AA8" activePane="bottomRight" state="frozen"/>
      <selection pane="topRight"/>
      <selection pane="bottomLeft"/>
      <selection pane="bottomRight" activeCell="AK17" sqref="AK17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34" width="4.8554687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1085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1086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10"/>
      <c r="B5" s="111"/>
      <c r="C5" s="112">
        <f>2384020</f>
        <v>2384020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85" t="s">
        <v>4</v>
      </c>
      <c r="C6" s="1065" t="s">
        <v>5</v>
      </c>
      <c r="D6" s="1083" t="s">
        <v>1087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 s="99" customFormat="1">
      <c r="A8" s="1089">
        <v>1</v>
      </c>
      <c r="B8" s="1102"/>
      <c r="C8" s="1104" t="s">
        <v>1088</v>
      </c>
      <c r="D8" s="115">
        <v>1</v>
      </c>
      <c r="E8" s="115"/>
      <c r="F8" s="115">
        <v>1</v>
      </c>
      <c r="G8" s="115">
        <v>1</v>
      </c>
      <c r="H8" s="115">
        <v>1</v>
      </c>
      <c r="I8" s="115">
        <v>1</v>
      </c>
      <c r="J8" s="115">
        <v>2</v>
      </c>
      <c r="K8" s="115">
        <v>2</v>
      </c>
      <c r="L8" s="115"/>
      <c r="M8" s="115">
        <v>2</v>
      </c>
      <c r="N8" s="115">
        <v>1</v>
      </c>
      <c r="O8" s="115">
        <v>1</v>
      </c>
      <c r="P8" s="115">
        <v>2</v>
      </c>
      <c r="Q8" s="115">
        <v>1</v>
      </c>
      <c r="R8" s="115">
        <v>1</v>
      </c>
      <c r="S8" s="115"/>
      <c r="T8" s="115">
        <v>1</v>
      </c>
      <c r="U8" s="115">
        <v>1</v>
      </c>
      <c r="V8" s="115">
        <v>1</v>
      </c>
      <c r="W8" s="115">
        <v>1</v>
      </c>
      <c r="X8" s="115">
        <v>1</v>
      </c>
      <c r="Y8" s="115">
        <v>1</v>
      </c>
      <c r="Z8" s="115"/>
      <c r="AA8" s="115">
        <v>1</v>
      </c>
      <c r="AB8" s="115">
        <v>1</v>
      </c>
      <c r="AC8" s="115">
        <v>1</v>
      </c>
      <c r="AD8" s="115">
        <v>1</v>
      </c>
      <c r="AE8" s="115">
        <v>1</v>
      </c>
      <c r="AF8" s="115">
        <v>1</v>
      </c>
      <c r="AG8" s="115"/>
      <c r="AH8" s="115"/>
      <c r="AI8" s="125">
        <f>SUM(D8:AH8)</f>
        <v>29</v>
      </c>
      <c r="AJ8" s="125"/>
      <c r="AK8" s="126"/>
    </row>
    <row r="9" s="99" customFormat="1">
      <c r="A9" s="1089"/>
      <c r="B9" s="1103"/>
      <c r="C9" s="1105"/>
      <c r="D9" s="116">
        <v>1.5</v>
      </c>
      <c r="E9" s="116"/>
      <c r="F9" s="116">
        <v>1.5</v>
      </c>
      <c r="G9" s="116">
        <v>1.5</v>
      </c>
      <c r="H9" s="116">
        <v>1.5</v>
      </c>
      <c r="I9" s="116">
        <v>1.5</v>
      </c>
      <c r="J9" s="116">
        <v>3.5</v>
      </c>
      <c r="K9" s="116">
        <v>3.5</v>
      </c>
      <c r="L9" s="116"/>
      <c r="M9" s="116">
        <v>3.5</v>
      </c>
      <c r="N9" s="116">
        <v>1.5</v>
      </c>
      <c r="O9" s="116">
        <v>1.5</v>
      </c>
      <c r="P9" s="116">
        <v>3.5</v>
      </c>
      <c r="Q9" s="116">
        <v>1.5</v>
      </c>
      <c r="R9" s="116">
        <v>1.5</v>
      </c>
      <c r="S9" s="116"/>
      <c r="T9" s="116">
        <v>1.5</v>
      </c>
      <c r="U9" s="116">
        <v>1.5</v>
      </c>
      <c r="V9" s="116">
        <v>1.5</v>
      </c>
      <c r="W9" s="116">
        <v>1.5</v>
      </c>
      <c r="X9" s="116">
        <v>1.5</v>
      </c>
      <c r="Y9" s="116">
        <v>1.5</v>
      </c>
      <c r="Z9" s="116"/>
      <c r="AA9" s="116">
        <v>1.5</v>
      </c>
      <c r="AB9" s="116">
        <v>1.5</v>
      </c>
      <c r="AC9" s="116">
        <v>1.5</v>
      </c>
      <c r="AD9" s="116">
        <v>1.5</v>
      </c>
      <c r="AE9" s="116">
        <v>1.5</v>
      </c>
      <c r="AF9" s="116">
        <v>1.5</v>
      </c>
      <c r="AG9" s="116"/>
      <c r="AH9" s="116"/>
      <c r="AI9" s="127">
        <f>SUM(D9:AH9)</f>
        <v>45.5</v>
      </c>
      <c r="AJ9" s="128">
        <f>+$C$5/173*AI9</f>
        <v>627011.040462428</v>
      </c>
      <c r="AK9" s="121"/>
    </row>
    <row r="10" s="99" customFormat="1">
      <c r="A10" s="1089">
        <v>1</v>
      </c>
      <c r="B10" s="1102"/>
      <c r="C10" s="1104" t="s">
        <v>1089</v>
      </c>
      <c r="D10" s="115">
        <v>1</v>
      </c>
      <c r="E10" s="115">
        <v>1</v>
      </c>
      <c r="F10" s="115"/>
      <c r="G10" s="115">
        <v>1</v>
      </c>
      <c r="H10" s="115">
        <v>2</v>
      </c>
      <c r="I10" s="115">
        <v>1</v>
      </c>
      <c r="J10" s="115">
        <v>1</v>
      </c>
      <c r="K10" s="115">
        <v>1</v>
      </c>
      <c r="L10" s="115"/>
      <c r="M10" s="115"/>
      <c r="N10" s="115">
        <v>1</v>
      </c>
      <c r="O10" s="115">
        <v>1</v>
      </c>
      <c r="P10" s="115">
        <v>1</v>
      </c>
      <c r="Q10" s="115">
        <v>1</v>
      </c>
      <c r="R10" s="115">
        <v>2</v>
      </c>
      <c r="S10" s="115">
        <v>2</v>
      </c>
      <c r="T10" s="115"/>
      <c r="U10" s="115">
        <v>1</v>
      </c>
      <c r="V10" s="115">
        <v>1</v>
      </c>
      <c r="W10" s="115">
        <v>1</v>
      </c>
      <c r="X10" s="115">
        <v>1</v>
      </c>
      <c r="Y10" s="115">
        <v>1</v>
      </c>
      <c r="Z10" s="115">
        <v>1</v>
      </c>
      <c r="AA10" s="115">
        <v>1</v>
      </c>
      <c r="AB10" s="115">
        <v>1</v>
      </c>
      <c r="AC10" s="115">
        <v>1</v>
      </c>
      <c r="AD10" s="115">
        <v>1</v>
      </c>
      <c r="AE10" s="115">
        <v>1</v>
      </c>
      <c r="AF10" s="115">
        <v>1</v>
      </c>
      <c r="AG10" s="115">
        <v>1</v>
      </c>
      <c r="AH10" s="115"/>
      <c r="AI10" s="125">
        <f>SUM(D10:AH10)</f>
        <v>29</v>
      </c>
      <c r="AJ10" s="125"/>
      <c r="AK10" s="126"/>
    </row>
    <row r="11" s="99" customFormat="1">
      <c r="A11" s="1089"/>
      <c r="B11" s="1103"/>
      <c r="C11" s="1105"/>
      <c r="D11" s="116">
        <v>1.5</v>
      </c>
      <c r="E11" s="116">
        <v>1.5</v>
      </c>
      <c r="F11" s="116"/>
      <c r="G11" s="116">
        <v>1.5</v>
      </c>
      <c r="H11" s="116">
        <v>3.5</v>
      </c>
      <c r="I11" s="116">
        <v>1.5</v>
      </c>
      <c r="J11" s="116">
        <v>1.5</v>
      </c>
      <c r="K11" s="116">
        <v>1.5</v>
      </c>
      <c r="L11" s="116"/>
      <c r="M11" s="116"/>
      <c r="N11" s="116">
        <v>1.5</v>
      </c>
      <c r="O11" s="116">
        <v>1.5</v>
      </c>
      <c r="P11" s="116">
        <v>1.5</v>
      </c>
      <c r="Q11" s="116">
        <v>1.5</v>
      </c>
      <c r="R11" s="116">
        <v>3.5</v>
      </c>
      <c r="S11" s="116">
        <v>3.5</v>
      </c>
      <c r="T11" s="116"/>
      <c r="U11" s="116">
        <v>1.5</v>
      </c>
      <c r="V11" s="116">
        <v>1.5</v>
      </c>
      <c r="W11" s="116">
        <v>1.5</v>
      </c>
      <c r="X11" s="116">
        <v>1.5</v>
      </c>
      <c r="Y11" s="116">
        <v>1.5</v>
      </c>
      <c r="Z11" s="116">
        <v>1.5</v>
      </c>
      <c r="AA11" s="116">
        <v>1.5</v>
      </c>
      <c r="AB11" s="116">
        <v>1.5</v>
      </c>
      <c r="AC11" s="116">
        <v>1.5</v>
      </c>
      <c r="AD11" s="116">
        <v>1.5</v>
      </c>
      <c r="AE11" s="116">
        <v>1.5</v>
      </c>
      <c r="AF11" s="116">
        <v>1.5</v>
      </c>
      <c r="AG11" s="116">
        <v>1.5</v>
      </c>
      <c r="AH11" s="116"/>
      <c r="AI11" s="127">
        <f>SUM(D11:AH11)</f>
        <v>45</v>
      </c>
      <c r="AJ11" s="128">
        <f>+$C$5/173*AI11</f>
        <v>620120.809248555</v>
      </c>
      <c r="AK11" s="121"/>
    </row>
    <row r="12" s="99" customFormat="1">
      <c r="A12" s="1089"/>
      <c r="B12" s="117"/>
      <c r="C12" s="118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25"/>
      <c r="AK12" s="126"/>
    </row>
    <row r="13" s="99" customFormat="1">
      <c r="A13" s="1089"/>
      <c r="B13" s="119"/>
      <c r="C13" s="120"/>
      <c r="D13" s="116"/>
      <c r="E13" s="116"/>
      <c r="F13" s="116"/>
      <c r="G13" s="116"/>
      <c r="H13" s="121"/>
      <c r="I13" s="121"/>
      <c r="J13" s="116"/>
      <c r="K13" s="116"/>
      <c r="L13" s="116"/>
      <c r="M13" s="116"/>
      <c r="N13" s="116"/>
      <c r="O13" s="121"/>
      <c r="P13" s="121"/>
      <c r="Q13" s="116"/>
      <c r="R13" s="116"/>
      <c r="S13" s="116"/>
      <c r="T13" s="116"/>
      <c r="U13" s="116"/>
      <c r="V13" s="121"/>
      <c r="W13" s="121"/>
      <c r="X13" s="116"/>
      <c r="Y13" s="116"/>
      <c r="Z13" s="121"/>
      <c r="AA13" s="116"/>
      <c r="AB13" s="116"/>
      <c r="AC13" s="116"/>
      <c r="AD13" s="116"/>
      <c r="AE13" s="116"/>
      <c r="AF13" s="116"/>
      <c r="AG13" s="116"/>
      <c r="AH13" s="116"/>
      <c r="AI13" s="121"/>
      <c r="AJ13" s="128">
        <f>+$C$5/173*AI13</f>
        <v>0</v>
      </c>
      <c r="AK13" s="121"/>
    </row>
  </sheetData>
  <mergeCells>
    <mergeCell ref="AI6:AI7"/>
    <mergeCell ref="AJ6:AJ7"/>
    <mergeCell ref="AK6:AK7"/>
    <mergeCell ref="D6:AH6"/>
    <mergeCell ref="A8:A9"/>
    <mergeCell ref="C6:C7"/>
    <mergeCell ref="C8:C9"/>
    <mergeCell ref="C10:C11"/>
    <mergeCell ref="A10:A11"/>
    <mergeCell ref="A12:A13"/>
    <mergeCell ref="B6:B7"/>
    <mergeCell ref="B8:B9"/>
    <mergeCell ref="B10:B11"/>
  </mergeCells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4">
    <tabColor theme="1"/>
  </sheetPr>
  <dimension ref="A1:AA30"/>
  <sheetViews>
    <sheetView zoomScale="85" zoomScaleNormal="85" workbookViewId="0">
      <selection activeCell="H5" sqref="H1:I1048576"/>
    </sheetView>
  </sheetViews>
  <sheetFormatPr defaultColWidth="9.140625" defaultRowHeight="12.75"/>
  <cols>
    <col min="1" max="1" width="3.85546875" customWidth="1" style="66"/>
    <col min="2" max="2" width="20.5703125" customWidth="1" style="66"/>
    <col min="3" max="3" width="20.5703125" customWidth="1" style="66"/>
    <col min="4" max="4" width="10.28515625" customWidth="1" style="66"/>
    <col min="5" max="5" width="11.7109375" customWidth="1" style="66"/>
    <col min="6" max="6" width="11.85546875" customWidth="1" style="66"/>
    <col min="7" max="7" width="11.140625" customWidth="1" style="66"/>
    <col min="8" max="9" hidden="1" width="12.42578125" customWidth="1" style="66"/>
    <col min="10" max="10" width="11.140625" customWidth="1" style="66"/>
    <col min="11" max="11" width="11.5703125" customWidth="1" style="66"/>
    <col min="12" max="12" width="2.42578125" customWidth="1" style="66"/>
    <col min="13" max="13" width="7" customWidth="1" style="66"/>
    <col min="14" max="14" width="10.7109375" customWidth="1" style="66"/>
    <col min="15" max="15" width="5" customWidth="1" style="66"/>
    <col min="16" max="16" width="11.28515625" customWidth="1" style="67"/>
    <col min="17" max="17" width="14.140625" customWidth="1" style="67"/>
    <col min="18" max="18" width="12.28515625" customWidth="1" style="67"/>
    <col min="19" max="19" width="12.140625" customWidth="1" style="66"/>
    <col min="20" max="20" width="12.7109375" customWidth="1" style="66"/>
    <col min="21" max="16384" width="9.140625" customWidth="1" style="66"/>
  </cols>
  <sheetData>
    <row r="1" ht="27">
      <c r="A1" s="1136" t="s">
        <v>34</v>
      </c>
      <c r="B1" s="1136"/>
      <c r="C1" s="1136"/>
      <c r="D1" s="1136"/>
      <c r="E1" s="1136"/>
      <c r="F1" s="1136"/>
      <c r="G1" s="1256" t="s">
        <v>1</v>
      </c>
      <c r="H1" s="1136"/>
      <c r="I1" s="1136"/>
      <c r="J1" s="1136"/>
      <c r="K1" s="1136"/>
      <c r="L1" s="1136"/>
      <c r="M1" s="1136"/>
      <c r="N1" s="1136"/>
      <c r="O1" s="1136"/>
      <c r="P1" s="1137"/>
      <c r="Q1" s="1137"/>
      <c r="R1" s="1137"/>
      <c r="S1" s="1136"/>
      <c r="T1" s="90"/>
      <c r="U1" s="90"/>
      <c r="V1" s="90"/>
      <c r="W1" s="90"/>
      <c r="X1" s="90"/>
      <c r="Y1" s="90"/>
      <c r="Z1" s="90"/>
      <c r="AA1" s="90"/>
    </row>
    <row r="2" ht="18">
      <c r="A2" s="1138" t="s">
        <v>1055</v>
      </c>
      <c r="B2" s="1138"/>
      <c r="C2" s="1138"/>
      <c r="D2" s="1138"/>
      <c r="E2" s="1138"/>
      <c r="F2" s="1138"/>
      <c r="G2" s="1138"/>
      <c r="H2" s="1138"/>
      <c r="I2" s="1138"/>
      <c r="J2" s="1138"/>
      <c r="K2" s="1138"/>
      <c r="L2" s="1138"/>
      <c r="M2" s="1138"/>
      <c r="N2" s="1138"/>
      <c r="O2" s="1138"/>
      <c r="P2" s="1139"/>
      <c r="Q2" s="1139"/>
      <c r="R2" s="1139"/>
      <c r="S2" s="1138"/>
      <c r="T2" s="91"/>
      <c r="U2" s="91"/>
      <c r="V2" s="91"/>
      <c r="W2" s="91"/>
      <c r="X2" s="91"/>
      <c r="Y2" s="91"/>
      <c r="Z2" s="91"/>
      <c r="AA2" s="91"/>
    </row>
    <row r="3">
      <c r="A3" s="1140" t="s">
        <v>1056</v>
      </c>
      <c r="B3" s="1140"/>
      <c r="C3" s="1140"/>
      <c r="D3" s="1140"/>
      <c r="E3" s="1140"/>
      <c r="F3" s="1140"/>
      <c r="G3" s="1140"/>
      <c r="H3" s="1140"/>
      <c r="I3" s="1140"/>
      <c r="J3" s="1140"/>
      <c r="K3" s="1140"/>
      <c r="L3" s="1140"/>
      <c r="M3" s="1140"/>
      <c r="N3" s="1140"/>
      <c r="O3" s="1140"/>
      <c r="P3" s="1141"/>
      <c r="Q3" s="1141"/>
      <c r="R3" s="1141"/>
      <c r="S3" s="1140"/>
      <c r="T3" s="92"/>
      <c r="U3" s="92"/>
      <c r="V3" s="92"/>
      <c r="W3" s="92"/>
      <c r="X3" s="92"/>
      <c r="Y3" s="92"/>
      <c r="Z3" s="92"/>
      <c r="AA3" s="92"/>
    </row>
    <row r="4" ht="15">
      <c r="A4" s="1140" t="s">
        <v>1057</v>
      </c>
      <c r="B4" s="1140"/>
      <c r="C4" s="1140"/>
      <c r="D4" s="1140"/>
      <c r="E4" s="1140"/>
      <c r="F4" s="1140"/>
      <c r="G4" s="1140"/>
      <c r="H4" s="1140"/>
      <c r="I4" s="1140"/>
      <c r="J4" s="1140"/>
      <c r="K4" s="1140"/>
      <c r="L4" s="1140"/>
      <c r="M4" s="1140"/>
      <c r="N4" s="1140"/>
      <c r="O4" s="1140"/>
      <c r="P4" s="1141"/>
      <c r="Q4" s="1141"/>
      <c r="R4" s="1141"/>
      <c r="S4" s="1140"/>
      <c r="T4" s="92"/>
      <c r="U4" s="92"/>
      <c r="V4" s="92"/>
      <c r="W4" s="92"/>
      <c r="X4" s="92"/>
      <c r="Y4" s="92"/>
      <c r="Z4" s="92"/>
      <c r="AA4" s="92"/>
    </row>
    <row r="5">
      <c r="A5" s="68"/>
      <c r="B5" s="68"/>
      <c r="C5" s="68"/>
      <c r="D5" s="68"/>
      <c r="E5" s="68"/>
      <c r="F5" s="68"/>
      <c r="G5" s="68"/>
      <c r="H5" s="68"/>
      <c r="I5" s="68"/>
      <c r="J5" s="68"/>
      <c r="K5" s="79"/>
      <c r="L5" s="77"/>
      <c r="M5" s="68"/>
      <c r="N5" s="68"/>
      <c r="O5" s="68"/>
      <c r="P5" s="80"/>
      <c r="Q5" s="80"/>
      <c r="R5" s="93"/>
      <c r="S5" s="68"/>
    </row>
    <row r="6">
      <c r="A6" s="69"/>
      <c r="B6" s="69"/>
      <c r="C6" s="69"/>
      <c r="D6" s="69"/>
      <c r="E6" s="69"/>
      <c r="F6" s="69"/>
      <c r="G6" s="69"/>
      <c r="H6" s="69"/>
      <c r="I6" s="69"/>
      <c r="J6" s="69"/>
      <c r="K6" s="81"/>
      <c r="L6" s="77"/>
      <c r="M6" s="68"/>
      <c r="N6" s="68"/>
      <c r="O6" s="68"/>
      <c r="P6" s="80"/>
      <c r="Q6" s="80"/>
      <c r="R6" s="93"/>
      <c r="S6" s="68"/>
    </row>
    <row r="8" ht="18.75">
      <c r="A8" s="1142" t="s">
        <v>1058</v>
      </c>
      <c r="B8" s="1142"/>
      <c r="C8" s="1142"/>
      <c r="D8" s="1142"/>
      <c r="E8" s="1142"/>
      <c r="F8" s="1142"/>
      <c r="G8" s="1142"/>
      <c r="H8" s="1142"/>
      <c r="I8" s="1142"/>
      <c r="J8" s="1142"/>
      <c r="K8" s="1142"/>
      <c r="L8" s="1142"/>
      <c r="M8" s="1142"/>
      <c r="N8" s="1142"/>
      <c r="O8" s="1142"/>
      <c r="P8" s="1143"/>
      <c r="Q8" s="1143"/>
      <c r="R8" s="1144"/>
      <c r="S8" s="1142"/>
    </row>
    <row r="9">
      <c r="D9" s="70"/>
    </row>
    <row r="10">
      <c r="A10" s="1146" t="s">
        <v>1059</v>
      </c>
      <c r="B10" s="1146" t="s">
        <v>1060</v>
      </c>
      <c r="C10" s="1146" t="s">
        <v>1061</v>
      </c>
      <c r="D10" s="1152" t="s">
        <v>1062</v>
      </c>
      <c r="E10" s="1153"/>
      <c r="F10" s="1153"/>
      <c r="G10" s="1153"/>
      <c r="H10" s="1153"/>
      <c r="I10" s="71"/>
      <c r="J10" s="1146" t="s">
        <v>1063</v>
      </c>
      <c r="K10" s="1146" t="s">
        <v>1064</v>
      </c>
      <c r="L10" s="68"/>
      <c r="M10" s="1151" t="s">
        <v>1065</v>
      </c>
      <c r="N10" s="1151"/>
      <c r="O10" s="1151"/>
      <c r="P10" s="1147" t="s">
        <v>1066</v>
      </c>
      <c r="Q10" s="1147"/>
      <c r="R10" s="1147" t="s">
        <v>1067</v>
      </c>
      <c r="S10" s="1148" t="s">
        <v>1046</v>
      </c>
    </row>
    <row r="11">
      <c r="A11" s="1146"/>
      <c r="B11" s="1146"/>
      <c r="C11" s="1146"/>
      <c r="D11" s="1146" t="s">
        <v>1068</v>
      </c>
      <c r="E11" s="1152" t="s">
        <v>1069</v>
      </c>
      <c r="F11" s="1153"/>
      <c r="G11" s="1153"/>
      <c r="H11" s="1153"/>
      <c r="I11" s="71"/>
      <c r="J11" s="1146"/>
      <c r="K11" s="1146"/>
      <c r="L11" s="68"/>
      <c r="M11" s="1151"/>
      <c r="N11" s="1151"/>
      <c r="O11" s="1151"/>
      <c r="P11" s="1147"/>
      <c r="Q11" s="1147"/>
      <c r="R11" s="1147"/>
      <c r="S11" s="1149"/>
    </row>
    <row r="12" ht="25.5">
      <c r="A12" s="1146"/>
      <c r="B12" s="1146"/>
      <c r="C12" s="1146"/>
      <c r="D12" s="1146"/>
      <c r="E12" s="72" t="s">
        <v>1070</v>
      </c>
      <c r="F12" s="72" t="s">
        <v>1071</v>
      </c>
      <c r="G12" s="72" t="s">
        <v>1072</v>
      </c>
      <c r="H12" s="73" t="s">
        <v>1073</v>
      </c>
      <c r="I12" s="73" t="s">
        <v>1074</v>
      </c>
      <c r="J12" s="1146"/>
      <c r="K12" s="1146"/>
      <c r="L12" s="68"/>
      <c r="M12" s="82" t="s">
        <v>1075</v>
      </c>
      <c r="N12" s="82" t="s">
        <v>1076</v>
      </c>
      <c r="O12" s="82" t="s">
        <v>1046</v>
      </c>
      <c r="P12" s="83" t="s">
        <v>1077</v>
      </c>
      <c r="Q12" s="83" t="s">
        <v>1078</v>
      </c>
      <c r="R12" s="1147"/>
      <c r="S12" s="1150"/>
    </row>
    <row r="13" ht="14.25">
      <c r="A13" s="74">
        <v>1</v>
      </c>
      <c r="B13" s="75" t="s">
        <v>602</v>
      </c>
      <c r="C13" s="75" t="s">
        <v>1040</v>
      </c>
      <c r="D13" s="76">
        <v>3510723</v>
      </c>
      <c r="E13" s="76">
        <v>500000</v>
      </c>
      <c r="F13" s="76"/>
      <c r="G13" s="76">
        <v>200000</v>
      </c>
      <c r="H13" s="76"/>
      <c r="I13" s="76"/>
      <c r="J13" s="84">
        <f>SUM(D13:I13)</f>
        <v>4210723</v>
      </c>
      <c r="K13" s="84">
        <f>H13</f>
        <v>0</v>
      </c>
      <c r="L13" s="68"/>
      <c r="M13" s="74">
        <v>53</v>
      </c>
      <c r="N13" s="74"/>
      <c r="O13" s="74">
        <f>SUM(M13:N13)</f>
        <v>53</v>
      </c>
      <c r="P13" s="85">
        <f>+(O13/51)*J13</f>
        <v>4375849.39215686</v>
      </c>
      <c r="Q13" s="94">
        <f>+(0/50)*K13</f>
        <v>0</v>
      </c>
      <c r="R13" s="95">
        <f>+Q13</f>
        <v>0</v>
      </c>
      <c r="S13" s="76">
        <f>SUM(P13:Q13)</f>
        <v>4375849.39215686</v>
      </c>
      <c r="T13" s="67"/>
    </row>
    <row r="14" ht="14.25">
      <c r="A14" s="74">
        <f>+A13+1</f>
        <v>2</v>
      </c>
      <c r="B14" s="75" t="s">
        <v>1042</v>
      </c>
      <c r="C14" s="75" t="s">
        <v>1041</v>
      </c>
      <c r="D14" s="76">
        <v>2515000</v>
      </c>
      <c r="E14" s="76">
        <v>500000</v>
      </c>
      <c r="F14" s="76"/>
      <c r="G14" s="76">
        <v>200000</v>
      </c>
      <c r="H14" s="76"/>
      <c r="I14" s="76"/>
      <c r="J14" s="84">
        <f ref="J14:J16" t="shared" si="0">SUM(D14:I14)</f>
        <v>3215000</v>
      </c>
      <c r="K14" s="84">
        <f ref="K14:K16" t="shared" si="1">H14</f>
        <v>0</v>
      </c>
      <c r="L14" s="68"/>
      <c r="M14" s="74">
        <v>68</v>
      </c>
      <c r="N14" s="74"/>
      <c r="O14" s="74">
        <f ref="O14:O15" t="shared" si="2">SUM(M14:N14)</f>
        <v>68</v>
      </c>
      <c r="P14" s="85">
        <f>+(O14/68)*J14</f>
        <v>3215000</v>
      </c>
      <c r="Q14" s="94">
        <f>+(0/50)*K14</f>
        <v>0</v>
      </c>
      <c r="R14" s="95">
        <f ref="R14:R17" t="shared" si="4">+Q14</f>
        <v>0</v>
      </c>
      <c r="S14" s="76">
        <f ref="S14:S17" t="shared" si="5">SUM(P14:Q14)</f>
        <v>3215000</v>
      </c>
      <c r="T14" s="67"/>
    </row>
    <row r="15">
      <c r="A15" s="74">
        <f>+A14+1</f>
        <v>3</v>
      </c>
      <c r="B15" s="75" t="s">
        <v>1044</v>
      </c>
      <c r="C15" s="75" t="s">
        <v>1043</v>
      </c>
      <c r="D15" s="76">
        <v>2515000</v>
      </c>
      <c r="E15" s="76">
        <v>500000</v>
      </c>
      <c r="F15" s="76"/>
      <c r="G15" s="76">
        <v>200000</v>
      </c>
      <c r="H15" s="76"/>
      <c r="I15" s="76"/>
      <c r="J15" s="84">
        <f t="shared" si="0"/>
        <v>3215000</v>
      </c>
      <c r="K15" s="84">
        <f t="shared" si="1"/>
        <v>0</v>
      </c>
      <c r="L15" s="68"/>
      <c r="M15" s="74">
        <v>0</v>
      </c>
      <c r="N15" s="74"/>
      <c r="O15" s="74">
        <f t="shared" si="2"/>
        <v>0</v>
      </c>
      <c r="P15" s="85">
        <f>+(O15/51)*J15</f>
        <v>0</v>
      </c>
      <c r="Q15" s="85">
        <f>+J15</f>
        <v>3215000</v>
      </c>
      <c r="R15" s="95">
        <f t="shared" si="4"/>
        <v>3215000</v>
      </c>
      <c r="S15" s="76">
        <f t="shared" si="5"/>
        <v>3215000</v>
      </c>
      <c r="T15" s="67"/>
    </row>
    <row r="16">
      <c r="A16" s="74">
        <v>4</v>
      </c>
      <c r="B16" s="75" t="s">
        <v>435</v>
      </c>
      <c r="C16" s="75" t="s">
        <v>1045</v>
      </c>
      <c r="D16" s="76">
        <v>2877448</v>
      </c>
      <c r="E16" s="76">
        <v>500000</v>
      </c>
      <c r="F16" s="76"/>
      <c r="G16" s="76">
        <v>200000</v>
      </c>
      <c r="H16" s="76"/>
      <c r="I16" s="76"/>
      <c r="J16" s="84">
        <f t="shared" si="0"/>
        <v>3577448</v>
      </c>
      <c r="K16" s="84">
        <f t="shared" si="1"/>
        <v>0</v>
      </c>
      <c r="L16" s="68"/>
      <c r="M16" s="74">
        <v>74</v>
      </c>
      <c r="N16" s="74"/>
      <c r="O16" s="74">
        <f>SUM(M16:N16)</f>
        <v>74</v>
      </c>
      <c r="P16" s="85">
        <f>+(O16/74)*J16</f>
        <v>3577448</v>
      </c>
      <c r="Q16" s="85"/>
      <c r="R16" s="95">
        <f t="shared" si="4"/>
        <v>0</v>
      </c>
      <c r="S16" s="76">
        <f t="shared" si="5"/>
        <v>3577448</v>
      </c>
      <c r="T16" s="67"/>
    </row>
    <row r="17">
      <c r="A17" s="75"/>
      <c r="B17" s="75"/>
      <c r="C17" s="75"/>
      <c r="D17" s="76"/>
      <c r="E17" s="76"/>
      <c r="F17" s="76"/>
      <c r="G17" s="76"/>
      <c r="H17" s="76"/>
      <c r="I17" s="76"/>
      <c r="J17" s="86">
        <f>SUM(J13)</f>
        <v>4210723</v>
      </c>
      <c r="K17" s="86">
        <f>SUM(K13)</f>
        <v>0</v>
      </c>
      <c r="L17" s="68"/>
      <c r="M17" s="1145" t="s">
        <v>1079</v>
      </c>
      <c r="N17" s="1145"/>
      <c r="O17" s="1145"/>
      <c r="P17" s="87">
        <f>SUM(P13:P16)</f>
        <v>11168297.3921569</v>
      </c>
      <c r="Q17" s="87">
        <f>SUM(Q13:Q16)</f>
        <v>3215000</v>
      </c>
      <c r="R17" s="96">
        <f t="shared" si="4"/>
        <v>3215000</v>
      </c>
      <c r="S17" s="86">
        <f t="shared" si="5"/>
        <v>14383297.3921569</v>
      </c>
    </row>
    <row r="18">
      <c r="A18" s="68"/>
      <c r="B18" s="68"/>
      <c r="C18" s="68"/>
      <c r="D18" s="77"/>
      <c r="E18" s="77"/>
      <c r="F18" s="77"/>
      <c r="G18" s="77"/>
      <c r="H18" s="77"/>
      <c r="I18" s="77"/>
      <c r="J18" s="77"/>
      <c r="K18" s="77"/>
      <c r="L18" s="68"/>
      <c r="M18" s="68"/>
      <c r="N18" s="68"/>
      <c r="O18" s="68"/>
      <c r="P18" s="80"/>
      <c r="Q18" s="80"/>
      <c r="R18" s="93"/>
      <c r="S18" s="97"/>
    </row>
    <row r="19">
      <c r="A19" s="68"/>
      <c r="B19" s="68"/>
      <c r="C19" s="68"/>
      <c r="D19" s="77"/>
      <c r="E19" s="77"/>
      <c r="F19" s="77"/>
      <c r="G19" s="77"/>
      <c r="H19" s="77"/>
      <c r="I19" s="77"/>
      <c r="J19" s="77"/>
      <c r="K19" s="77"/>
      <c r="L19" s="68"/>
      <c r="M19" s="68"/>
      <c r="N19" s="68"/>
      <c r="O19" s="68"/>
      <c r="P19" s="80"/>
      <c r="Q19" s="989" t="s">
        <v>1080</v>
      </c>
      <c r="R19" s="93"/>
    </row>
    <row r="20">
      <c r="A20" s="68"/>
      <c r="B20" s="68"/>
      <c r="C20" s="68"/>
      <c r="D20" s="77"/>
      <c r="E20" s="77"/>
      <c r="F20" s="77"/>
      <c r="G20" s="77"/>
      <c r="H20" s="77"/>
      <c r="I20" s="77"/>
      <c r="J20" s="77"/>
      <c r="K20" s="77"/>
      <c r="L20" s="68"/>
      <c r="M20" s="68"/>
      <c r="N20" s="68"/>
      <c r="O20" s="68"/>
      <c r="P20" s="80"/>
      <c r="Q20" s="80" t="s">
        <v>1081</v>
      </c>
      <c r="R20" s="93"/>
    </row>
    <row r="21">
      <c r="A21" s="68"/>
      <c r="B21" s="68"/>
      <c r="C21" s="68"/>
      <c r="D21" s="77"/>
      <c r="E21" s="77"/>
      <c r="F21" s="77"/>
      <c r="G21" s="77"/>
      <c r="H21" s="77"/>
      <c r="I21" s="77"/>
      <c r="J21" s="77"/>
      <c r="K21" s="77"/>
      <c r="L21" s="68"/>
      <c r="M21" s="68"/>
      <c r="N21" s="68"/>
      <c r="O21" s="68"/>
      <c r="P21" s="80"/>
      <c r="Q21" s="80"/>
      <c r="R21" s="93"/>
      <c r="S21" s="68"/>
    </row>
    <row r="22">
      <c r="L22" s="88"/>
    </row>
    <row r="24">
      <c r="L24" s="88"/>
    </row>
    <row r="25">
      <c r="L25" s="89"/>
    </row>
    <row r="26">
      <c r="B26" s="66" t="s">
        <v>1082</v>
      </c>
      <c r="D26" s="66" t="s">
        <v>1083</v>
      </c>
    </row>
    <row r="27">
      <c r="B27" s="66" t="s">
        <v>602</v>
      </c>
      <c r="D27" s="66">
        <v>37</v>
      </c>
    </row>
    <row r="28">
      <c r="B28" s="66" t="s">
        <v>1084</v>
      </c>
      <c r="D28" s="66">
        <v>3</v>
      </c>
    </row>
    <row r="29">
      <c r="B29" s="66" t="s">
        <v>737</v>
      </c>
      <c r="D29" s="66">
        <v>13</v>
      </c>
    </row>
    <row r="30">
      <c r="D30" s="78">
        <f>SUM(D27:D29)</f>
        <v>53</v>
      </c>
    </row>
  </sheetData>
  <mergeCells>
    <mergeCell ref="R10:R12"/>
    <mergeCell ref="S10:S12"/>
    <mergeCell ref="M10:O11"/>
    <mergeCell ref="P10:Q11"/>
    <mergeCell ref="D10:H10"/>
    <mergeCell ref="E11:H11"/>
    <mergeCell ref="M17:O17"/>
    <mergeCell ref="A10:A12"/>
    <mergeCell ref="B10:B12"/>
    <mergeCell ref="C10:C12"/>
    <mergeCell ref="D11:D12"/>
    <mergeCell ref="J10:J12"/>
    <mergeCell ref="K10:K12"/>
    <mergeCell ref="A1:S1"/>
    <mergeCell ref="A2:S2"/>
    <mergeCell ref="A3:S3"/>
    <mergeCell ref="A4:S4"/>
    <mergeCell ref="A8:S8"/>
  </mergeCells>
  <printOptions horizontalCentered="1"/>
  <pageMargins left="0" right="0" top="0.74791666666666701" bottom="0.74791666666666701" header="0.31388888888888899" footer="0.31388888888888899"/>
  <pageSetup paperSize="9" scale="75" orientation="landscape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4">
    <tabColor theme="0"/>
  </sheetPr>
  <dimension ref="A1:AK19"/>
  <sheetViews>
    <sheetView topLeftCell="A2" workbookViewId="0">
      <pane xSplit="4" ySplit="6" topLeftCell="P8" activePane="bottomRight" state="frozen"/>
      <selection pane="topRight"/>
      <selection pane="bottomLeft"/>
      <selection pane="bottomRight" activeCell="AJ15" sqref="AJ15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7" width="5" customWidth="1"/>
    <col min="8" max="8" width="4.85546875" customWidth="1"/>
    <col min="9" max="9" width="5.28515625" customWidth="1"/>
    <col min="10" max="21" width="5" customWidth="1"/>
    <col min="22" max="22" width="5.5703125" customWidth="1"/>
    <col min="23" max="33" width="5" customWidth="1"/>
    <col min="34" max="34" width="4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2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2" s="98" customFormat="1">
      <c r="A5" s="100"/>
      <c r="B5" s="101"/>
      <c r="C5" s="752">
        <f>2318000</f>
        <v>2318000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5" t="s">
        <v>4</v>
      </c>
      <c r="C6" s="1065" t="s">
        <v>5</v>
      </c>
      <c r="D6" s="1083" t="s">
        <v>6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>
      <c r="A8" s="1063">
        <v>1</v>
      </c>
      <c r="B8" s="1088">
        <v>473</v>
      </c>
      <c r="C8" s="1067" t="s">
        <v>11</v>
      </c>
      <c r="D8" s="753">
        <v>2</v>
      </c>
      <c r="E8" s="753"/>
      <c r="F8" s="753"/>
      <c r="G8" s="753">
        <v>3</v>
      </c>
      <c r="H8" s="753"/>
      <c r="I8" s="753">
        <v>2</v>
      </c>
      <c r="J8" s="756"/>
      <c r="K8" s="756">
        <v>2</v>
      </c>
      <c r="L8" s="756"/>
      <c r="M8" s="756"/>
      <c r="N8" s="756">
        <v>2</v>
      </c>
      <c r="O8" s="756"/>
      <c r="P8" s="756">
        <v>3</v>
      </c>
      <c r="Q8" s="756"/>
      <c r="R8" s="756">
        <v>2</v>
      </c>
      <c r="S8" s="756"/>
      <c r="T8" s="756">
        <v>3</v>
      </c>
      <c r="U8" s="756"/>
      <c r="V8" s="756"/>
      <c r="W8" s="756">
        <v>2</v>
      </c>
      <c r="X8" s="756"/>
      <c r="Y8" s="756">
        <v>2</v>
      </c>
      <c r="Z8" s="756"/>
      <c r="AA8" s="756">
        <v>2</v>
      </c>
      <c r="AB8" s="756"/>
      <c r="AC8" s="756">
        <v>2</v>
      </c>
      <c r="AD8" s="756"/>
      <c r="AE8" s="756"/>
      <c r="AF8" s="756"/>
      <c r="AG8" s="753">
        <v>3</v>
      </c>
      <c r="AH8" s="753"/>
      <c r="AI8" s="753">
        <f>SUM(D8:AH8)</f>
        <v>30</v>
      </c>
      <c r="AJ8" s="125"/>
      <c r="AK8" s="758"/>
    </row>
    <row r="9">
      <c r="A9" s="1063"/>
      <c r="B9" s="1074"/>
      <c r="C9" s="1068"/>
      <c r="D9" s="754">
        <v>3.5</v>
      </c>
      <c r="E9" s="754"/>
      <c r="F9" s="754"/>
      <c r="G9" s="754">
        <v>5.5</v>
      </c>
      <c r="H9" s="755"/>
      <c r="I9" s="754">
        <v>3.5</v>
      </c>
      <c r="J9" s="757"/>
      <c r="K9" s="754">
        <v>3.5</v>
      </c>
      <c r="L9" s="757"/>
      <c r="M9" s="757"/>
      <c r="N9" s="754">
        <v>3.5</v>
      </c>
      <c r="O9" s="755"/>
      <c r="P9" s="754">
        <v>5.5</v>
      </c>
      <c r="Q9" s="757"/>
      <c r="R9" s="754">
        <v>3.5</v>
      </c>
      <c r="S9" s="757"/>
      <c r="T9" s="754">
        <v>5.5</v>
      </c>
      <c r="U9" s="757"/>
      <c r="V9" s="755"/>
      <c r="W9" s="754">
        <v>3.5</v>
      </c>
      <c r="X9" s="757"/>
      <c r="Y9" s="754">
        <v>3.5</v>
      </c>
      <c r="Z9" s="755"/>
      <c r="AA9" s="754">
        <v>3.5</v>
      </c>
      <c r="AB9" s="757"/>
      <c r="AC9" s="754">
        <v>3.5</v>
      </c>
      <c r="AD9" s="757"/>
      <c r="AE9" s="757"/>
      <c r="AF9" s="757"/>
      <c r="AG9" s="754">
        <v>5.5</v>
      </c>
      <c r="AH9" s="754"/>
      <c r="AI9" s="755">
        <f>SUM(D9:AH9)</f>
        <v>53.5</v>
      </c>
      <c r="AJ9" s="128">
        <f>+$C$5/173*AI9</f>
        <v>716838.150289017</v>
      </c>
      <c r="AK9" s="755"/>
    </row>
    <row r="10">
      <c r="A10" s="1063">
        <f>+A8+1</f>
        <v>2</v>
      </c>
      <c r="B10" s="1088"/>
      <c r="C10" s="1067" t="s">
        <v>12</v>
      </c>
      <c r="D10" s="753"/>
      <c r="E10" s="753"/>
      <c r="F10" s="753"/>
      <c r="G10" s="753">
        <v>5</v>
      </c>
      <c r="H10" s="753"/>
      <c r="I10" s="753"/>
      <c r="J10" s="756"/>
      <c r="K10" s="756"/>
      <c r="L10" s="756"/>
      <c r="M10" s="756">
        <v>5</v>
      </c>
      <c r="N10" s="756">
        <v>5</v>
      </c>
      <c r="O10" s="756"/>
      <c r="P10" s="756"/>
      <c r="Q10" s="756"/>
      <c r="R10" s="756"/>
      <c r="S10" s="756"/>
      <c r="T10" s="756"/>
      <c r="U10" s="756"/>
      <c r="V10" s="756">
        <v>5</v>
      </c>
      <c r="W10" s="756"/>
      <c r="X10" s="756"/>
      <c r="Y10" s="756"/>
      <c r="Z10" s="756">
        <v>5</v>
      </c>
      <c r="AA10" s="756"/>
      <c r="AB10" s="756"/>
      <c r="AC10" s="756"/>
      <c r="AD10" s="756">
        <v>5</v>
      </c>
      <c r="AE10" s="756"/>
      <c r="AF10" s="756"/>
      <c r="AG10" s="753"/>
      <c r="AH10" s="753"/>
      <c r="AI10" s="753">
        <f ref="AI10:AI19" t="shared" si="1">SUM(D10:AH10)</f>
        <v>30</v>
      </c>
      <c r="AJ10" s="125"/>
      <c r="AK10" s="758"/>
    </row>
    <row r="11">
      <c r="A11" s="1063"/>
      <c r="B11" s="1074"/>
      <c r="C11" s="1068"/>
      <c r="D11" s="754"/>
      <c r="E11" s="754"/>
      <c r="F11" s="754"/>
      <c r="G11" s="754">
        <v>9.5</v>
      </c>
      <c r="H11" s="755"/>
      <c r="I11" s="755"/>
      <c r="J11" s="757"/>
      <c r="K11" s="757"/>
      <c r="L11" s="757"/>
      <c r="M11" s="754">
        <v>9.5</v>
      </c>
      <c r="N11" s="754">
        <v>9.5</v>
      </c>
      <c r="O11" s="755"/>
      <c r="P11" s="755"/>
      <c r="Q11" s="757"/>
      <c r="R11" s="757"/>
      <c r="S11" s="757"/>
      <c r="T11" s="757"/>
      <c r="U11" s="757"/>
      <c r="V11" s="754">
        <v>9.5</v>
      </c>
      <c r="W11" s="755"/>
      <c r="X11" s="757"/>
      <c r="Y11" s="757"/>
      <c r="Z11" s="754">
        <v>9.5</v>
      </c>
      <c r="AA11" s="757"/>
      <c r="AB11" s="757"/>
      <c r="AC11" s="757"/>
      <c r="AD11" s="754">
        <v>9.5</v>
      </c>
      <c r="AE11" s="757"/>
      <c r="AF11" s="757"/>
      <c r="AG11" s="754"/>
      <c r="AH11" s="754"/>
      <c r="AI11" s="755">
        <f t="shared" si="1"/>
        <v>57</v>
      </c>
      <c r="AJ11" s="128">
        <f>+$C$5/173*AI11</f>
        <v>763734.104046243</v>
      </c>
      <c r="AK11" s="755"/>
    </row>
    <row r="12">
      <c r="A12" s="1063">
        <f>+A10+1</f>
        <v>3</v>
      </c>
      <c r="B12" s="1088"/>
      <c r="C12" s="1067" t="s">
        <v>13</v>
      </c>
      <c r="D12" s="753"/>
      <c r="E12" s="753">
        <v>5</v>
      </c>
      <c r="F12" s="753"/>
      <c r="G12" s="753"/>
      <c r="H12" s="753"/>
      <c r="I12" s="753"/>
      <c r="J12" s="756">
        <v>5</v>
      </c>
      <c r="K12" s="756"/>
      <c r="L12" s="756"/>
      <c r="M12" s="756"/>
      <c r="N12" s="756">
        <v>5</v>
      </c>
      <c r="O12" s="756"/>
      <c r="P12" s="756"/>
      <c r="Q12" s="756">
        <v>5</v>
      </c>
      <c r="R12" s="756"/>
      <c r="S12" s="756"/>
      <c r="T12" s="756"/>
      <c r="U12" s="756"/>
      <c r="V12" s="756"/>
      <c r="W12" s="756"/>
      <c r="X12" s="756">
        <v>5</v>
      </c>
      <c r="Y12" s="756"/>
      <c r="Z12" s="756"/>
      <c r="AA12" s="756"/>
      <c r="AB12" s="756"/>
      <c r="AC12" s="756"/>
      <c r="AD12" s="756"/>
      <c r="AE12" s="756">
        <v>5</v>
      </c>
      <c r="AF12" s="756"/>
      <c r="AG12" s="753"/>
      <c r="AH12" s="753"/>
      <c r="AI12" s="753">
        <f t="shared" si="1"/>
        <v>30</v>
      </c>
      <c r="AJ12" s="125"/>
      <c r="AK12" s="758"/>
    </row>
    <row r="13">
      <c r="A13" s="1063"/>
      <c r="B13" s="1074"/>
      <c r="C13" s="1068"/>
      <c r="D13" s="754"/>
      <c r="E13" s="754">
        <v>9.5</v>
      </c>
      <c r="F13" s="754"/>
      <c r="G13" s="754"/>
      <c r="H13" s="755"/>
      <c r="I13" s="755"/>
      <c r="J13" s="754">
        <v>9.5</v>
      </c>
      <c r="K13" s="757"/>
      <c r="L13" s="757"/>
      <c r="M13" s="757"/>
      <c r="N13" s="754">
        <v>9.5</v>
      </c>
      <c r="O13" s="755"/>
      <c r="P13" s="755"/>
      <c r="Q13" s="754">
        <v>9.5</v>
      </c>
      <c r="R13" s="757"/>
      <c r="S13" s="757"/>
      <c r="T13" s="757"/>
      <c r="U13" s="757"/>
      <c r="V13" s="755"/>
      <c r="W13" s="755"/>
      <c r="X13" s="754">
        <v>9.5</v>
      </c>
      <c r="Y13" s="757"/>
      <c r="Z13" s="755"/>
      <c r="AA13" s="757"/>
      <c r="AB13" s="757"/>
      <c r="AC13" s="757"/>
      <c r="AD13" s="757"/>
      <c r="AE13" s="754">
        <v>9.5</v>
      </c>
      <c r="AF13" s="757"/>
      <c r="AG13" s="754"/>
      <c r="AH13" s="754"/>
      <c r="AI13" s="755">
        <f t="shared" si="1"/>
        <v>57</v>
      </c>
      <c r="AJ13" s="128">
        <f>+$C$5/173*AI13</f>
        <v>763734.104046243</v>
      </c>
      <c r="AK13" s="755"/>
    </row>
    <row r="14">
      <c r="A14" s="1063">
        <f>+A12+1</f>
        <v>4</v>
      </c>
      <c r="B14" s="1088"/>
      <c r="C14" s="1067" t="s">
        <v>14</v>
      </c>
      <c r="D14" s="753">
        <v>2</v>
      </c>
      <c r="E14" s="753"/>
      <c r="F14" s="753"/>
      <c r="G14" s="753"/>
      <c r="H14" s="753">
        <v>3</v>
      </c>
      <c r="I14" s="753"/>
      <c r="J14" s="756"/>
      <c r="K14" s="756">
        <v>3</v>
      </c>
      <c r="L14" s="756"/>
      <c r="M14" s="756">
        <v>2</v>
      </c>
      <c r="N14" s="756"/>
      <c r="O14" s="756"/>
      <c r="P14" s="756">
        <v>3</v>
      </c>
      <c r="Q14" s="756"/>
      <c r="R14" s="756">
        <v>2</v>
      </c>
      <c r="S14" s="756"/>
      <c r="T14" s="756">
        <v>3</v>
      </c>
      <c r="U14" s="756"/>
      <c r="V14" s="756">
        <v>2</v>
      </c>
      <c r="W14" s="756">
        <v>2</v>
      </c>
      <c r="X14" s="756"/>
      <c r="Y14" s="756">
        <v>3</v>
      </c>
      <c r="Z14" s="756"/>
      <c r="AA14" s="756"/>
      <c r="AB14" s="756"/>
      <c r="AC14" s="756">
        <v>3</v>
      </c>
      <c r="AD14" s="756"/>
      <c r="AE14" s="756"/>
      <c r="AF14" s="756"/>
      <c r="AG14" s="753">
        <v>2</v>
      </c>
      <c r="AH14" s="753"/>
      <c r="AI14" s="753">
        <f t="shared" si="1"/>
        <v>30</v>
      </c>
      <c r="AJ14" s="125"/>
      <c r="AK14" s="758"/>
    </row>
    <row r="15">
      <c r="A15" s="1063"/>
      <c r="B15" s="1074"/>
      <c r="C15" s="1068"/>
      <c r="D15" s="754">
        <v>3.5</v>
      </c>
      <c r="E15" s="754"/>
      <c r="F15" s="754"/>
      <c r="G15" s="754"/>
      <c r="H15" s="754">
        <v>5.5</v>
      </c>
      <c r="I15" s="755"/>
      <c r="J15" s="757"/>
      <c r="K15" s="754">
        <v>5.5</v>
      </c>
      <c r="L15" s="757"/>
      <c r="M15" s="754">
        <v>3.5</v>
      </c>
      <c r="N15" s="757"/>
      <c r="O15" s="755"/>
      <c r="P15" s="754">
        <v>5.5</v>
      </c>
      <c r="Q15" s="757"/>
      <c r="R15" s="754">
        <v>3.5</v>
      </c>
      <c r="S15" s="757"/>
      <c r="T15" s="754">
        <v>5.5</v>
      </c>
      <c r="U15" s="757"/>
      <c r="V15" s="754">
        <v>3.5</v>
      </c>
      <c r="W15" s="754">
        <v>3.5</v>
      </c>
      <c r="X15" s="757"/>
      <c r="Y15" s="754">
        <v>5.5</v>
      </c>
      <c r="Z15" s="755"/>
      <c r="AA15" s="757"/>
      <c r="AB15" s="757"/>
      <c r="AC15" s="754">
        <v>5.5</v>
      </c>
      <c r="AD15" s="757"/>
      <c r="AE15" s="757"/>
      <c r="AF15" s="757"/>
      <c r="AG15" s="754">
        <v>3.5</v>
      </c>
      <c r="AH15" s="754"/>
      <c r="AI15" s="755">
        <f t="shared" si="1"/>
        <v>54</v>
      </c>
      <c r="AJ15" s="128">
        <f>+$C$5/173*AI15</f>
        <v>723537.572254335</v>
      </c>
      <c r="AK15" s="755"/>
    </row>
    <row r="16">
      <c r="A16" s="1063">
        <f>+A14+1</f>
        <v>5</v>
      </c>
      <c r="B16" s="1088"/>
      <c r="C16" s="1067" t="s">
        <v>15</v>
      </c>
      <c r="D16" s="753">
        <v>5</v>
      </c>
      <c r="E16" s="753"/>
      <c r="F16" s="753"/>
      <c r="G16" s="753"/>
      <c r="H16" s="753"/>
      <c r="I16" s="753"/>
      <c r="J16" s="756"/>
      <c r="K16" s="756"/>
      <c r="L16" s="756"/>
      <c r="M16" s="756"/>
      <c r="N16" s="756">
        <v>5</v>
      </c>
      <c r="O16" s="756"/>
      <c r="P16" s="756"/>
      <c r="Q16" s="756"/>
      <c r="R16" s="756"/>
      <c r="S16" s="756"/>
      <c r="T16" s="756"/>
      <c r="U16" s="756"/>
      <c r="V16" s="756">
        <v>5</v>
      </c>
      <c r="W16" s="756"/>
      <c r="X16" s="756">
        <v>5</v>
      </c>
      <c r="Y16" s="756"/>
      <c r="Z16" s="756"/>
      <c r="AA16" s="756"/>
      <c r="AB16" s="756">
        <v>5</v>
      </c>
      <c r="AC16" s="756"/>
      <c r="AD16" s="756">
        <v>5</v>
      </c>
      <c r="AE16" s="756"/>
      <c r="AF16" s="756"/>
      <c r="AG16" s="753"/>
      <c r="AH16" s="753"/>
      <c r="AI16" s="753">
        <f t="shared" si="1"/>
        <v>30</v>
      </c>
      <c r="AJ16" s="125"/>
      <c r="AK16" s="758"/>
    </row>
    <row r="17">
      <c r="A17" s="1063"/>
      <c r="B17" s="1074"/>
      <c r="C17" s="1068"/>
      <c r="D17" s="754">
        <v>9.5</v>
      </c>
      <c r="E17" s="754"/>
      <c r="F17" s="754"/>
      <c r="G17" s="754"/>
      <c r="H17" s="755"/>
      <c r="I17" s="755"/>
      <c r="J17" s="757"/>
      <c r="K17" s="757"/>
      <c r="L17" s="757"/>
      <c r="M17" s="757"/>
      <c r="N17" s="754">
        <v>9.5</v>
      </c>
      <c r="O17" s="755"/>
      <c r="P17" s="755"/>
      <c r="Q17" s="757"/>
      <c r="R17" s="757"/>
      <c r="S17" s="757"/>
      <c r="T17" s="757"/>
      <c r="U17" s="757"/>
      <c r="V17" s="754">
        <v>9.5</v>
      </c>
      <c r="W17" s="755"/>
      <c r="X17" s="754">
        <v>9.5</v>
      </c>
      <c r="Y17" s="757"/>
      <c r="Z17" s="755"/>
      <c r="AA17" s="757"/>
      <c r="AB17" s="754">
        <v>9.5</v>
      </c>
      <c r="AC17" s="757"/>
      <c r="AD17" s="754">
        <v>9.5</v>
      </c>
      <c r="AE17" s="757"/>
      <c r="AF17" s="757"/>
      <c r="AG17" s="754"/>
      <c r="AH17" s="754"/>
      <c r="AI17" s="755">
        <f t="shared" si="1"/>
        <v>57</v>
      </c>
      <c r="AJ17" s="128">
        <f>+$C$5/173*AI17</f>
        <v>763734.104046243</v>
      </c>
      <c r="AK17" s="755"/>
    </row>
    <row r="18">
      <c r="A18" s="1063">
        <f>+A16+1</f>
        <v>6</v>
      </c>
      <c r="B18" s="1088"/>
      <c r="C18" s="1067" t="s">
        <v>16</v>
      </c>
      <c r="D18" s="753">
        <v>5</v>
      </c>
      <c r="E18" s="753"/>
      <c r="F18" s="753"/>
      <c r="G18" s="753"/>
      <c r="H18" s="753"/>
      <c r="I18" s="753">
        <v>5</v>
      </c>
      <c r="J18" s="756"/>
      <c r="K18" s="756"/>
      <c r="L18" s="756"/>
      <c r="M18" s="756">
        <v>5</v>
      </c>
      <c r="N18" s="756"/>
      <c r="O18" s="756"/>
      <c r="P18" s="756"/>
      <c r="Q18" s="756"/>
      <c r="R18" s="756">
        <v>5</v>
      </c>
      <c r="S18" s="756"/>
      <c r="T18" s="756"/>
      <c r="U18" s="756"/>
      <c r="V18" s="756"/>
      <c r="W18" s="756"/>
      <c r="X18" s="756"/>
      <c r="Y18" s="756">
        <v>5</v>
      </c>
      <c r="Z18" s="756"/>
      <c r="AA18" s="756"/>
      <c r="AB18" s="756"/>
      <c r="AC18" s="756"/>
      <c r="AD18" s="756"/>
      <c r="AE18" s="756"/>
      <c r="AF18" s="756">
        <v>5</v>
      </c>
      <c r="AG18" s="753"/>
      <c r="AH18" s="753"/>
      <c r="AI18" s="753">
        <f t="shared" si="1"/>
        <v>30</v>
      </c>
      <c r="AJ18" s="125"/>
      <c r="AK18" s="758"/>
    </row>
    <row r="19">
      <c r="A19" s="1063"/>
      <c r="B19" s="1074"/>
      <c r="C19" s="1068"/>
      <c r="D19" s="754">
        <v>9.5</v>
      </c>
      <c r="E19" s="754"/>
      <c r="F19" s="754"/>
      <c r="G19" s="754"/>
      <c r="H19" s="755"/>
      <c r="I19" s="754">
        <v>9.5</v>
      </c>
      <c r="J19" s="757"/>
      <c r="K19" s="757"/>
      <c r="L19" s="757"/>
      <c r="M19" s="754">
        <v>9.5</v>
      </c>
      <c r="N19" s="754">
        <v>9.5</v>
      </c>
      <c r="O19" s="755"/>
      <c r="P19" s="755"/>
      <c r="Q19" s="757"/>
      <c r="R19" s="754">
        <v>9.5</v>
      </c>
      <c r="S19" s="757"/>
      <c r="T19" s="757"/>
      <c r="U19" s="757"/>
      <c r="V19" s="755"/>
      <c r="W19" s="755"/>
      <c r="X19" s="757"/>
      <c r="Y19" s="754">
        <v>9.5</v>
      </c>
      <c r="Z19" s="755"/>
      <c r="AA19" s="757"/>
      <c r="AB19" s="757"/>
      <c r="AC19" s="757"/>
      <c r="AD19" s="757"/>
      <c r="AE19" s="757"/>
      <c r="AF19" s="757"/>
      <c r="AG19" s="754"/>
      <c r="AH19" s="754"/>
      <c r="AI19" s="755">
        <f t="shared" si="1"/>
        <v>57</v>
      </c>
      <c r="AJ19" s="128">
        <f>+$C$5/173*AI19</f>
        <v>763734.104046243</v>
      </c>
      <c r="AK19" s="755"/>
    </row>
  </sheetData>
  <mergeCells>
    <mergeCell ref="C16:C17"/>
    <mergeCell ref="C18:C19"/>
    <mergeCell ref="AI6:AI7"/>
    <mergeCell ref="AJ6:AJ7"/>
    <mergeCell ref="AK6:AK7"/>
    <mergeCell ref="D6:AH6"/>
    <mergeCell ref="C6:C7"/>
    <mergeCell ref="C8:C9"/>
    <mergeCell ref="C10:C11"/>
    <mergeCell ref="C12:C13"/>
    <mergeCell ref="C14:C15"/>
    <mergeCell ref="A16:A17"/>
    <mergeCell ref="A18:A19"/>
    <mergeCell ref="B6:B7"/>
    <mergeCell ref="B8:B9"/>
    <mergeCell ref="B10:B11"/>
    <mergeCell ref="B12:B13"/>
    <mergeCell ref="B14:B15"/>
    <mergeCell ref="B16:B17"/>
    <mergeCell ref="B18:B19"/>
    <mergeCell ref="A8:A9"/>
    <mergeCell ref="A10:A11"/>
    <mergeCell ref="A12:A13"/>
    <mergeCell ref="A14:A15"/>
  </mergeCells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35">
    <tabColor rgb="FF92D050"/>
  </sheetPr>
  <dimension ref="A1:S44"/>
  <sheetViews>
    <sheetView zoomScale="70" zoomScaleNormal="70" workbookViewId="0">
      <selection activeCell="C2" sqref="C2"/>
    </sheetView>
  </sheetViews>
  <sheetFormatPr defaultColWidth="9.140625" defaultRowHeight="15"/>
  <cols>
    <col min="1" max="1" width="20.7109375" customWidth="1" style="2"/>
    <col min="2" max="2" width="4" customWidth="1" style="2"/>
    <col min="3" max="3" width="5.7109375" customWidth="1" style="2"/>
    <col min="4" max="4" width="5.7109375" customWidth="1" style="2"/>
    <col min="5" max="5" width="31.7109375" customWidth="1" style="2"/>
    <col min="6" max="6" width="28.28515625" customWidth="1" style="2"/>
    <col min="7" max="7" width="44.85546875" customWidth="1" style="3"/>
    <col min="8" max="9" width="16.42578125" customWidth="1" style="3"/>
    <col min="10" max="10" width="29.42578125" customWidth="1" style="3"/>
    <col min="11" max="11" width="5.7109375" customWidth="1" style="2"/>
    <col min="12" max="12" width="5.7109375" customWidth="1" style="3"/>
    <col min="13" max="13" width="13.28515625" customWidth="1" style="2"/>
    <col min="14" max="14" width="14.28515625" customWidth="1" style="2"/>
    <col min="15" max="15" width="9.140625" customWidth="1" style="2"/>
    <col min="16" max="16" width="16.5703125" customWidth="1" style="2"/>
    <col min="17" max="17" width="11.5703125" customWidth="1" style="2"/>
    <col min="18" max="18" width="15.42578125" customWidth="1" style="2"/>
    <col min="19" max="19" width="20.28515625" customWidth="1" style="4"/>
    <col min="20" max="20" width="11.5703125" customWidth="1" style="2"/>
    <col min="21" max="21" width="12.5703125" customWidth="1" style="2"/>
    <col min="22" max="16384" width="9.140625" customWidth="1" style="2"/>
  </cols>
  <sheetData>
    <row r="1" ht="36" customHeight="1">
      <c r="A1" s="5"/>
      <c r="B1" s="5"/>
      <c r="C1" s="5"/>
      <c r="D1" s="5"/>
      <c r="E1" s="5"/>
      <c r="F1" s="6"/>
      <c r="G1" s="1257" t="s">
        <v>1</v>
      </c>
      <c r="H1" s="7"/>
      <c r="I1" s="2"/>
      <c r="L1" s="2"/>
      <c r="S1" s="2"/>
    </row>
    <row r="2" ht="18.75">
      <c r="A2" s="8" t="s">
        <v>1018</v>
      </c>
      <c r="B2" s="8" t="s">
        <v>1019</v>
      </c>
      <c r="C2" s="8" t="s">
        <v>1020</v>
      </c>
      <c r="D2" s="8"/>
      <c r="E2" s="9"/>
      <c r="F2" s="7"/>
      <c r="G2" s="10" t="s">
        <v>1021</v>
      </c>
      <c r="H2" s="7"/>
      <c r="I2" s="2"/>
      <c r="L2" s="2"/>
      <c r="S2" s="2"/>
    </row>
    <row r="3" ht="18.75">
      <c r="A3" s="8" t="s">
        <v>1022</v>
      </c>
      <c r="B3" s="8" t="s">
        <v>1019</v>
      </c>
      <c r="C3" s="1122">
        <f>+'INVOICE AGUSTUS'!C3:E3</f>
        <v>44429</v>
      </c>
      <c r="D3" s="1122"/>
      <c r="E3" s="1122"/>
      <c r="F3" s="11"/>
      <c r="G3" s="12" t="s">
        <v>1023</v>
      </c>
      <c r="H3" s="11"/>
      <c r="I3" s="2"/>
      <c r="L3" s="2"/>
      <c r="S3" s="2"/>
    </row>
    <row r="4">
      <c r="A4" s="13"/>
      <c r="B4" s="13"/>
      <c r="C4" s="13"/>
      <c r="D4" s="13"/>
      <c r="E4" s="13"/>
      <c r="F4" s="14"/>
      <c r="G4" s="15" t="s">
        <v>1024</v>
      </c>
      <c r="H4" s="14"/>
      <c r="I4" s="2"/>
      <c r="L4" s="2"/>
      <c r="S4" s="2"/>
    </row>
    <row r="5">
      <c r="A5" s="13"/>
      <c r="B5" s="13"/>
      <c r="C5" s="13"/>
      <c r="D5" s="13"/>
      <c r="E5" s="13"/>
      <c r="F5" s="11"/>
      <c r="G5" s="12"/>
      <c r="H5" s="11"/>
      <c r="I5" s="2"/>
      <c r="L5" s="2"/>
      <c r="S5" s="2"/>
    </row>
    <row r="6">
      <c r="A6" s="16" t="s">
        <v>1025</v>
      </c>
      <c r="B6" s="13"/>
      <c r="C6" s="13"/>
      <c r="D6" s="13"/>
      <c r="E6" s="13"/>
      <c r="F6" s="14"/>
      <c r="G6" s="15" t="s">
        <v>1026</v>
      </c>
      <c r="H6" s="14"/>
      <c r="I6" s="2"/>
      <c r="L6" s="2"/>
      <c r="S6" s="2"/>
    </row>
    <row r="7">
      <c r="A7" s="17"/>
      <c r="F7" s="14"/>
      <c r="G7" s="15" t="s">
        <v>1027</v>
      </c>
      <c r="H7" s="14"/>
      <c r="I7" s="2"/>
      <c r="L7" s="2"/>
      <c r="S7" s="2"/>
    </row>
    <row r="8">
      <c r="A8" s="18" t="s">
        <v>41</v>
      </c>
      <c r="F8" s="14"/>
      <c r="G8" s="15" t="s">
        <v>1028</v>
      </c>
      <c r="H8" s="14"/>
      <c r="I8" s="2"/>
      <c r="L8" s="2"/>
      <c r="S8" s="2"/>
    </row>
    <row r="9">
      <c r="A9" s="19" t="s">
        <v>1029</v>
      </c>
      <c r="B9" s="13"/>
      <c r="C9" s="13"/>
      <c r="D9" s="13"/>
      <c r="E9" s="13"/>
      <c r="F9" s="14"/>
      <c r="G9" s="15" t="s">
        <v>1030</v>
      </c>
      <c r="H9" s="14"/>
      <c r="I9" s="2"/>
      <c r="L9" s="2"/>
      <c r="S9" s="2"/>
    </row>
    <row r="10">
      <c r="A10" s="20" t="s">
        <v>1031</v>
      </c>
      <c r="B10" s="21"/>
      <c r="C10" s="21"/>
      <c r="D10" s="21"/>
      <c r="E10" s="21"/>
      <c r="F10" s="14"/>
      <c r="G10" s="14"/>
      <c r="H10" s="14"/>
      <c r="I10" s="2"/>
      <c r="L10" s="2"/>
      <c r="S10" s="2"/>
    </row>
    <row r="11">
      <c r="A11" s="20" t="s">
        <v>1032</v>
      </c>
      <c r="B11" s="21"/>
      <c r="C11" s="21"/>
      <c r="D11" s="21"/>
      <c r="E11" s="21"/>
      <c r="F11" s="3"/>
      <c r="I11" s="2"/>
      <c r="L11" s="2"/>
      <c r="S11" s="2"/>
    </row>
    <row r="12">
      <c r="A12" s="18" t="s">
        <v>1033</v>
      </c>
      <c r="B12" s="21"/>
      <c r="C12" s="21"/>
      <c r="D12" s="21"/>
      <c r="E12" s="21"/>
      <c r="F12" s="3"/>
      <c r="I12" s="2"/>
      <c r="L12" s="2"/>
      <c r="S12" s="2"/>
    </row>
    <row r="13">
      <c r="A13" s="18" t="s">
        <v>1034</v>
      </c>
      <c r="B13" s="22"/>
      <c r="C13" s="22"/>
      <c r="D13" s="22"/>
      <c r="E13" s="21"/>
      <c r="F13" s="3"/>
      <c r="I13" s="2"/>
      <c r="L13" s="2"/>
      <c r="S13" s="2"/>
    </row>
    <row r="14" ht="15.75">
      <c r="A14" s="23"/>
      <c r="B14" s="21"/>
      <c r="C14" s="21"/>
      <c r="D14" s="21"/>
      <c r="E14" s="21"/>
      <c r="F14" s="3"/>
      <c r="I14" s="5"/>
      <c r="K14" s="5"/>
      <c r="L14" s="2"/>
      <c r="S14" s="2"/>
    </row>
    <row r="15">
      <c r="A15" s="24"/>
      <c r="B15" s="25"/>
      <c r="C15" s="25"/>
      <c r="D15" s="25"/>
      <c r="E15" s="25"/>
      <c r="F15" s="3"/>
      <c r="I15" s="5"/>
      <c r="K15" s="5"/>
      <c r="L15" s="2"/>
      <c r="S15" s="2"/>
    </row>
    <row r="16" ht="15.75" s="1" customFormat="1">
      <c r="A16" s="1154" t="s">
        <v>548</v>
      </c>
      <c r="B16" s="1155"/>
      <c r="C16" s="1155"/>
      <c r="D16" s="1155"/>
      <c r="E16" s="1155"/>
      <c r="F16" s="1156"/>
      <c r="G16" s="26" t="s">
        <v>1035</v>
      </c>
      <c r="H16" s="27"/>
      <c r="I16" s="3"/>
      <c r="J16" s="27"/>
      <c r="P16" s="58"/>
    </row>
    <row r="17" ht="15.75">
      <c r="A17" s="1157" t="s">
        <v>1036</v>
      </c>
      <c r="B17" s="1158"/>
      <c r="C17" s="1159"/>
      <c r="D17" s="28" t="s">
        <v>10</v>
      </c>
      <c r="E17" s="29" t="s">
        <v>1037</v>
      </c>
      <c r="F17" s="29" t="s">
        <v>1038</v>
      </c>
      <c r="G17" s="30" t="s">
        <v>1039</v>
      </c>
      <c r="H17" s="5"/>
      <c r="J17" s="5"/>
      <c r="L17" s="2"/>
      <c r="P17" s="4"/>
      <c r="S17" s="2"/>
    </row>
    <row r="18" ht="15.75" s="1" customFormat="1">
      <c r="A18" s="1160"/>
      <c r="B18" s="1161"/>
      <c r="C18" s="1162"/>
      <c r="D18" s="33">
        <v>1</v>
      </c>
      <c r="E18" s="990" t="s">
        <v>1040</v>
      </c>
      <c r="F18" s="990" t="s">
        <v>602</v>
      </c>
      <c r="G18" s="35">
        <f>+'sharing budget'!R13</f>
        <v>0</v>
      </c>
      <c r="H18" s="27"/>
      <c r="I18" s="59"/>
      <c r="J18" s="39"/>
      <c r="K18" s="60"/>
      <c r="N18" s="60"/>
      <c r="P18" s="58"/>
    </row>
    <row r="19" ht="15.75" s="1" customFormat="1">
      <c r="A19" s="31"/>
      <c r="B19" s="32"/>
      <c r="C19" s="33"/>
      <c r="D19" s="33">
        <v>2</v>
      </c>
      <c r="E19" s="990" t="s">
        <v>1041</v>
      </c>
      <c r="F19" s="990" t="s">
        <v>1042</v>
      </c>
      <c r="G19" s="35">
        <f>+'sharing budget'!Q14</f>
        <v>0</v>
      </c>
      <c r="H19" s="27"/>
      <c r="I19" s="59"/>
      <c r="J19" s="39"/>
      <c r="K19" s="60"/>
      <c r="N19" s="60"/>
      <c r="P19" s="58"/>
    </row>
    <row r="20" ht="15.75" s="1" customFormat="1">
      <c r="A20" s="31"/>
      <c r="B20" s="32"/>
      <c r="C20" s="33"/>
      <c r="D20" s="33">
        <v>3</v>
      </c>
      <c r="E20" s="990" t="s">
        <v>1043</v>
      </c>
      <c r="F20" s="990" t="s">
        <v>1044</v>
      </c>
      <c r="G20" s="35">
        <f>+'sharing budget'!Q15</f>
        <v>3215000</v>
      </c>
      <c r="H20" s="27"/>
      <c r="I20" s="59"/>
      <c r="J20" s="39"/>
      <c r="K20" s="60"/>
      <c r="N20" s="60"/>
      <c r="P20" s="58"/>
    </row>
    <row r="21" ht="15.75" s="1" customFormat="1">
      <c r="A21" s="31"/>
      <c r="B21" s="32"/>
      <c r="C21" s="33"/>
      <c r="D21" s="33">
        <v>4</v>
      </c>
      <c r="E21" s="990" t="s">
        <v>1045</v>
      </c>
      <c r="F21" s="990" t="s">
        <v>435</v>
      </c>
      <c r="G21" s="35">
        <f>+'sharing budget'!Q16</f>
        <v>0</v>
      </c>
      <c r="H21" s="27"/>
      <c r="I21" s="59"/>
      <c r="J21" s="39"/>
      <c r="K21" s="60"/>
      <c r="N21" s="60"/>
      <c r="P21" s="58"/>
    </row>
    <row r="22" ht="15.75" s="1" customFormat="1">
      <c r="A22" s="31"/>
      <c r="B22" s="32"/>
      <c r="C22" s="33"/>
      <c r="D22" s="33"/>
      <c r="E22" s="34"/>
      <c r="F22" s="34"/>
      <c r="G22" s="35"/>
      <c r="H22" s="27"/>
      <c r="I22" s="59"/>
      <c r="J22" s="39"/>
      <c r="K22" s="60"/>
      <c r="N22" s="60"/>
      <c r="P22" s="58"/>
    </row>
    <row r="23" ht="15.75">
      <c r="A23" s="1160"/>
      <c r="B23" s="1161"/>
      <c r="C23" s="1162"/>
      <c r="D23" s="33"/>
      <c r="E23" s="34"/>
      <c r="F23" s="34"/>
      <c r="G23" s="35"/>
      <c r="H23" s="5"/>
      <c r="J23" s="5"/>
      <c r="K23" s="60"/>
      <c r="L23" s="2"/>
      <c r="M23" s="61"/>
      <c r="N23" s="62"/>
      <c r="O23" s="4"/>
      <c r="P23" s="4"/>
      <c r="S23" s="2"/>
    </row>
    <row r="24" ht="15.75">
      <c r="A24" s="1166"/>
      <c r="B24" s="1167"/>
      <c r="C24" s="1168"/>
      <c r="D24" s="36"/>
      <c r="E24" s="37"/>
      <c r="F24" s="37"/>
      <c r="G24" s="38"/>
      <c r="H24" s="39"/>
      <c r="J24" s="39"/>
      <c r="L24" s="2"/>
      <c r="N24" s="60"/>
      <c r="P24" s="4"/>
      <c r="S24" s="2"/>
    </row>
    <row r="25" ht="15.75" s="1" customFormat="1">
      <c r="A25" s="1169" t="s">
        <v>1046</v>
      </c>
      <c r="B25" s="1170"/>
      <c r="C25" s="1170"/>
      <c r="D25" s="1170"/>
      <c r="E25" s="1171"/>
      <c r="F25" s="40"/>
      <c r="G25" s="41">
        <f>SUM(G18:G24)</f>
        <v>3215000</v>
      </c>
      <c r="H25" s="27"/>
      <c r="I25" s="59"/>
      <c r="J25" s="63"/>
      <c r="M25" s="2"/>
      <c r="N25" s="2"/>
      <c r="P25" s="58"/>
    </row>
    <row r="26" ht="15.75">
      <c r="A26" s="42"/>
      <c r="B26" s="42"/>
      <c r="C26" s="42"/>
      <c r="D26" s="42"/>
      <c r="E26" s="43"/>
      <c r="F26" s="43"/>
      <c r="G26" s="44"/>
      <c r="H26" s="45"/>
      <c r="J26" s="64"/>
      <c r="L26" s="2"/>
      <c r="M26" s="1"/>
      <c r="N26" s="1"/>
      <c r="P26" s="4"/>
      <c r="S26" s="2"/>
    </row>
    <row r="27" ht="15.75">
      <c r="A27" s="1172" t="s">
        <v>54</v>
      </c>
      <c r="B27" s="1173"/>
      <c r="C27" s="1173"/>
      <c r="D27" s="1173"/>
      <c r="E27" s="1174"/>
      <c r="F27" s="46"/>
      <c r="G27" s="47">
        <f>SUM(G25)</f>
        <v>3215000</v>
      </c>
      <c r="H27" s="48"/>
      <c r="I27" s="48"/>
      <c r="J27" s="48"/>
      <c r="K27" s="45"/>
      <c r="M27" s="64"/>
      <c r="S27" s="2"/>
    </row>
    <row r="28" ht="15.75">
      <c r="A28" s="1172" t="s">
        <v>49</v>
      </c>
      <c r="B28" s="1173"/>
      <c r="C28" s="1173"/>
      <c r="D28" s="1173"/>
      <c r="E28" s="1174"/>
      <c r="F28" s="46"/>
      <c r="G28" s="47">
        <v>0</v>
      </c>
      <c r="H28" s="48"/>
      <c r="I28" s="48"/>
      <c r="J28" s="48"/>
      <c r="K28" s="45"/>
      <c r="M28" s="64"/>
      <c r="S28" s="2"/>
    </row>
    <row r="29" ht="15.75">
      <c r="A29" s="1172" t="s">
        <v>1047</v>
      </c>
      <c r="B29" s="1173"/>
      <c r="C29" s="1173"/>
      <c r="D29" s="1173"/>
      <c r="E29" s="1174"/>
      <c r="F29" s="46"/>
      <c r="G29" s="49">
        <f>ROUNDDOWN(G27*10%,0)</f>
        <v>321500</v>
      </c>
      <c r="H29" s="50"/>
      <c r="I29" s="65"/>
      <c r="J29" s="50"/>
      <c r="K29" s="45"/>
      <c r="M29" s="39"/>
      <c r="S29" s="2"/>
    </row>
    <row r="30" ht="15.75">
      <c r="A30" s="1163" t="s">
        <v>1046</v>
      </c>
      <c r="B30" s="1164"/>
      <c r="C30" s="1164"/>
      <c r="D30" s="1164"/>
      <c r="E30" s="1165"/>
      <c r="F30" s="51"/>
      <c r="G30" s="52">
        <f>G27+G28+G29</f>
        <v>3536500</v>
      </c>
      <c r="H30" s="53"/>
      <c r="I30" s="53"/>
      <c r="J30" s="53"/>
      <c r="K30" s="45"/>
      <c r="M30" s="5"/>
      <c r="S30" s="2"/>
    </row>
    <row r="31">
      <c r="A31" s="25"/>
      <c r="B31" s="25"/>
      <c r="C31" s="25"/>
      <c r="D31" s="25"/>
      <c r="E31" s="25"/>
      <c r="F31" s="25"/>
      <c r="G31" s="15"/>
      <c r="H31" s="15"/>
      <c r="I31" s="15"/>
      <c r="J31" s="15"/>
      <c r="K31" s="5"/>
      <c r="M31" s="5"/>
      <c r="S31" s="2"/>
    </row>
    <row r="32">
      <c r="A32" s="54" t="s">
        <v>1048</v>
      </c>
      <c r="B32" s="24"/>
      <c r="C32" s="55"/>
      <c r="D32" s="55"/>
      <c r="E32" s="25"/>
      <c r="F32" s="25"/>
      <c r="G32" s="12" t="str">
        <f>+'INVOICE AGUSTUS'!I51</f>
        <v>Karawang, 21 Agustus  2021</v>
      </c>
      <c r="H32" s="15"/>
      <c r="I32" s="2"/>
      <c r="J32" s="15"/>
      <c r="K32" s="5"/>
      <c r="M32" s="5"/>
      <c r="S32" s="2"/>
    </row>
    <row r="33">
      <c r="A33" s="24"/>
      <c r="B33" s="25"/>
      <c r="C33" s="54" t="s">
        <v>1049</v>
      </c>
      <c r="D33" s="54"/>
      <c r="E33" s="25"/>
      <c r="F33" s="25"/>
      <c r="G33" s="12"/>
      <c r="H33" s="15"/>
      <c r="I33" s="2"/>
      <c r="J33" s="15"/>
      <c r="K33" s="5"/>
      <c r="S33" s="2"/>
    </row>
    <row r="34">
      <c r="A34" s="24"/>
      <c r="B34" s="25"/>
      <c r="C34" s="54" t="s">
        <v>1050</v>
      </c>
      <c r="D34" s="54"/>
      <c r="E34" s="25"/>
      <c r="F34" s="25"/>
      <c r="G34" s="12"/>
      <c r="H34" s="56"/>
      <c r="I34" s="2"/>
      <c r="J34" s="56"/>
      <c r="K34" s="5"/>
      <c r="S34" s="2"/>
    </row>
    <row r="35">
      <c r="A35" s="24"/>
      <c r="B35" s="25"/>
      <c r="C35" s="54" t="s">
        <v>1051</v>
      </c>
      <c r="D35" s="54"/>
      <c r="E35" s="25"/>
      <c r="F35" s="25"/>
      <c r="G35" s="12"/>
      <c r="H35" s="56"/>
      <c r="I35" s="2"/>
      <c r="J35" s="56"/>
      <c r="K35" s="5"/>
      <c r="S35" s="2"/>
    </row>
    <row r="36">
      <c r="A36" s="24"/>
      <c r="B36" s="25"/>
      <c r="C36" s="54" t="s">
        <v>1052</v>
      </c>
      <c r="D36" s="54"/>
      <c r="E36" s="25"/>
      <c r="F36" s="25"/>
      <c r="G36" s="12"/>
      <c r="H36" s="56"/>
      <c r="I36" s="2"/>
      <c r="J36" s="56"/>
      <c r="K36" s="5"/>
      <c r="S36" s="2"/>
    </row>
    <row r="37">
      <c r="A37" s="24"/>
      <c r="B37" s="25"/>
      <c r="C37" s="54"/>
      <c r="D37" s="54"/>
      <c r="E37" s="25"/>
      <c r="F37" s="25"/>
      <c r="G37" s="12"/>
      <c r="H37" s="56"/>
      <c r="I37" s="2"/>
      <c r="J37" s="56"/>
      <c r="K37" s="5"/>
      <c r="S37" s="2"/>
    </row>
    <row r="38">
      <c r="A38" s="24"/>
      <c r="B38" s="25"/>
      <c r="C38" s="54"/>
      <c r="D38" s="54"/>
      <c r="E38" s="25"/>
      <c r="F38" s="25"/>
      <c r="G38" s="12"/>
      <c r="H38" s="56"/>
      <c r="I38" s="2"/>
      <c r="J38" s="56"/>
      <c r="K38" s="5"/>
      <c r="S38" s="2"/>
    </row>
    <row r="39">
      <c r="A39" s="25"/>
      <c r="B39" s="25"/>
      <c r="C39" s="25"/>
      <c r="D39" s="25"/>
      <c r="E39" s="25"/>
      <c r="F39" s="25"/>
      <c r="G39" s="12"/>
      <c r="H39" s="56"/>
      <c r="I39" s="2"/>
      <c r="J39" s="56"/>
      <c r="K39" s="5"/>
      <c r="S39" s="2"/>
    </row>
    <row r="40">
      <c r="A40" s="25"/>
      <c r="B40" s="25"/>
      <c r="C40" s="25"/>
      <c r="D40" s="25"/>
      <c r="E40" s="25"/>
      <c r="F40" s="25"/>
      <c r="G40" s="12" t="s">
        <v>1053</v>
      </c>
      <c r="H40" s="56"/>
      <c r="I40" s="2"/>
      <c r="J40" s="56"/>
      <c r="K40" s="5"/>
      <c r="S40" s="2"/>
    </row>
    <row r="41">
      <c r="A41" s="25"/>
      <c r="B41" s="25"/>
      <c r="C41" s="25"/>
      <c r="D41" s="25"/>
      <c r="E41" s="25"/>
      <c r="F41" s="25"/>
      <c r="G41" s="12" t="s">
        <v>1054</v>
      </c>
      <c r="H41" s="56"/>
      <c r="I41" s="2"/>
      <c r="J41" s="56"/>
      <c r="K41" s="5"/>
      <c r="S41" s="2"/>
    </row>
    <row r="42">
      <c r="A42" s="5"/>
      <c r="B42" s="5"/>
      <c r="C42" s="5"/>
      <c r="D42" s="5"/>
      <c r="E42" s="5"/>
      <c r="F42" s="5"/>
      <c r="G42" s="2"/>
      <c r="H42" s="57"/>
      <c r="I42" s="57"/>
      <c r="J42" s="57"/>
      <c r="K42" s="5"/>
      <c r="S42" s="2"/>
    </row>
    <row r="43">
      <c r="A43" s="5"/>
      <c r="B43" s="5"/>
      <c r="C43" s="5"/>
      <c r="D43" s="5"/>
      <c r="E43" s="5"/>
      <c r="F43" s="5"/>
      <c r="G43" s="2"/>
      <c r="H43" s="57"/>
      <c r="I43" s="57"/>
      <c r="J43" s="57"/>
      <c r="K43" s="5"/>
      <c r="L43" s="2"/>
      <c r="S43" s="2"/>
    </row>
    <row r="44">
      <c r="K44" s="5"/>
      <c r="L44" s="2"/>
      <c r="S44" s="2"/>
    </row>
  </sheetData>
  <mergeCells>
    <mergeCell ref="A30:E30"/>
    <mergeCell ref="A24:C24"/>
    <mergeCell ref="A25:E25"/>
    <mergeCell ref="A27:E27"/>
    <mergeCell ref="A28:E28"/>
    <mergeCell ref="A29:E29"/>
    <mergeCell ref="C3:E3"/>
    <mergeCell ref="A16:F16"/>
    <mergeCell ref="A17:C17"/>
    <mergeCell ref="A18:C18"/>
    <mergeCell ref="A23:C23"/>
  </mergeCells>
  <printOptions horizontalCentered="1"/>
  <pageMargins left="0.11874999999999999" right="0.11874999999999999" top="0" bottom="0" header="0.3" footer="0.3"/>
  <pageSetup paperSize="9" scale="75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5">
    <tabColor theme="0"/>
  </sheetPr>
  <dimension ref="A1:AK11"/>
  <sheetViews>
    <sheetView topLeftCell="A4" workbookViewId="0">
      <pane xSplit="3" ySplit="4" topLeftCell="D8" activePane="bottomRight" state="frozen"/>
      <selection pane="topRight"/>
      <selection pane="bottomLeft"/>
      <selection pane="bottomRight" activeCell="L16" sqref="L16"/>
    </sheetView>
  </sheetViews>
  <sheetFormatPr defaultColWidth="9" defaultRowHeight="15"/>
  <cols>
    <col min="1" max="1" width="4.42578125" customWidth="1"/>
    <col min="2" max="2" width="4.140625" customWidth="1"/>
    <col min="3" max="3" width="24.85546875" customWidth="1"/>
    <col min="4" max="4" width="5.7109375" customWidth="1"/>
    <col min="5" max="5" width="5" customWidth="1"/>
    <col min="6" max="6" width="6.5703125" customWidth="1"/>
    <col min="7" max="12" width="5" customWidth="1"/>
    <col min="13" max="13" width="6.85546875" customWidth="1"/>
    <col min="14" max="15" width="5" customWidth="1"/>
    <col min="16" max="16" width="6" customWidth="1"/>
    <col min="17" max="19" width="5" customWidth="1"/>
    <col min="20" max="20" width="6.85546875" customWidth="1"/>
    <col min="21" max="31" width="5" customWidth="1"/>
    <col min="32" max="33" width="6" customWidth="1"/>
    <col min="34" max="34" width="5.5703125" customWidth="1"/>
    <col min="35" max="35" width="8.140625" customWidth="1"/>
    <col min="36" max="36" width="10.5703125" customWidth="1"/>
    <col min="38" max="38" width="11.5703125" customWidth="1"/>
  </cols>
  <sheetData>
    <row r="1" ht="11.25" s="98" customFormat="1">
      <c r="A1" s="100" t="s">
        <v>0</v>
      </c>
      <c r="B1" s="101"/>
      <c r="C1" s="102"/>
      <c r="D1" s="103"/>
      <c r="E1" s="103"/>
      <c r="F1" s="103"/>
      <c r="G1" s="1192" t="s">
        <v>1</v>
      </c>
      <c r="L1" s="122"/>
      <c r="T1" s="103"/>
      <c r="U1" s="123"/>
    </row>
    <row r="2" ht="11.25" s="98" customFormat="1">
      <c r="A2" s="100" t="s">
        <v>17</v>
      </c>
      <c r="B2" s="104"/>
      <c r="C2" s="105"/>
      <c r="D2" s="104"/>
      <c r="E2" s="104"/>
      <c r="F2" s="104"/>
      <c r="G2" s="106"/>
      <c r="H2" s="107"/>
      <c r="I2" s="107"/>
      <c r="J2" s="107"/>
      <c r="K2" s="107"/>
      <c r="L2" s="106"/>
      <c r="M2" s="106"/>
      <c r="N2" s="106"/>
      <c r="O2" s="106"/>
      <c r="P2" s="106"/>
      <c r="Q2" s="107"/>
      <c r="R2" s="107"/>
      <c r="S2" s="107"/>
      <c r="T2" s="104"/>
      <c r="U2" s="124"/>
    </row>
    <row r="3" ht="11.25" s="98" customFormat="1">
      <c r="A3" s="100" t="s">
        <v>1193</v>
      </c>
      <c r="B3" s="101"/>
      <c r="C3" s="102"/>
      <c r="D3" s="103"/>
      <c r="E3" s="103"/>
      <c r="F3" s="104"/>
      <c r="G3" s="108"/>
      <c r="H3" s="109"/>
      <c r="I3" s="109"/>
      <c r="L3" s="122"/>
      <c r="T3" s="103"/>
      <c r="U3" s="123"/>
    </row>
    <row r="4" ht="11.25" s="98" customFormat="1">
      <c r="A4" s="100"/>
      <c r="B4" s="101"/>
      <c r="C4" s="102"/>
      <c r="D4" s="103"/>
      <c r="E4" s="103"/>
      <c r="F4" s="104"/>
      <c r="G4" s="108"/>
      <c r="H4" s="109"/>
      <c r="I4" s="109"/>
      <c r="L4" s="122"/>
      <c r="T4" s="103"/>
      <c r="U4" s="123"/>
    </row>
    <row r="5" ht="11.25" s="98" customFormat="1">
      <c r="A5" s="100"/>
      <c r="B5" s="101"/>
      <c r="C5" s="682">
        <v>3940973</v>
      </c>
      <c r="D5" s="103"/>
      <c r="E5" s="103"/>
      <c r="F5" s="104"/>
      <c r="G5" s="108"/>
      <c r="H5" s="109"/>
      <c r="I5" s="109"/>
      <c r="L5" s="122"/>
      <c r="T5" s="103"/>
      <c r="U5" s="123"/>
    </row>
    <row r="6">
      <c r="B6" s="1065" t="s">
        <v>4</v>
      </c>
      <c r="C6" s="1065" t="s">
        <v>5</v>
      </c>
      <c r="D6" s="1083" t="s">
        <v>1194</v>
      </c>
      <c r="E6" s="1084"/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1084"/>
      <c r="R6" s="1084"/>
      <c r="S6" s="1084"/>
      <c r="T6" s="1084"/>
      <c r="U6" s="1084"/>
      <c r="V6" s="1084"/>
      <c r="W6" s="1084"/>
      <c r="X6" s="1084"/>
      <c r="Y6" s="1084"/>
      <c r="Z6" s="1084"/>
      <c r="AA6" s="1084"/>
      <c r="AB6" s="1084"/>
      <c r="AC6" s="1084"/>
      <c r="AD6" s="1084"/>
      <c r="AE6" s="1084"/>
      <c r="AF6" s="1084"/>
      <c r="AG6" s="1084"/>
      <c r="AH6" s="1084"/>
      <c r="AI6" s="1065" t="s">
        <v>7</v>
      </c>
      <c r="AJ6" s="1065" t="s">
        <v>8</v>
      </c>
      <c r="AK6" s="1065" t="s">
        <v>9</v>
      </c>
    </row>
    <row r="7">
      <c r="A7" s="100" t="s">
        <v>10</v>
      </c>
      <c r="B7" s="1066"/>
      <c r="C7" s="1066"/>
      <c r="D7" s="113">
        <v>1</v>
      </c>
      <c r="E7" s="114">
        <f>+D7+1</f>
        <v>2</v>
      </c>
      <c r="F7" s="114">
        <f ref="F7:AH7" t="shared" si="0">+E7+1</f>
        <v>3</v>
      </c>
      <c r="G7" s="114">
        <f t="shared" si="0"/>
        <v>4</v>
      </c>
      <c r="H7" s="114">
        <f t="shared" si="0"/>
        <v>5</v>
      </c>
      <c r="I7" s="114">
        <f t="shared" si="0"/>
        <v>6</v>
      </c>
      <c r="J7" s="114">
        <f t="shared" si="0"/>
        <v>7</v>
      </c>
      <c r="K7" s="113">
        <f t="shared" si="0"/>
        <v>8</v>
      </c>
      <c r="L7" s="114">
        <f t="shared" si="0"/>
        <v>9</v>
      </c>
      <c r="M7" s="114">
        <f t="shared" si="0"/>
        <v>10</v>
      </c>
      <c r="N7" s="114">
        <f t="shared" si="0"/>
        <v>11</v>
      </c>
      <c r="O7" s="114">
        <f t="shared" si="0"/>
        <v>12</v>
      </c>
      <c r="P7" s="114">
        <f t="shared" si="0"/>
        <v>13</v>
      </c>
      <c r="Q7" s="114">
        <f t="shared" si="0"/>
        <v>14</v>
      </c>
      <c r="R7" s="113">
        <f t="shared" si="0"/>
        <v>15</v>
      </c>
      <c r="S7" s="114">
        <f t="shared" si="0"/>
        <v>16</v>
      </c>
      <c r="T7" s="114">
        <f t="shared" si="0"/>
        <v>17</v>
      </c>
      <c r="U7" s="114">
        <f t="shared" si="0"/>
        <v>18</v>
      </c>
      <c r="V7" s="114">
        <f t="shared" si="0"/>
        <v>19</v>
      </c>
      <c r="W7" s="114">
        <f t="shared" si="0"/>
        <v>20</v>
      </c>
      <c r="X7" s="114">
        <f t="shared" si="0"/>
        <v>21</v>
      </c>
      <c r="Y7" s="113">
        <f t="shared" si="0"/>
        <v>22</v>
      </c>
      <c r="Z7" s="114">
        <f t="shared" si="0"/>
        <v>23</v>
      </c>
      <c r="AA7" s="114">
        <f t="shared" si="0"/>
        <v>24</v>
      </c>
      <c r="AB7" s="114">
        <f t="shared" si="0"/>
        <v>25</v>
      </c>
      <c r="AC7" s="114">
        <f t="shared" si="0"/>
        <v>26</v>
      </c>
      <c r="AD7" s="114">
        <f t="shared" si="0"/>
        <v>27</v>
      </c>
      <c r="AE7" s="114">
        <f t="shared" si="0"/>
        <v>28</v>
      </c>
      <c r="AF7" s="113">
        <f t="shared" si="0"/>
        <v>29</v>
      </c>
      <c r="AG7" s="114">
        <f t="shared" si="0"/>
        <v>30</v>
      </c>
      <c r="AH7" s="114">
        <f t="shared" si="0"/>
        <v>31</v>
      </c>
      <c r="AI7" s="1066"/>
      <c r="AJ7" s="1066"/>
      <c r="AK7" s="1085"/>
    </row>
    <row r="8" s="99" customFormat="1">
      <c r="A8" s="1089">
        <v>1</v>
      </c>
      <c r="B8" s="975" t="s">
        <v>1195</v>
      </c>
      <c r="C8" s="684" t="s">
        <v>1196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25"/>
      <c r="AK8" s="126"/>
    </row>
    <row r="9" s="99" customFormat="1">
      <c r="A9" s="1089"/>
      <c r="B9" s="119"/>
      <c r="C9" s="120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685">
        <f>SUM(D9:AH9)</f>
        <v>0</v>
      </c>
      <c r="AJ9" s="128">
        <f>+$C$5/173*AI9</f>
        <v>0</v>
      </c>
      <c r="AK9" s="121"/>
    </row>
    <row r="10" s="99" customFormat="1">
      <c r="A10" s="1089">
        <v>1</v>
      </c>
      <c r="B10" s="117"/>
      <c r="C10" s="118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25"/>
      <c r="AK10" s="126"/>
    </row>
    <row r="11" s="99" customFormat="1">
      <c r="A11" s="1089"/>
      <c r="B11" s="976" t="s">
        <v>1197</v>
      </c>
      <c r="C11" s="120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685">
        <f>SUM(D11:AH11)</f>
        <v>0</v>
      </c>
      <c r="AJ11" s="128">
        <f>+$C$5/173*AI11</f>
        <v>0</v>
      </c>
      <c r="AK11" s="121"/>
    </row>
  </sheetData>
  <mergeCells>
    <mergeCell ref="AK6:AK7"/>
    <mergeCell ref="D6:AH6"/>
    <mergeCell ref="A8:A9"/>
    <mergeCell ref="A10:A11"/>
    <mergeCell ref="B6:B7"/>
    <mergeCell ref="C6:C7"/>
    <mergeCell ref="AI6:AI7"/>
    <mergeCell ref="AJ6:AJ7"/>
  </mergeCells>
  <pageMargins left="0.7" right="0.7" top="0.75" bottom="0.75" header="0.3" footer="0.3"/>
  <pageSetup orientation="portrait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7">
    <tabColor theme="4" tint="-0.499984740745262"/>
    <pageSetUpPr fitToPage="1"/>
  </sheetPr>
  <dimension ref="A1:X78"/>
  <sheetViews>
    <sheetView zoomScale="90" zoomScaleNormal="90" workbookViewId="0">
      <pane xSplit="7" ySplit="6" topLeftCell="L7" activePane="bottomRight" state="frozen"/>
      <selection pane="topRight"/>
      <selection pane="bottomLeft"/>
      <selection pane="bottomRight" activeCell="U7" sqref="U7:U11"/>
    </sheetView>
  </sheetViews>
  <sheetFormatPr defaultColWidth="9.140625" defaultRowHeight="12"/>
  <cols>
    <col min="1" max="1" width="4.7109375" customWidth="1" style="617"/>
    <col min="2" max="2" width="5.85546875" customWidth="1" style="618"/>
    <col min="3" max="3" width="31.140625" customWidth="1" style="619"/>
    <col min="4" max="4" width="15.42578125" customWidth="1" style="618"/>
    <col min="5" max="5" hidden="1" width="6.85546875" customWidth="1" style="618"/>
    <col min="6" max="6" hidden="1" width="9" customWidth="1" style="618"/>
    <col min="7" max="7" width="10.5703125" customWidth="1" style="620"/>
    <col min="8" max="8" width="10.28515625" customWidth="1" style="617"/>
    <col min="9" max="9" width="11.42578125" customWidth="1" style="617"/>
    <col min="10" max="10" width="10.28515625" customWidth="1" style="617"/>
    <col min="11" max="11" width="11.140625" customWidth="1" style="617"/>
    <col min="12" max="12" width="12.85546875" customWidth="1" style="620"/>
    <col min="13" max="14" width="10.28515625" customWidth="1" style="617"/>
    <col min="15" max="15" width="11.28515625" customWidth="1" style="617"/>
    <col min="16" max="16" width="10.28515625" customWidth="1" style="617"/>
    <col min="17" max="17" width="15.42578125" customWidth="1" style="617"/>
    <col min="18" max="19" width="10.28515625" customWidth="1" style="617"/>
    <col min="20" max="20" width="12.140625" customWidth="1" style="618"/>
    <col min="21" max="21" width="10" customWidth="1" style="618"/>
    <col min="22" max="22" width="5.7109375" customWidth="1" style="617"/>
    <col min="23" max="23" width="7.140625" customWidth="1" style="617"/>
    <col min="24" max="16384" width="9.140625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2"/>
      <c r="I3" s="502"/>
      <c r="L3" s="190"/>
      <c r="T3" s="189"/>
      <c r="U3" s="187"/>
    </row>
    <row r="4" ht="12.75" s="178" customFormat="1">
      <c r="A4" s="186"/>
      <c r="B4" s="187"/>
      <c r="C4" s="188"/>
      <c r="D4" s="189"/>
      <c r="E4" s="189"/>
      <c r="F4" s="191"/>
      <c r="G4" s="193"/>
      <c r="H4" s="502"/>
      <c r="I4" s="502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22">
        <v>4595515</v>
      </c>
      <c r="H5" s="502"/>
      <c r="I5" s="695"/>
      <c r="L5" s="190"/>
      <c r="T5" s="189"/>
      <c r="U5" s="187"/>
    </row>
    <row r="6" ht="37.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5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202" t="s">
        <v>59</v>
      </c>
      <c r="B7" s="380" t="s">
        <v>1189</v>
      </c>
      <c r="C7" s="600" t="s">
        <v>1190</v>
      </c>
      <c r="D7" s="205" t="s">
        <v>1097</v>
      </c>
      <c r="E7" s="597" t="s">
        <v>1097</v>
      </c>
      <c r="F7" s="596" t="s">
        <v>421</v>
      </c>
      <c r="G7" s="735">
        <f>4595515</f>
        <v>4595515</v>
      </c>
      <c r="H7" s="224">
        <f>+$G$5*4.89%</f>
        <v>224720.6835</v>
      </c>
      <c r="I7" s="224">
        <f>+$G$5*4%</f>
        <v>183820.6</v>
      </c>
      <c r="J7" s="224">
        <f>+$G$5*2%</f>
        <v>91910.3</v>
      </c>
      <c r="K7" s="224">
        <v>1667</v>
      </c>
      <c r="L7" s="304">
        <f>SUM(G7:K7)</f>
        <v>5097633.5835</v>
      </c>
      <c r="M7" s="304">
        <f>+L7*8%</f>
        <v>407810.68668</v>
      </c>
      <c r="N7" s="653">
        <v>700000</v>
      </c>
      <c r="O7" s="633">
        <f>29*12000</f>
        <v>348000</v>
      </c>
      <c r="P7" s="394">
        <f>+$G$5/173*50</f>
        <v>1328183.52601156</v>
      </c>
      <c r="Q7" s="309">
        <f>SUM(L7:P7)</f>
        <v>7881627.79619156</v>
      </c>
      <c r="R7" s="309">
        <f>M7*0.1</f>
        <v>40781.068668</v>
      </c>
      <c r="S7" s="310">
        <f>Q7+R7</f>
        <v>7922408.86485956</v>
      </c>
      <c r="T7" s="637">
        <v>44378</v>
      </c>
      <c r="U7" s="239">
        <v>44469</v>
      </c>
      <c r="V7" s="194"/>
      <c r="W7" s="194"/>
      <c r="X7" s="696"/>
    </row>
    <row r="8" ht="18" customHeight="1" s="178" customFormat="1">
      <c r="A8" s="202" t="s">
        <v>59</v>
      </c>
      <c r="B8" s="625" t="s">
        <v>851</v>
      </c>
      <c r="C8" s="627" t="s">
        <v>852</v>
      </c>
      <c r="D8" s="205" t="s">
        <v>1097</v>
      </c>
      <c r="E8" s="597" t="s">
        <v>1097</v>
      </c>
      <c r="F8" s="596" t="s">
        <v>421</v>
      </c>
      <c r="G8" s="735">
        <v>4595515</v>
      </c>
      <c r="H8" s="224">
        <f>+$G$5*4.89%</f>
        <v>224720.6835</v>
      </c>
      <c r="I8" s="224">
        <f>+$G$5*4%</f>
        <v>183820.6</v>
      </c>
      <c r="J8" s="224">
        <f>+$G$5*2%</f>
        <v>91910.3</v>
      </c>
      <c r="K8" s="332">
        <v>1667</v>
      </c>
      <c r="L8" s="225">
        <f>SUM(G8:K8)</f>
        <v>5097633.5835</v>
      </c>
      <c r="M8" s="225">
        <f>+L8*8%</f>
        <v>407810.68668</v>
      </c>
      <c r="N8" s="653">
        <v>700000</v>
      </c>
      <c r="O8" s="633">
        <f>29*12000</f>
        <v>348000</v>
      </c>
      <c r="P8" s="394">
        <f>+$G$5/173*20</f>
        <v>531273.410404624</v>
      </c>
      <c r="Q8" s="309">
        <f>SUM(L8:P8)</f>
        <v>7084717.68058462</v>
      </c>
      <c r="R8" s="236">
        <f>M8*0.1</f>
        <v>40781.068668</v>
      </c>
      <c r="S8" s="237">
        <f>Q8+R8</f>
        <v>7125498.74925262</v>
      </c>
      <c r="T8" s="637">
        <v>44378</v>
      </c>
      <c r="U8" s="312">
        <v>44469</v>
      </c>
      <c r="V8" s="231"/>
      <c r="W8" s="345"/>
      <c r="X8" s="345"/>
    </row>
    <row r="9" ht="18" customHeight="1" s="699" customFormat="1">
      <c r="A9" s="708" t="s">
        <v>64</v>
      </c>
      <c r="B9" s="1209">
        <v>2779</v>
      </c>
      <c r="C9" s="1210" t="s">
        <v>1191</v>
      </c>
      <c r="D9" s="710" t="s">
        <v>1097</v>
      </c>
      <c r="E9" s="736" t="s">
        <v>1097</v>
      </c>
      <c r="F9" s="737" t="s">
        <v>421</v>
      </c>
      <c r="G9" s="711">
        <v>4595515</v>
      </c>
      <c r="H9" s="712">
        <f>+$G$5*4.89%</f>
        <v>224720.6835</v>
      </c>
      <c r="I9" s="712">
        <f>+$G$5*4%</f>
        <v>183820.6</v>
      </c>
      <c r="J9" s="712">
        <f>+$G$5*2%</f>
        <v>91910.3</v>
      </c>
      <c r="K9" s="741">
        <v>1667</v>
      </c>
      <c r="L9" s="742">
        <f>SUM(G9:K9)</f>
        <v>5097633.5835</v>
      </c>
      <c r="M9" s="742">
        <f>+L9*8%</f>
        <v>407810.68668</v>
      </c>
      <c r="N9" s="743"/>
      <c r="O9" s="719"/>
      <c r="P9" s="742"/>
      <c r="Q9" s="729">
        <f>SUM(L9:P9)</f>
        <v>5505444.27018</v>
      </c>
      <c r="R9" s="745">
        <f>M9*0.1</f>
        <v>40781.068668</v>
      </c>
      <c r="S9" s="746">
        <f>Q9+R9</f>
        <v>5546225.338848</v>
      </c>
      <c r="T9" s="731">
        <v>44409</v>
      </c>
      <c r="U9" s="732">
        <v>44500</v>
      </c>
      <c r="V9" s="747"/>
      <c r="W9" s="748"/>
      <c r="X9" s="748"/>
    </row>
    <row r="10" ht="18" customHeight="1" s="370" customFormat="1">
      <c r="A10" s="738" t="s">
        <v>64</v>
      </c>
      <c r="B10" s="1211" t="s">
        <v>1192</v>
      </c>
      <c r="C10" s="1212" t="s">
        <v>785</v>
      </c>
      <c r="D10" s="439" t="s">
        <v>1097</v>
      </c>
      <c r="E10" s="439" t="s">
        <v>1097</v>
      </c>
      <c r="F10" s="739" t="s">
        <v>421</v>
      </c>
      <c r="G10" s="740"/>
      <c r="H10" s="454"/>
      <c r="I10" s="454"/>
      <c r="J10" s="454"/>
      <c r="K10" s="454"/>
      <c r="L10" s="455">
        <f>SUM(G10:K10)</f>
        <v>0</v>
      </c>
      <c r="M10" s="455">
        <f>+L10*8%</f>
        <v>0</v>
      </c>
      <c r="N10" s="653">
        <v>700000</v>
      </c>
      <c r="O10" s="744">
        <f>27*12000</f>
        <v>324000</v>
      </c>
      <c r="P10" s="394">
        <f>+$G$5/173*21</f>
        <v>557837.080924856</v>
      </c>
      <c r="Q10" s="465">
        <f>SUM(L10:P10)</f>
        <v>1581837.08092486</v>
      </c>
      <c r="R10" s="465">
        <f>M10*0.1</f>
        <v>0</v>
      </c>
      <c r="S10" s="466">
        <f>Q10+R10</f>
        <v>1581837.08092486</v>
      </c>
      <c r="T10" s="749">
        <v>44317</v>
      </c>
      <c r="U10" s="468">
        <v>44408</v>
      </c>
      <c r="V10" s="750"/>
      <c r="W10" s="751"/>
    </row>
    <row r="11" ht="18" customHeight="1" s="180" customFormat="1">
      <c r="A11" s="1090" t="s">
        <v>87</v>
      </c>
      <c r="B11" s="1213"/>
      <c r="C11" s="1091"/>
      <c r="D11" s="1091"/>
      <c r="E11" s="1091"/>
      <c r="F11" s="1092"/>
      <c r="G11" s="629">
        <f>SUM(G7:G10)</f>
        <v>13786545</v>
      </c>
      <c r="H11" s="629">
        <f ref="H11:R11" t="shared" si="1">SUM(H7:H10)</f>
        <v>674162.0505</v>
      </c>
      <c r="I11" s="629">
        <f t="shared" si="1"/>
        <v>551461.8</v>
      </c>
      <c r="J11" s="629">
        <f t="shared" si="1"/>
        <v>275730.9</v>
      </c>
      <c r="K11" s="629">
        <f t="shared" si="1"/>
        <v>5001</v>
      </c>
      <c r="L11" s="629">
        <f t="shared" si="1"/>
        <v>15292900.7505</v>
      </c>
      <c r="M11" s="629">
        <f t="shared" si="1"/>
        <v>1223432.06004</v>
      </c>
      <c r="N11" s="629">
        <f t="shared" si="1"/>
        <v>2100000</v>
      </c>
      <c r="O11" s="629">
        <f t="shared" si="1"/>
        <v>1020000</v>
      </c>
      <c r="P11" s="629">
        <f t="shared" si="1"/>
        <v>2417294.01734104</v>
      </c>
      <c r="Q11" s="629">
        <f t="shared" si="1"/>
        <v>22053626.827881</v>
      </c>
      <c r="R11" s="629">
        <f t="shared" si="1"/>
        <v>122343.206004</v>
      </c>
      <c r="S11" s="629">
        <f>SUM(S7:S10)</f>
        <v>22175970.033885</v>
      </c>
      <c r="T11" s="638"/>
      <c r="U11" s="639"/>
    </row>
    <row r="12" s="181" customFormat="1">
      <c r="A12" s="181" t="s">
        <v>87</v>
      </c>
      <c r="B12" s="1191"/>
      <c r="C12" s="188"/>
      <c r="D12" s="189"/>
      <c r="E12" s="189"/>
      <c r="F12" s="189"/>
      <c r="G12" s="190"/>
      <c r="L12" s="190"/>
      <c r="M12" s="216"/>
      <c r="T12" s="189"/>
      <c r="U12" s="189"/>
    </row>
    <row r="13" s="178" customFormat="1">
      <c r="A13" s="213" t="s">
        <v>87</v>
      </c>
      <c r="B13" s="1178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78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78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78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4"/>
      <c r="T17" s="242"/>
      <c r="U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P18" s="391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78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1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1"/>
      <c r="C28" s="694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694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2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694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630"/>
      <c r="G35" s="193"/>
      <c r="L35" s="193"/>
      <c r="T35" s="191"/>
      <c r="U35" s="191"/>
    </row>
    <row r="36" s="194" customFormat="1">
      <c r="A36" s="194" t="s">
        <v>87</v>
      </c>
      <c r="B36" s="1191"/>
      <c r="C36" s="192"/>
      <c r="D36" s="191"/>
      <c r="E36" s="191"/>
      <c r="F36" s="630"/>
      <c r="G36" s="193"/>
      <c r="L36" s="193"/>
      <c r="T36" s="191"/>
      <c r="U36" s="191"/>
    </row>
    <row r="37" s="194" customFormat="1">
      <c r="A37" s="194" t="s">
        <v>87</v>
      </c>
      <c r="B37" s="1191"/>
      <c r="C37" s="192"/>
      <c r="D37" s="191"/>
      <c r="E37" s="191"/>
      <c r="F37" s="630"/>
      <c r="G37" s="193"/>
      <c r="L37" s="193"/>
      <c r="T37" s="191"/>
      <c r="U37" s="191"/>
    </row>
    <row r="38" s="194" customFormat="1">
      <c r="A38" s="194" t="s">
        <v>87</v>
      </c>
      <c r="B38" s="1191"/>
      <c r="C38" s="192"/>
      <c r="D38" s="191"/>
      <c r="E38" s="191"/>
      <c r="F38" s="630"/>
      <c r="G38" s="193"/>
      <c r="L38" s="193"/>
      <c r="T38" s="191"/>
      <c r="U38" s="191"/>
    </row>
    <row r="39" s="194" customFormat="1">
      <c r="A39" s="194" t="s">
        <v>87</v>
      </c>
      <c r="B39" s="1191"/>
      <c r="C39" s="192"/>
      <c r="D39" s="191"/>
      <c r="E39" s="191"/>
      <c r="F39" s="630"/>
      <c r="G39" s="193"/>
      <c r="L39" s="193"/>
      <c r="T39" s="191"/>
      <c r="U39" s="191"/>
    </row>
    <row r="40" s="194" customFormat="1">
      <c r="A40" s="194" t="s">
        <v>87</v>
      </c>
      <c r="B40" s="1191"/>
      <c r="C40" s="192"/>
      <c r="D40" s="191"/>
      <c r="E40" s="191"/>
      <c r="F40" s="630"/>
      <c r="G40" s="193"/>
      <c r="L40" s="193"/>
      <c r="T40" s="191"/>
      <c r="U40" s="191"/>
    </row>
    <row r="41" s="194" customFormat="1">
      <c r="A41" s="194" t="s">
        <v>87</v>
      </c>
      <c r="B41" s="1191"/>
      <c r="C41" s="192"/>
      <c r="D41" s="191"/>
      <c r="E41" s="191"/>
      <c r="F41" s="630"/>
      <c r="G41" s="193"/>
      <c r="L41" s="193"/>
      <c r="T41" s="191"/>
      <c r="U41" s="191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B78" s="191"/>
      <c r="C78" s="192"/>
      <c r="D78" s="191"/>
      <c r="E78" s="191"/>
      <c r="F78" s="191"/>
      <c r="G78" s="193"/>
      <c r="L78" s="193"/>
      <c r="T78" s="191"/>
      <c r="U78" s="191"/>
    </row>
  </sheetData>
  <mergeCells>
    <mergeCell ref="A11:F11"/>
  </mergeCells>
  <printOptions horizontalCentered="1"/>
  <pageMargins left="0" right="0" top="0.91" bottom="0" header="0.73" footer="0.31496062992126"/>
  <pageSetup paperSize="9" scale="65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8">
    <tabColor theme="4" tint="-0.499984740745262"/>
    <pageSetUpPr fitToPage="1"/>
  </sheetPr>
  <dimension ref="A1:Y84"/>
  <sheetViews>
    <sheetView zoomScale="90" zoomScaleNormal="90" workbookViewId="0">
      <pane xSplit="7" ySplit="6" topLeftCell="L10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617"/>
    <col min="2" max="2" width="5.85546875" customWidth="1" style="618"/>
    <col min="3" max="3" width="34.5703125" customWidth="1" style="619"/>
    <col min="4" max="4" width="17.5703125" customWidth="1" style="618"/>
    <col min="5" max="5" hidden="1" width="7.5703125" customWidth="1" style="618"/>
    <col min="6" max="6" hidden="1" width="10.42578125" customWidth="1" style="618"/>
    <col min="7" max="7" width="12.85546875" customWidth="1" style="620"/>
    <col min="8" max="8" width="10.28515625" customWidth="1" style="617"/>
    <col min="9" max="9" width="11.42578125" customWidth="1" style="617"/>
    <col min="10" max="10" width="10.28515625" customWidth="1" style="617"/>
    <col min="11" max="11" width="11.42578125" customWidth="1" style="617"/>
    <col min="12" max="12" width="12.85546875" customWidth="1" style="620"/>
    <col min="13" max="13" width="10.28515625" customWidth="1" style="617"/>
    <col min="14" max="14" width="12.140625" customWidth="1" style="617"/>
    <col min="15" max="15" width="13" customWidth="1" style="617"/>
    <col min="16" max="16" width="13.140625" customWidth="1" style="617"/>
    <col min="17" max="17" width="15.42578125" customWidth="1" style="617"/>
    <col min="18" max="18" width="10.28515625" customWidth="1" style="617"/>
    <col min="19" max="19" width="13.28515625" customWidth="1" style="617"/>
    <col min="20" max="20" width="12.140625" customWidth="1" style="618"/>
    <col min="21" max="21" width="10" customWidth="1" style="618"/>
    <col min="22" max="22" width="1.140625" customWidth="1" style="617"/>
    <col min="23" max="23" width="8.140625" customWidth="1" style="698"/>
    <col min="24" max="24" width="10.140625" customWidth="1" style="698"/>
    <col min="25" max="16384" width="9.140625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5"/>
      <c r="X1" s="345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2"/>
      <c r="I3" s="502"/>
      <c r="L3" s="190"/>
      <c r="N3" s="391"/>
      <c r="T3" s="189"/>
      <c r="U3" s="187"/>
      <c r="W3" s="345"/>
      <c r="X3" s="345"/>
    </row>
    <row r="4" ht="12.75" s="178" customFormat="1">
      <c r="A4" s="186"/>
      <c r="B4" s="187"/>
      <c r="C4" s="188"/>
      <c r="D4" s="189"/>
      <c r="E4" s="189"/>
      <c r="F4" s="191"/>
      <c r="G4" s="193"/>
      <c r="H4" s="502"/>
      <c r="I4" s="502"/>
      <c r="L4" s="190"/>
      <c r="T4" s="189"/>
      <c r="U4" s="187"/>
      <c r="W4" s="345"/>
      <c r="X4" s="345"/>
    </row>
    <row r="5" s="178" customFormat="1">
      <c r="A5" s="195"/>
      <c r="B5" s="187"/>
      <c r="C5" s="188"/>
      <c r="D5" s="189"/>
      <c r="E5" s="189"/>
      <c r="F5" s="191"/>
      <c r="G5" s="622">
        <v>4416187</v>
      </c>
      <c r="H5" s="502"/>
      <c r="I5" s="695">
        <v>4595515</v>
      </c>
      <c r="L5" s="190"/>
      <c r="T5" s="189"/>
      <c r="U5" s="187"/>
      <c r="W5" s="345"/>
      <c r="X5" s="345"/>
    </row>
    <row r="6" ht="37.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5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  <c r="W6" s="402"/>
      <c r="X6" s="402"/>
    </row>
    <row r="7" ht="18" customHeight="1" s="426" customFormat="1">
      <c r="A7" s="700" t="s">
        <v>59</v>
      </c>
      <c r="B7" s="977" t="s">
        <v>1176</v>
      </c>
      <c r="C7" s="702" t="s">
        <v>1177</v>
      </c>
      <c r="D7" s="703" t="s">
        <v>1161</v>
      </c>
      <c r="E7" s="701" t="s">
        <v>573</v>
      </c>
      <c r="F7" s="701" t="s">
        <v>614</v>
      </c>
      <c r="G7" s="692">
        <f ref="G7:G18" t="shared" si="0">4416187</f>
        <v>4416187</v>
      </c>
      <c r="H7" s="704">
        <f>+$G$5*4.89%</f>
        <v>215951.5443</v>
      </c>
      <c r="I7" s="704">
        <f>+$G$5*4%</f>
        <v>176647.48</v>
      </c>
      <c r="J7" s="704">
        <f>+$G$5*2%</f>
        <v>88323.74</v>
      </c>
      <c r="K7" s="599">
        <v>1667</v>
      </c>
      <c r="L7" s="713">
        <f ref="L7:L15" t="shared" si="1">SUM(G7:K7)</f>
        <v>4898776.7643</v>
      </c>
      <c r="M7" s="713">
        <f ref="M7:M15" t="shared" si="2">+L7*8%</f>
        <v>391902.141144</v>
      </c>
      <c r="N7" s="714">
        <v>1000000</v>
      </c>
      <c r="O7" s="604">
        <f>26*12000</f>
        <v>312000</v>
      </c>
      <c r="P7" s="603"/>
      <c r="Q7" s="720">
        <f ref="Q7:Q17" t="shared" si="3">SUM(L7:P7)</f>
        <v>6602678.905444</v>
      </c>
      <c r="R7" s="720">
        <f ref="R7:R17" t="shared" si="4">M7*0.1</f>
        <v>39190.2141144</v>
      </c>
      <c r="S7" s="721">
        <f ref="S7:S15" t="shared" si="5">Q7+R7</f>
        <v>6641869.1195584</v>
      </c>
      <c r="T7" s="722">
        <v>44378</v>
      </c>
      <c r="U7" s="723">
        <v>44469</v>
      </c>
      <c r="V7" s="411"/>
      <c r="W7" s="724"/>
      <c r="X7" s="724"/>
      <c r="Y7" s="724"/>
    </row>
    <row r="8" ht="18" customHeight="1" s="178" customFormat="1">
      <c r="A8" s="202" t="s">
        <v>59</v>
      </c>
      <c r="B8" s="705" t="s">
        <v>1178</v>
      </c>
      <c r="C8" s="706" t="s">
        <v>782</v>
      </c>
      <c r="D8" s="478" t="s">
        <v>1161</v>
      </c>
      <c r="E8" s="705" t="s">
        <v>573</v>
      </c>
      <c r="F8" s="705" t="s">
        <v>614</v>
      </c>
      <c r="G8" s="601">
        <f t="shared" si="0"/>
        <v>4416187</v>
      </c>
      <c r="H8" s="707">
        <f>+'ANTERAJA - SUNTER'!$G$4*4.89%</f>
        <v>215951.5443</v>
      </c>
      <c r="I8" s="707">
        <f>+'ANTERAJA - SUNTER'!$G$4*4%</f>
        <v>176647.48</v>
      </c>
      <c r="J8" s="707">
        <f>+'ANTERAJA - SUNTER'!$G$4*2%</f>
        <v>88323.74</v>
      </c>
      <c r="K8" s="224">
        <v>1667</v>
      </c>
      <c r="L8" s="715">
        <f t="shared" si="1"/>
        <v>4898776.7643</v>
      </c>
      <c r="M8" s="715">
        <f t="shared" si="2"/>
        <v>391902.141144</v>
      </c>
      <c r="N8" s="716">
        <v>1000000</v>
      </c>
      <c r="O8" s="654">
        <f>25*12000</f>
        <v>300000</v>
      </c>
      <c r="P8" s="715">
        <f>+G5/173*15.5</f>
        <v>395669.933526012</v>
      </c>
      <c r="Q8" s="725">
        <f t="shared" si="3"/>
        <v>6986348.83897001</v>
      </c>
      <c r="R8" s="726">
        <f t="shared" si="4"/>
        <v>39190.2141144</v>
      </c>
      <c r="S8" s="727">
        <f t="shared" si="5"/>
        <v>7025539.05308441</v>
      </c>
      <c r="T8" s="637">
        <v>44409</v>
      </c>
      <c r="U8" s="312">
        <v>44500</v>
      </c>
      <c r="V8" s="411"/>
      <c r="W8" s="724"/>
      <c r="X8" s="724"/>
      <c r="Y8" s="724"/>
    </row>
    <row r="9" ht="18" customHeight="1" s="178" customFormat="1">
      <c r="A9" s="202" t="s">
        <v>59</v>
      </c>
      <c r="B9" s="705" t="s">
        <v>1179</v>
      </c>
      <c r="C9" s="706" t="s">
        <v>1180</v>
      </c>
      <c r="D9" s="478" t="s">
        <v>1174</v>
      </c>
      <c r="E9" s="705" t="s">
        <v>573</v>
      </c>
      <c r="F9" s="705" t="s">
        <v>614</v>
      </c>
      <c r="G9" s="601">
        <f t="shared" si="0"/>
        <v>4416187</v>
      </c>
      <c r="H9" s="707">
        <f>+'ANTERAJA - SUNTER'!$G$4*4.89%</f>
        <v>215951.5443</v>
      </c>
      <c r="I9" s="707">
        <f>+'ANTERAJA - SUNTER'!$G$4*4%</f>
        <v>176647.48</v>
      </c>
      <c r="J9" s="707">
        <f>+'ANTERAJA - SUNTER'!$G$4*2%</f>
        <v>88323.74</v>
      </c>
      <c r="K9" s="224">
        <v>1667</v>
      </c>
      <c r="L9" s="715">
        <f t="shared" si="1"/>
        <v>4898776.7643</v>
      </c>
      <c r="M9" s="715">
        <f t="shared" si="2"/>
        <v>391902.141144</v>
      </c>
      <c r="N9" s="717"/>
      <c r="O9" s="633">
        <f>26*12000</f>
        <v>312000</v>
      </c>
      <c r="P9" s="304">
        <f>+G5/173*71</f>
        <v>1812423.56647399</v>
      </c>
      <c r="Q9" s="725">
        <f t="shared" si="3"/>
        <v>7415102.47191799</v>
      </c>
      <c r="R9" s="726">
        <f t="shared" si="4"/>
        <v>39190.2141144</v>
      </c>
      <c r="S9" s="727">
        <f t="shared" si="5"/>
        <v>7454292.68603239</v>
      </c>
      <c r="T9" s="636">
        <v>44348</v>
      </c>
      <c r="U9" s="728">
        <v>44439</v>
      </c>
      <c r="V9" s="411"/>
      <c r="W9" s="724"/>
      <c r="X9" s="724"/>
      <c r="Y9" s="724"/>
    </row>
    <row r="10" ht="18" customHeight="1" s="178" customFormat="1">
      <c r="A10" s="202" t="s">
        <v>59</v>
      </c>
      <c r="B10" s="380" t="s">
        <v>1181</v>
      </c>
      <c r="C10" s="600" t="s">
        <v>797</v>
      </c>
      <c r="D10" s="205" t="s">
        <v>1161</v>
      </c>
      <c r="E10" s="380" t="s">
        <v>573</v>
      </c>
      <c r="F10" s="380" t="s">
        <v>614</v>
      </c>
      <c r="G10" s="601">
        <f t="shared" si="0"/>
        <v>4416187</v>
      </c>
      <c r="H10" s="224">
        <f>+$G$5*4.89%</f>
        <v>215951.5443</v>
      </c>
      <c r="I10" s="224">
        <f>+$G$5*4%</f>
        <v>176647.48</v>
      </c>
      <c r="J10" s="224">
        <f>+$G$5*2%</f>
        <v>88323.74</v>
      </c>
      <c r="K10" s="224">
        <v>1667</v>
      </c>
      <c r="L10" s="304">
        <f t="shared" si="1"/>
        <v>4898776.7643</v>
      </c>
      <c r="M10" s="304">
        <f t="shared" si="2"/>
        <v>391902.141144</v>
      </c>
      <c r="N10" s="394">
        <v>1000000</v>
      </c>
      <c r="O10" s="633">
        <f>26*12000</f>
        <v>312000</v>
      </c>
      <c r="P10" s="715"/>
      <c r="Q10" s="725">
        <f t="shared" si="3"/>
        <v>6602678.905444</v>
      </c>
      <c r="R10" s="309">
        <f t="shared" si="4"/>
        <v>39190.2141144</v>
      </c>
      <c r="S10" s="310">
        <f t="shared" si="5"/>
        <v>6641869.1195584</v>
      </c>
      <c r="T10" s="636">
        <v>44348</v>
      </c>
      <c r="U10" s="728">
        <v>44439</v>
      </c>
      <c r="V10" s="411"/>
      <c r="W10" s="724"/>
      <c r="X10" s="724"/>
      <c r="Y10" s="724"/>
    </row>
    <row r="11" ht="18" customHeight="1" s="178" customFormat="1">
      <c r="A11" s="202" t="s">
        <v>64</v>
      </c>
      <c r="B11" s="1180" t="s">
        <v>849</v>
      </c>
      <c r="C11" s="1214" t="s">
        <v>850</v>
      </c>
      <c r="D11" s="205" t="s">
        <v>1161</v>
      </c>
      <c r="E11" s="380" t="s">
        <v>573</v>
      </c>
      <c r="F11" s="380" t="s">
        <v>614</v>
      </c>
      <c r="G11" s="601">
        <f t="shared" si="0"/>
        <v>4416187</v>
      </c>
      <c r="H11" s="224">
        <f>+$G$5*4.89%</f>
        <v>215951.5443</v>
      </c>
      <c r="I11" s="224">
        <f>+$G$5*4%</f>
        <v>176647.48</v>
      </c>
      <c r="J11" s="224">
        <f>+$G$5*2%</f>
        <v>88323.74</v>
      </c>
      <c r="K11" s="224">
        <v>1667</v>
      </c>
      <c r="L11" s="304">
        <f t="shared" si="1"/>
        <v>4898776.7643</v>
      </c>
      <c r="M11" s="304">
        <f t="shared" si="2"/>
        <v>391902.141144</v>
      </c>
      <c r="N11" s="394">
        <v>1000000</v>
      </c>
      <c r="O11" s="633">
        <f>27*12000</f>
        <v>324000</v>
      </c>
      <c r="P11" s="715">
        <f>+G5/173*15.5</f>
        <v>395669.933526012</v>
      </c>
      <c r="Q11" s="725">
        <f t="shared" si="3"/>
        <v>7010348.83897001</v>
      </c>
      <c r="R11" s="309">
        <f t="shared" si="4"/>
        <v>39190.2141144</v>
      </c>
      <c r="S11" s="310">
        <f t="shared" si="5"/>
        <v>7049539.05308441</v>
      </c>
      <c r="T11" s="637">
        <v>44378</v>
      </c>
      <c r="U11" s="312">
        <v>44469</v>
      </c>
      <c r="V11" s="411"/>
      <c r="W11" s="724"/>
      <c r="X11" s="724"/>
      <c r="Y11" s="724"/>
    </row>
    <row r="12" ht="18" customHeight="1" s="178" customFormat="1">
      <c r="A12" s="202" t="s">
        <v>64</v>
      </c>
      <c r="B12" s="1180" t="s">
        <v>1182</v>
      </c>
      <c r="C12" s="1214" t="s">
        <v>893</v>
      </c>
      <c r="D12" s="205" t="s">
        <v>245</v>
      </c>
      <c r="E12" s="380" t="s">
        <v>573</v>
      </c>
      <c r="F12" s="380" t="s">
        <v>614</v>
      </c>
      <c r="G12" s="601">
        <f t="shared" si="0"/>
        <v>4416187</v>
      </c>
      <c r="H12" s="224">
        <f>+$G$5*4.89%</f>
        <v>215951.5443</v>
      </c>
      <c r="I12" s="224">
        <f>+$G$5*4%</f>
        <v>176647.48</v>
      </c>
      <c r="J12" s="224">
        <f>+$G$5*2%</f>
        <v>88323.74</v>
      </c>
      <c r="K12" s="224">
        <v>1667</v>
      </c>
      <c r="L12" s="304">
        <f t="shared" si="1"/>
        <v>4898776.7643</v>
      </c>
      <c r="M12" s="304">
        <f t="shared" si="2"/>
        <v>391902.141144</v>
      </c>
      <c r="N12" s="394">
        <v>750000</v>
      </c>
      <c r="O12" s="633">
        <f>22*10000</f>
        <v>220000</v>
      </c>
      <c r="P12" s="304"/>
      <c r="Q12" s="725">
        <f t="shared" si="3"/>
        <v>6260678.905444</v>
      </c>
      <c r="R12" s="309">
        <f t="shared" si="4"/>
        <v>39190.2141144</v>
      </c>
      <c r="S12" s="310">
        <f t="shared" si="5"/>
        <v>6299869.1195584</v>
      </c>
      <c r="T12" s="637">
        <v>44348</v>
      </c>
      <c r="U12" s="312">
        <v>44439</v>
      </c>
      <c r="V12" s="411"/>
      <c r="W12" s="724"/>
      <c r="X12" s="724"/>
      <c r="Y12" s="724"/>
    </row>
    <row r="13" ht="18" customHeight="1" s="178" customFormat="1">
      <c r="A13" s="202" t="s">
        <v>59</v>
      </c>
      <c r="B13" s="380" t="s">
        <v>1183</v>
      </c>
      <c r="C13" s="600" t="s">
        <v>933</v>
      </c>
      <c r="D13" s="205" t="s">
        <v>61</v>
      </c>
      <c r="E13" s="380" t="s">
        <v>573</v>
      </c>
      <c r="F13" s="380" t="s">
        <v>614</v>
      </c>
      <c r="G13" s="601">
        <f t="shared" si="0"/>
        <v>4416187</v>
      </c>
      <c r="H13" s="224">
        <f>+$G$5*4.89%</f>
        <v>215951.5443</v>
      </c>
      <c r="I13" s="224">
        <f>+$G$5*4%</f>
        <v>176647.48</v>
      </c>
      <c r="J13" s="224">
        <f>+$G$5*2%</f>
        <v>88323.74</v>
      </c>
      <c r="K13" s="224">
        <v>1667</v>
      </c>
      <c r="L13" s="304">
        <f t="shared" si="1"/>
        <v>4898776.7643</v>
      </c>
      <c r="M13" s="304">
        <f t="shared" si="2"/>
        <v>391902.141144</v>
      </c>
      <c r="N13" s="394">
        <v>1000000</v>
      </c>
      <c r="O13" s="633">
        <f>25*10000</f>
        <v>250000</v>
      </c>
      <c r="P13" s="304"/>
      <c r="Q13" s="725">
        <f t="shared" si="3"/>
        <v>6540678.905444</v>
      </c>
      <c r="R13" s="309">
        <f t="shared" si="4"/>
        <v>39190.2141144</v>
      </c>
      <c r="S13" s="310">
        <f t="shared" si="5"/>
        <v>6579869.1195584</v>
      </c>
      <c r="T13" s="637">
        <v>44409</v>
      </c>
      <c r="U13" s="312">
        <v>44500</v>
      </c>
      <c r="V13" s="411"/>
      <c r="W13" s="724"/>
      <c r="X13" s="724"/>
      <c r="Y13" s="724"/>
    </row>
    <row r="14" ht="18" customHeight="1" s="178" customFormat="1">
      <c r="A14" s="202" t="s">
        <v>59</v>
      </c>
      <c r="B14" s="380" t="s">
        <v>1184</v>
      </c>
      <c r="C14" s="600" t="s">
        <v>767</v>
      </c>
      <c r="D14" s="205" t="s">
        <v>1161</v>
      </c>
      <c r="E14" s="380" t="s">
        <v>573</v>
      </c>
      <c r="F14" s="380" t="s">
        <v>421</v>
      </c>
      <c r="G14" s="601">
        <f t="shared" si="0"/>
        <v>4416187</v>
      </c>
      <c r="H14" s="224">
        <f>+'ANTERAJA -BOGOR'!$G$4*4.89%</f>
        <v>215951.5443</v>
      </c>
      <c r="I14" s="224">
        <f>+'ANTERAJA -BOGOR'!$G$4*4%</f>
        <v>176647.48</v>
      </c>
      <c r="J14" s="224">
        <f>+'ANTERAJA -BOGOR'!$G$4*2%</f>
        <v>88323.74</v>
      </c>
      <c r="K14" s="224">
        <v>1667</v>
      </c>
      <c r="L14" s="304">
        <f t="shared" si="1"/>
        <v>4898776.7643</v>
      </c>
      <c r="M14" s="304">
        <f t="shared" si="2"/>
        <v>391902.141144</v>
      </c>
      <c r="N14" s="652">
        <v>1000000</v>
      </c>
      <c r="O14" s="633">
        <f>27*12000</f>
        <v>324000</v>
      </c>
      <c r="P14" s="304"/>
      <c r="Q14" s="309">
        <f t="shared" si="3"/>
        <v>6614678.905444</v>
      </c>
      <c r="R14" s="309">
        <f t="shared" si="4"/>
        <v>39190.2141144</v>
      </c>
      <c r="S14" s="310">
        <f t="shared" si="5"/>
        <v>6653869.1195584</v>
      </c>
      <c r="T14" s="637">
        <v>44378</v>
      </c>
      <c r="U14" s="311">
        <v>44469</v>
      </c>
      <c r="V14" s="231"/>
      <c r="W14" s="724"/>
      <c r="X14" s="724"/>
      <c r="Y14" s="724"/>
    </row>
    <row r="15" ht="18" customHeight="1" s="178" customFormat="1">
      <c r="A15" s="202" t="s">
        <v>59</v>
      </c>
      <c r="B15" s="380" t="s">
        <v>1185</v>
      </c>
      <c r="C15" s="600" t="s">
        <v>1186</v>
      </c>
      <c r="D15" s="205" t="s">
        <v>1161</v>
      </c>
      <c r="E15" s="380" t="s">
        <v>573</v>
      </c>
      <c r="F15" s="380" t="s">
        <v>614</v>
      </c>
      <c r="G15" s="601">
        <f t="shared" si="0"/>
        <v>4416187</v>
      </c>
      <c r="H15" s="224">
        <f>+$G$5*4.89%</f>
        <v>215951.5443</v>
      </c>
      <c r="I15" s="224">
        <f>+$G$5*4%</f>
        <v>176647.48</v>
      </c>
      <c r="J15" s="224">
        <f>+$G$5*2%</f>
        <v>88323.74</v>
      </c>
      <c r="K15" s="224">
        <v>1667</v>
      </c>
      <c r="L15" s="304">
        <f t="shared" si="1"/>
        <v>4898776.7643</v>
      </c>
      <c r="M15" s="304">
        <f t="shared" si="2"/>
        <v>391902.141144</v>
      </c>
      <c r="N15" s="652">
        <v>1000000</v>
      </c>
      <c r="O15" s="633">
        <f>12*12000</f>
        <v>144000</v>
      </c>
      <c r="P15" s="304"/>
      <c r="Q15" s="309">
        <f t="shared" si="3"/>
        <v>6434678.905444</v>
      </c>
      <c r="R15" s="309">
        <f t="shared" si="4"/>
        <v>39190.2141144</v>
      </c>
      <c r="S15" s="310">
        <f t="shared" si="5"/>
        <v>6473869.1195584</v>
      </c>
      <c r="T15" s="637">
        <v>44409</v>
      </c>
      <c r="U15" s="312">
        <v>44439</v>
      </c>
      <c r="V15" s="194"/>
      <c r="W15" s="724"/>
      <c r="X15" s="724"/>
      <c r="Y15" s="724"/>
    </row>
    <row r="16" ht="18" customHeight="1" s="178" customFormat="1">
      <c r="A16" s="202" t="s">
        <v>59</v>
      </c>
      <c r="B16" s="380" t="s">
        <v>1187</v>
      </c>
      <c r="C16" s="600" t="s">
        <v>1188</v>
      </c>
      <c r="D16" s="205" t="s">
        <v>1161</v>
      </c>
      <c r="E16" s="380" t="s">
        <v>573</v>
      </c>
      <c r="F16" s="380" t="s">
        <v>614</v>
      </c>
      <c r="G16" s="601">
        <f t="shared" si="0"/>
        <v>4416187</v>
      </c>
      <c r="H16" s="224">
        <f>+$G$5*4.89%</f>
        <v>215951.5443</v>
      </c>
      <c r="I16" s="224">
        <f>+$G$5*4%</f>
        <v>176647.48</v>
      </c>
      <c r="J16" s="224">
        <f>+$G$5*2%</f>
        <v>88323.74</v>
      </c>
      <c r="K16" s="224">
        <v>1667</v>
      </c>
      <c r="L16" s="304">
        <f ref="L16:L17" t="shared" si="7">SUM(G16:K16)</f>
        <v>4898776.7643</v>
      </c>
      <c r="M16" s="304">
        <f ref="M16:M17" t="shared" si="8">+L16*8%</f>
        <v>391902.141144</v>
      </c>
      <c r="N16" s="652">
        <v>1000000</v>
      </c>
      <c r="O16" s="633">
        <f>27*12000</f>
        <v>324000</v>
      </c>
      <c r="P16" s="607"/>
      <c r="Q16" s="309">
        <f t="shared" si="3"/>
        <v>6614678.905444</v>
      </c>
      <c r="R16" s="309">
        <f t="shared" si="4"/>
        <v>39190.2141144</v>
      </c>
      <c r="S16" s="310">
        <f ref="S16:S17" t="shared" si="9">Q16+R16</f>
        <v>6653869.1195584</v>
      </c>
      <c r="T16" s="637">
        <v>44354</v>
      </c>
      <c r="U16" s="312">
        <v>44439</v>
      </c>
      <c r="V16" s="194"/>
      <c r="W16" s="724"/>
      <c r="X16" s="724"/>
      <c r="Y16" s="724"/>
    </row>
    <row r="17" ht="18" customHeight="1" s="178" customFormat="1">
      <c r="A17" s="202" t="s">
        <v>59</v>
      </c>
      <c r="B17" s="380" t="s">
        <v>1172</v>
      </c>
      <c r="C17" s="600" t="s">
        <v>1173</v>
      </c>
      <c r="D17" s="205" t="s">
        <v>1174</v>
      </c>
      <c r="E17" s="380" t="s">
        <v>573</v>
      </c>
      <c r="F17" s="380" t="s">
        <v>614</v>
      </c>
      <c r="G17" s="601">
        <f t="shared" si="0"/>
        <v>4416187</v>
      </c>
      <c r="H17" s="224">
        <f>+$G$5*4.89%</f>
        <v>215951.5443</v>
      </c>
      <c r="I17" s="224">
        <f>+$G$5*4%</f>
        <v>176647.48</v>
      </c>
      <c r="J17" s="224">
        <f>+$G$5*2%</f>
        <v>88323.74</v>
      </c>
      <c r="K17" s="224">
        <v>1668</v>
      </c>
      <c r="L17" s="304">
        <f t="shared" si="7"/>
        <v>4898777.7643</v>
      </c>
      <c r="M17" s="304">
        <f t="shared" si="8"/>
        <v>391902.221144</v>
      </c>
      <c r="N17" s="717"/>
      <c r="O17" s="633">
        <f>9*12000</f>
        <v>108000</v>
      </c>
      <c r="P17" s="633"/>
      <c r="Q17" s="309">
        <f t="shared" si="3"/>
        <v>5398679.985444</v>
      </c>
      <c r="R17" s="309">
        <f t="shared" si="4"/>
        <v>39190.2221144</v>
      </c>
      <c r="S17" s="310">
        <f t="shared" si="9"/>
        <v>5437870.2075584</v>
      </c>
      <c r="T17" s="637">
        <v>44399</v>
      </c>
      <c r="U17" s="312">
        <v>44500</v>
      </c>
      <c r="V17" s="194"/>
      <c r="W17" s="495"/>
      <c r="X17" s="724"/>
      <c r="Y17" s="724"/>
    </row>
    <row r="18" ht="18" customHeight="1" s="699" customFormat="1">
      <c r="A18" s="708" t="s">
        <v>64</v>
      </c>
      <c r="B18" s="1175">
        <v>2874</v>
      </c>
      <c r="C18" s="1215" t="s">
        <v>1175</v>
      </c>
      <c r="D18" s="710" t="s">
        <v>1161</v>
      </c>
      <c r="E18" s="709" t="s">
        <v>573</v>
      </c>
      <c r="F18" s="709" t="s">
        <v>614</v>
      </c>
      <c r="G18" s="711">
        <f t="shared" si="0"/>
        <v>4416187</v>
      </c>
      <c r="H18" s="712">
        <f>+$G$5*4.89%</f>
        <v>215951.5443</v>
      </c>
      <c r="I18" s="712">
        <f>+$G$5*4%</f>
        <v>176647.48</v>
      </c>
      <c r="J18" s="712">
        <f>+$G$5*2%</f>
        <v>88323.74</v>
      </c>
      <c r="K18" s="712">
        <v>1668</v>
      </c>
      <c r="L18" s="718">
        <f>SUM(G18:K18)</f>
        <v>4898777.7643</v>
      </c>
      <c r="M18" s="718">
        <f>+L18*8%</f>
        <v>391902.221144</v>
      </c>
      <c r="N18" s="1024"/>
      <c r="O18" s="719"/>
      <c r="P18" s="719"/>
      <c r="Q18" s="729">
        <f>SUM(L18:P18)</f>
        <v>5290679.985444</v>
      </c>
      <c r="R18" s="729">
        <f>M18*0.1</f>
        <v>39190.2221144</v>
      </c>
      <c r="S18" s="730">
        <f>Q18+R18</f>
        <v>5329870.2075584</v>
      </c>
      <c r="T18" s="731">
        <v>44404</v>
      </c>
      <c r="U18" s="732">
        <v>44500</v>
      </c>
      <c r="V18" s="733"/>
      <c r="W18" s="734"/>
      <c r="X18" s="734"/>
    </row>
    <row r="19" ht="18" customHeight="1" s="180" customFormat="1">
      <c r="A19" s="1090" t="s">
        <v>87</v>
      </c>
      <c r="B19" s="1213"/>
      <c r="C19" s="1091"/>
      <c r="D19" s="1091"/>
      <c r="E19" s="1091"/>
      <c r="F19" s="1092"/>
      <c r="G19" s="629">
        <f>SUM(G7:G18)</f>
        <v>52994244</v>
      </c>
      <c r="H19" s="629">
        <f ref="H19:R19" t="shared" si="15">SUM(H7:H18)</f>
        <v>2591418.5316</v>
      </c>
      <c r="I19" s="629">
        <f t="shared" si="15"/>
        <v>2119769.76</v>
      </c>
      <c r="J19" s="629">
        <f t="shared" si="15"/>
        <v>1059884.88</v>
      </c>
      <c r="K19" s="629">
        <f t="shared" si="15"/>
        <v>20006</v>
      </c>
      <c r="L19" s="629">
        <f t="shared" si="15"/>
        <v>58785323.1716</v>
      </c>
      <c r="M19" s="629">
        <f t="shared" si="15"/>
        <v>4702825.853728</v>
      </c>
      <c r="N19" s="629">
        <f t="shared" si="15"/>
        <v>8750000</v>
      </c>
      <c r="O19" s="629">
        <f t="shared" si="15"/>
        <v>2930000</v>
      </c>
      <c r="P19" s="629">
        <f t="shared" si="15"/>
        <v>2603763.43352601</v>
      </c>
      <c r="Q19" s="629">
        <f t="shared" si="15"/>
        <v>77771912.458854</v>
      </c>
      <c r="R19" s="629">
        <f t="shared" si="15"/>
        <v>470282.5853728</v>
      </c>
      <c r="S19" s="629">
        <f>SUM(S7:S18)</f>
        <v>78242195.0442268</v>
      </c>
      <c r="T19" s="368"/>
      <c r="U19" s="369"/>
      <c r="W19" s="408"/>
      <c r="X19" s="408"/>
    </row>
    <row r="20" s="181" customFormat="1">
      <c r="A20" s="181" t="s">
        <v>87</v>
      </c>
      <c r="B20" s="1191"/>
      <c r="C20" s="188"/>
      <c r="D20" s="189"/>
      <c r="E20" s="189"/>
      <c r="F20" s="189"/>
      <c r="G20" s="190"/>
      <c r="L20" s="190"/>
      <c r="M20" s="216"/>
      <c r="T20" s="189"/>
      <c r="U20" s="189"/>
      <c r="W20" s="425"/>
      <c r="X20" s="425"/>
    </row>
    <row r="21" s="178" customFormat="1">
      <c r="A21" s="213" t="s">
        <v>87</v>
      </c>
      <c r="B21" s="1178"/>
      <c r="C21" s="181"/>
      <c r="D21" s="189"/>
      <c r="E21" s="189"/>
      <c r="F21" s="189"/>
      <c r="G21" s="190"/>
      <c r="M21" s="229"/>
      <c r="N21" s="229"/>
      <c r="O21" s="229"/>
      <c r="P21" s="229"/>
      <c r="R21" s="230"/>
      <c r="S21" s="229"/>
      <c r="T21" s="187"/>
      <c r="U21" s="187"/>
      <c r="W21" s="345"/>
      <c r="X21" s="345"/>
    </row>
    <row r="22" s="178" customFormat="1">
      <c r="A22" s="213" t="s">
        <v>87</v>
      </c>
      <c r="B22" s="1178"/>
      <c r="C22" s="181"/>
      <c r="D22" s="189"/>
      <c r="E22" s="189"/>
      <c r="F22" s="189"/>
      <c r="G22" s="190"/>
      <c r="M22" s="229"/>
      <c r="N22" s="229"/>
      <c r="O22" s="229"/>
      <c r="P22" s="229"/>
      <c r="R22" s="230"/>
      <c r="S22" s="229"/>
      <c r="T22" s="187"/>
      <c r="U22" s="187"/>
      <c r="W22" s="345"/>
      <c r="X22" s="345"/>
    </row>
    <row r="23" s="178" customFormat="1">
      <c r="A23" s="178" t="s">
        <v>87</v>
      </c>
      <c r="B23" s="1178"/>
      <c r="C23" s="214" t="str">
        <f>+'BANJARMASIN '!C102</f>
        <v>Karawang,  16 Agustus 2020</v>
      </c>
      <c r="D23" s="189"/>
      <c r="E23" s="189"/>
      <c r="F23" s="189"/>
      <c r="G23" s="190"/>
      <c r="L23" s="231"/>
      <c r="M23" s="231"/>
      <c r="N23" s="231"/>
      <c r="O23" s="231">
        <f>G7+N7+O7+P7</f>
        <v>5728187</v>
      </c>
      <c r="P23" s="231"/>
      <c r="Q23" s="231"/>
      <c r="R23" s="230"/>
      <c r="S23" s="229"/>
      <c r="T23" s="242"/>
      <c r="U23" s="242"/>
      <c r="W23" s="345"/>
      <c r="X23" s="345"/>
    </row>
    <row r="24" s="178" customFormat="1">
      <c r="A24" s="213" t="s">
        <v>87</v>
      </c>
      <c r="B24" s="1178"/>
      <c r="C24" s="189"/>
      <c r="D24" s="189"/>
      <c r="E24" s="189"/>
      <c r="F24" s="189"/>
      <c r="G24" s="190"/>
      <c r="M24" s="229"/>
      <c r="N24" s="229"/>
      <c r="O24" s="229"/>
      <c r="P24" s="229"/>
      <c r="R24" s="230"/>
      <c r="S24" s="229"/>
      <c r="T24" s="242"/>
      <c r="U24" s="242"/>
      <c r="W24" s="345"/>
      <c r="X24" s="345"/>
    </row>
    <row r="25" s="178" customFormat="1">
      <c r="A25" s="178" t="s">
        <v>87</v>
      </c>
      <c r="B25" s="1178"/>
      <c r="C25" s="189" t="s">
        <v>232</v>
      </c>
      <c r="D25" s="189"/>
      <c r="F25" s="215"/>
      <c r="G25" s="190"/>
      <c r="K25" s="229"/>
      <c r="L25" s="181" t="s">
        <v>233</v>
      </c>
      <c r="M25" s="231"/>
      <c r="N25" s="181"/>
      <c r="O25" s="181"/>
      <c r="P25" s="181"/>
      <c r="Q25" s="544"/>
      <c r="T25" s="242"/>
      <c r="U25" s="242"/>
      <c r="W25" s="345"/>
      <c r="X25" s="345"/>
    </row>
    <row r="26" s="178" customFormat="1">
      <c r="A26" s="178" t="s">
        <v>87</v>
      </c>
      <c r="B26" s="1178"/>
      <c r="C26" s="189"/>
      <c r="D26" s="189"/>
      <c r="F26" s="215"/>
      <c r="G26" s="190"/>
      <c r="H26" s="190"/>
      <c r="K26" s="229"/>
      <c r="Q26" s="544"/>
      <c r="T26" s="242"/>
      <c r="U26" s="242"/>
      <c r="W26" s="345"/>
      <c r="X26" s="345"/>
    </row>
    <row r="27" s="178" customFormat="1">
      <c r="A27" s="178" t="s">
        <v>87</v>
      </c>
      <c r="B27" s="1178"/>
      <c r="C27" s="189"/>
      <c r="D27" s="189"/>
      <c r="F27" s="215"/>
      <c r="G27" s="190"/>
      <c r="H27" s="190"/>
      <c r="K27" s="229"/>
      <c r="M27" s="230"/>
      <c r="Q27" s="189"/>
      <c r="T27" s="242"/>
      <c r="U27" s="242"/>
      <c r="W27" s="345"/>
      <c r="X27" s="345"/>
    </row>
    <row r="28" s="178" customFormat="1">
      <c r="A28" s="178" t="s">
        <v>87</v>
      </c>
      <c r="B28" s="1178"/>
      <c r="C28" s="189"/>
      <c r="D28" s="189"/>
      <c r="F28" s="215"/>
      <c r="G28" s="190"/>
      <c r="H28" s="190"/>
      <c r="K28" s="229"/>
      <c r="M28" s="231"/>
      <c r="Q28" s="189"/>
      <c r="T28" s="242"/>
      <c r="U28" s="242"/>
      <c r="W28" s="345"/>
      <c r="X28" s="345"/>
    </row>
    <row r="29" s="178" customFormat="1">
      <c r="A29" s="178" t="s">
        <v>87</v>
      </c>
      <c r="B29" s="1178"/>
      <c r="C29" s="189"/>
      <c r="D29" s="189"/>
      <c r="F29" s="215"/>
      <c r="G29" s="190"/>
      <c r="H29" s="190"/>
      <c r="K29" s="229"/>
      <c r="Q29" s="189"/>
      <c r="T29" s="242"/>
      <c r="U29" s="242"/>
      <c r="W29" s="345"/>
      <c r="X29" s="345"/>
    </row>
    <row r="30" s="178" customFormat="1">
      <c r="A30" s="178" t="s">
        <v>87</v>
      </c>
      <c r="B30" s="1178"/>
      <c r="C30" s="189"/>
      <c r="D30" s="189"/>
      <c r="F30" s="215"/>
      <c r="G30" s="190"/>
      <c r="H30" s="190"/>
      <c r="K30" s="229"/>
      <c r="Q30" s="189"/>
      <c r="R30" s="189"/>
      <c r="T30" s="242"/>
      <c r="U30" s="243"/>
      <c r="W30" s="345"/>
      <c r="X30" s="345"/>
    </row>
    <row r="31" s="178" customFormat="1">
      <c r="A31" s="181" t="s">
        <v>87</v>
      </c>
      <c r="B31" s="1178"/>
      <c r="C31" s="189"/>
      <c r="D31" s="189"/>
      <c r="F31" s="189"/>
      <c r="G31" s="190"/>
      <c r="H31" s="190"/>
      <c r="K31" s="229"/>
      <c r="Q31" s="189"/>
      <c r="S31" s="181"/>
      <c r="T31" s="242"/>
      <c r="U31" s="243"/>
      <c r="W31" s="345"/>
      <c r="X31" s="345"/>
    </row>
    <row r="32" s="181" customFormat="1">
      <c r="A32" s="181" t="s">
        <v>87</v>
      </c>
      <c r="B32" s="1191"/>
      <c r="C32" s="214" t="s">
        <v>234</v>
      </c>
      <c r="D32" s="189"/>
      <c r="E32" s="189"/>
      <c r="F32" s="214"/>
      <c r="G32" s="190"/>
      <c r="H32" s="190"/>
      <c r="I32" s="232" t="s">
        <v>235</v>
      </c>
      <c r="L32" s="213" t="s">
        <v>236</v>
      </c>
      <c r="N32" s="214" t="s">
        <v>237</v>
      </c>
      <c r="Q32" s="213" t="s">
        <v>238</v>
      </c>
      <c r="T32" s="188"/>
      <c r="U32" s="243"/>
      <c r="W32" s="425"/>
      <c r="X32" s="425"/>
    </row>
    <row r="33" s="181" customFormat="1">
      <c r="A33" s="181" t="s">
        <v>87</v>
      </c>
      <c r="B33" s="1191"/>
      <c r="C33" s="188"/>
      <c r="D33" s="189"/>
      <c r="E33" s="189"/>
      <c r="F33" s="189"/>
      <c r="G33" s="190"/>
      <c r="L33" s="190"/>
      <c r="T33" s="189"/>
      <c r="U33" s="189"/>
      <c r="W33" s="425"/>
      <c r="X33" s="425"/>
    </row>
    <row r="34" s="181" customFormat="1">
      <c r="A34" s="181" t="s">
        <v>87</v>
      </c>
      <c r="B34" s="1191"/>
      <c r="C34" s="188"/>
      <c r="D34" s="189"/>
      <c r="E34" s="189"/>
      <c r="F34" s="189"/>
      <c r="G34" s="190"/>
      <c r="L34" s="190"/>
      <c r="T34" s="189"/>
      <c r="U34" s="189"/>
      <c r="W34" s="425"/>
      <c r="X34" s="425"/>
    </row>
    <row r="35" s="181" customFormat="1">
      <c r="A35" s="181" t="s">
        <v>87</v>
      </c>
      <c r="B35" s="1191"/>
      <c r="C35" s="188"/>
      <c r="D35" s="189"/>
      <c r="E35" s="189"/>
      <c r="F35" s="189"/>
      <c r="G35" s="190"/>
      <c r="L35" s="190"/>
      <c r="T35" s="189"/>
      <c r="U35" s="189"/>
      <c r="W35" s="425"/>
      <c r="X35" s="425"/>
    </row>
    <row r="36" s="181" customFormat="1">
      <c r="A36" s="181" t="s">
        <v>87</v>
      </c>
      <c r="B36" s="1191"/>
      <c r="C36" s="188"/>
      <c r="D36" s="189"/>
      <c r="E36" s="189"/>
      <c r="F36" s="189"/>
      <c r="G36" s="190"/>
      <c r="L36" s="190"/>
      <c r="T36" s="189"/>
      <c r="U36" s="189"/>
      <c r="W36" s="425"/>
      <c r="X36" s="425"/>
    </row>
    <row r="37" s="181" customFormat="1">
      <c r="A37" s="181" t="s">
        <v>87</v>
      </c>
      <c r="B37" s="1191"/>
      <c r="C37" s="188"/>
      <c r="D37" s="189"/>
      <c r="E37" s="189"/>
      <c r="F37" s="189"/>
      <c r="G37" s="190"/>
      <c r="L37" s="190"/>
      <c r="T37" s="189"/>
      <c r="U37" s="189"/>
      <c r="W37" s="425"/>
      <c r="X37" s="425"/>
    </row>
    <row r="38" s="181" customFormat="1">
      <c r="A38" s="181" t="s">
        <v>87</v>
      </c>
      <c r="B38" s="1191"/>
      <c r="C38" s="188"/>
      <c r="D38" s="189"/>
      <c r="E38" s="189"/>
      <c r="F38" s="189"/>
      <c r="G38" s="190"/>
      <c r="L38" s="190"/>
      <c r="T38" s="189"/>
      <c r="U38" s="189"/>
      <c r="W38" s="425"/>
      <c r="X38" s="425"/>
    </row>
    <row r="39" s="194" customFormat="1">
      <c r="A39" s="194" t="s">
        <v>87</v>
      </c>
      <c r="B39" s="1191"/>
      <c r="C39" s="192"/>
      <c r="D39" s="191"/>
      <c r="E39" s="191"/>
      <c r="F39" s="630"/>
      <c r="G39" s="193"/>
      <c r="L39" s="193"/>
      <c r="T39" s="191"/>
      <c r="U39" s="191"/>
      <c r="W39" s="495"/>
      <c r="X39" s="495"/>
    </row>
    <row r="40" s="194" customFormat="1">
      <c r="A40" s="194" t="s">
        <v>87</v>
      </c>
      <c r="B40" s="1191"/>
      <c r="C40" s="192"/>
      <c r="D40" s="191"/>
      <c r="E40" s="191"/>
      <c r="F40" s="630"/>
      <c r="G40" s="193"/>
      <c r="L40" s="193"/>
      <c r="T40" s="191"/>
      <c r="U40" s="191"/>
      <c r="W40" s="495"/>
      <c r="X40" s="495"/>
    </row>
    <row r="41" s="194" customFormat="1">
      <c r="A41" s="194" t="s">
        <v>87</v>
      </c>
      <c r="B41" s="1191"/>
      <c r="C41" s="192"/>
      <c r="D41" s="191"/>
      <c r="E41" s="191"/>
      <c r="F41" s="630"/>
      <c r="G41" s="193"/>
      <c r="L41" s="193"/>
      <c r="T41" s="191"/>
      <c r="U41" s="191"/>
      <c r="W41" s="495"/>
      <c r="X41" s="495"/>
    </row>
    <row r="42" s="194" customFormat="1">
      <c r="A42" s="194" t="s">
        <v>87</v>
      </c>
      <c r="B42" s="1191"/>
      <c r="C42" s="192"/>
      <c r="D42" s="191"/>
      <c r="E42" s="191"/>
      <c r="F42" s="630"/>
      <c r="G42" s="193"/>
      <c r="L42" s="193"/>
      <c r="T42" s="191"/>
      <c r="U42" s="191"/>
      <c r="W42" s="495"/>
      <c r="X42" s="495"/>
    </row>
    <row r="43" s="194" customFormat="1">
      <c r="A43" s="194" t="s">
        <v>87</v>
      </c>
      <c r="B43" s="1191"/>
      <c r="C43" s="192"/>
      <c r="D43" s="191"/>
      <c r="E43" s="191"/>
      <c r="F43" s="630"/>
      <c r="G43" s="193"/>
      <c r="L43" s="193"/>
      <c r="T43" s="191"/>
      <c r="U43" s="191"/>
      <c r="W43" s="495"/>
      <c r="X43" s="495"/>
    </row>
    <row r="44" s="194" customFormat="1">
      <c r="A44" s="194" t="s">
        <v>87</v>
      </c>
      <c r="B44" s="1191"/>
      <c r="C44" s="192"/>
      <c r="D44" s="191"/>
      <c r="E44" s="191"/>
      <c r="F44" s="630"/>
      <c r="G44" s="193"/>
      <c r="L44" s="193"/>
      <c r="T44" s="191"/>
      <c r="U44" s="191"/>
      <c r="W44" s="495"/>
      <c r="X44" s="495"/>
    </row>
    <row r="45" s="194" customFormat="1">
      <c r="A45" s="194" t="s">
        <v>87</v>
      </c>
      <c r="B45" s="1191"/>
      <c r="C45" s="192"/>
      <c r="D45" s="191"/>
      <c r="E45" s="191"/>
      <c r="F45" s="630"/>
      <c r="G45" s="193"/>
      <c r="L45" s="193"/>
      <c r="T45" s="191"/>
      <c r="U45" s="191"/>
      <c r="W45" s="495"/>
      <c r="X45" s="495"/>
    </row>
    <row r="46" s="194" customFormat="1">
      <c r="A46" s="194" t="s">
        <v>87</v>
      </c>
      <c r="B46" s="1191"/>
      <c r="C46" s="192"/>
      <c r="D46" s="191"/>
      <c r="E46" s="191"/>
      <c r="F46" s="630"/>
      <c r="G46" s="193"/>
      <c r="L46" s="193"/>
      <c r="T46" s="191"/>
      <c r="U46" s="191"/>
      <c r="W46" s="495"/>
      <c r="X46" s="495"/>
    </row>
    <row r="47" s="194" customFormat="1">
      <c r="A47" s="194" t="s">
        <v>87</v>
      </c>
      <c r="B47" s="1191"/>
      <c r="C47" s="192"/>
      <c r="D47" s="191"/>
      <c r="E47" s="191"/>
      <c r="F47" s="630"/>
      <c r="G47" s="193"/>
      <c r="L47" s="193"/>
      <c r="T47" s="191"/>
      <c r="U47" s="191"/>
      <c r="W47" s="495"/>
      <c r="X47" s="495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  <c r="W48" s="495"/>
      <c r="X48" s="495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  <c r="W49" s="495"/>
      <c r="X49" s="495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  <c r="W50" s="495"/>
      <c r="X50" s="495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  <c r="W51" s="495"/>
      <c r="X51" s="495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  <c r="W52" s="495"/>
      <c r="X52" s="495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  <c r="W53" s="495"/>
      <c r="X53" s="495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  <c r="W54" s="495"/>
      <c r="X54" s="495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  <c r="W55" s="495"/>
      <c r="X55" s="495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  <c r="W56" s="495"/>
      <c r="X56" s="495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  <c r="W57" s="495"/>
      <c r="X57" s="495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  <c r="W58" s="495"/>
      <c r="X58" s="495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  <c r="W59" s="495"/>
      <c r="X59" s="495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  <c r="W60" s="495"/>
      <c r="X60" s="495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  <c r="W61" s="495"/>
      <c r="X61" s="495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  <c r="W62" s="495"/>
      <c r="X62" s="495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  <c r="W63" s="495"/>
      <c r="X63" s="495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  <c r="W64" s="495"/>
      <c r="X64" s="495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  <c r="W65" s="495"/>
      <c r="X65" s="495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  <c r="W66" s="495"/>
      <c r="X66" s="495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  <c r="W67" s="495"/>
      <c r="X67" s="495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  <c r="W68" s="495"/>
      <c r="X68" s="495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  <c r="W69" s="495"/>
      <c r="X69" s="495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  <c r="W70" s="495"/>
      <c r="X70" s="495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  <c r="W71" s="495"/>
      <c r="X71" s="495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  <c r="W72" s="495"/>
      <c r="X72" s="495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  <c r="W73" s="495"/>
      <c r="X73" s="495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  <c r="W74" s="495"/>
      <c r="X74" s="495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  <c r="W75" s="495"/>
      <c r="X75" s="495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  <c r="W76" s="495"/>
      <c r="X76" s="495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  <c r="W77" s="495"/>
      <c r="X77" s="495"/>
    </row>
    <row r="78" s="194" customFormat="1">
      <c r="A78" s="194" t="s">
        <v>87</v>
      </c>
      <c r="B78" s="1191"/>
      <c r="C78" s="192"/>
      <c r="D78" s="191"/>
      <c r="E78" s="191"/>
      <c r="F78" s="191"/>
      <c r="G78" s="193"/>
      <c r="L78" s="193"/>
      <c r="T78" s="191"/>
      <c r="U78" s="191"/>
      <c r="W78" s="495"/>
      <c r="X78" s="495"/>
    </row>
    <row r="79" s="194" customFormat="1">
      <c r="A79" s="194" t="s">
        <v>87</v>
      </c>
      <c r="B79" s="1191"/>
      <c r="C79" s="192"/>
      <c r="D79" s="191"/>
      <c r="E79" s="191"/>
      <c r="F79" s="191"/>
      <c r="G79" s="193"/>
      <c r="L79" s="193"/>
      <c r="T79" s="191"/>
      <c r="U79" s="191"/>
      <c r="W79" s="495"/>
      <c r="X79" s="495"/>
    </row>
    <row r="80" s="194" customFormat="1">
      <c r="A80" s="194" t="s">
        <v>87</v>
      </c>
      <c r="B80" s="1191"/>
      <c r="C80" s="192"/>
      <c r="D80" s="191"/>
      <c r="E80" s="191"/>
      <c r="F80" s="191"/>
      <c r="G80" s="193"/>
      <c r="L80" s="193"/>
      <c r="T80" s="191"/>
      <c r="U80" s="191"/>
      <c r="W80" s="495"/>
      <c r="X80" s="495"/>
    </row>
    <row r="81" s="194" customFormat="1">
      <c r="A81" s="194" t="s">
        <v>87</v>
      </c>
      <c r="B81" s="1191"/>
      <c r="C81" s="192"/>
      <c r="D81" s="191"/>
      <c r="E81" s="191"/>
      <c r="F81" s="191"/>
      <c r="G81" s="193"/>
      <c r="L81" s="193"/>
      <c r="T81" s="191"/>
      <c r="U81" s="191"/>
      <c r="W81" s="495"/>
      <c r="X81" s="495"/>
    </row>
    <row r="82" s="194" customFormat="1">
      <c r="A82" s="194" t="s">
        <v>87</v>
      </c>
      <c r="B82" s="1191"/>
      <c r="C82" s="192"/>
      <c r="D82" s="191"/>
      <c r="E82" s="191"/>
      <c r="F82" s="191"/>
      <c r="G82" s="193"/>
      <c r="L82" s="193"/>
      <c r="T82" s="191"/>
      <c r="U82" s="191"/>
      <c r="W82" s="495"/>
      <c r="X82" s="495"/>
    </row>
    <row r="83" s="194" customFormat="1">
      <c r="A83" s="194" t="s">
        <v>87</v>
      </c>
      <c r="B83" s="1191"/>
      <c r="C83" s="192"/>
      <c r="D83" s="191"/>
      <c r="E83" s="191"/>
      <c r="F83" s="191"/>
      <c r="G83" s="193"/>
      <c r="L83" s="193"/>
      <c r="T83" s="191"/>
      <c r="U83" s="191"/>
      <c r="W83" s="495"/>
      <c r="X83" s="495"/>
    </row>
    <row r="84" s="194" customFormat="1">
      <c r="B84" s="191"/>
      <c r="C84" s="192"/>
      <c r="D84" s="191"/>
      <c r="E84" s="191"/>
      <c r="F84" s="191"/>
      <c r="G84" s="193"/>
      <c r="L84" s="193"/>
      <c r="T84" s="191"/>
      <c r="U84" s="191"/>
      <c r="W84" s="495"/>
      <c r="X84" s="495"/>
    </row>
  </sheetData>
  <sortState ref="A16:AJ64">
    <sortCondition ref="C44:C65"/>
  </sortState>
  <mergeCells>
    <mergeCell ref="A19:F19"/>
  </mergeCells>
  <printOptions horizontalCentered="1"/>
  <pageMargins left="0" right="0" top="0.91" bottom="0" header="0.73" footer="0.31496062992126"/>
  <pageSetup paperSize="9" scale="60" fitToHeight="0" orientation="landscape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>
    <tabColor theme="9" tint="-0.499984740745262"/>
    <pageSetUpPr fitToPage="1"/>
  </sheetPr>
  <dimension ref="A1:X74"/>
  <sheetViews>
    <sheetView zoomScale="90" zoomScaleNormal="90" workbookViewId="0">
      <pane xSplit="7" ySplit="6" topLeftCell="K7" activePane="bottomRight" state="frozen"/>
      <selection pane="topRight"/>
      <selection pane="bottomLeft"/>
      <selection pane="bottomRight" activeCell="O1" sqref="O1:P1048576"/>
    </sheetView>
  </sheetViews>
  <sheetFormatPr defaultColWidth="9.140625" defaultRowHeight="12"/>
  <cols>
    <col min="1" max="1" width="4.7109375" customWidth="1" style="617"/>
    <col min="2" max="2" width="5.85546875" customWidth="1" style="618"/>
    <col min="3" max="3" width="34.5703125" customWidth="1" style="619"/>
    <col min="4" max="4" width="17.5703125" customWidth="1" style="618"/>
    <col min="5" max="5" width="7.5703125" customWidth="1" style="618"/>
    <col min="6" max="6" width="10.42578125" customWidth="1" style="618"/>
    <col min="7" max="7" width="12.85546875" customWidth="1" style="620"/>
    <col min="8" max="8" width="10.28515625" customWidth="1" style="617"/>
    <col min="9" max="9" width="11.42578125" customWidth="1" style="617"/>
    <col min="10" max="10" width="10.28515625" customWidth="1" style="617"/>
    <col min="11" max="11" width="11.42578125" customWidth="1" style="617"/>
    <col min="12" max="12" width="12.85546875" customWidth="1" style="620"/>
    <col min="13" max="13" width="10.28515625" customWidth="1" style="617"/>
    <col min="14" max="14" width="12.140625" customWidth="1" style="617"/>
    <col min="15" max="15" hidden="1" width="13" customWidth="1" style="617"/>
    <col min="16" max="16" hidden="1" width="13.140625" customWidth="1" style="617"/>
    <col min="17" max="17" width="15.42578125" customWidth="1" style="617"/>
    <col min="18" max="18" width="10.28515625" customWidth="1" style="617"/>
    <col min="19" max="19" width="13.28515625" customWidth="1" style="617"/>
    <col min="20" max="20" width="12.140625" customWidth="1" style="618"/>
    <col min="21" max="21" width="10" customWidth="1" style="618"/>
    <col min="22" max="22" width="1.140625" customWidth="1" style="617"/>
    <col min="23" max="23" width="8.140625" customWidth="1" style="698"/>
    <col min="24" max="24" width="9.140625" customWidth="1" style="698"/>
    <col min="25" max="16384" width="9.140625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  <c r="W1" s="345"/>
      <c r="X1" s="345"/>
    </row>
    <row r="2" ht="12.75" s="178" customFormat="1">
      <c r="A2" s="186" t="s">
        <v>1170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  <c r="W2" s="345"/>
      <c r="X2" s="345"/>
    </row>
    <row r="3" ht="12.75" s="178" customFormat="1">
      <c r="A3" s="186" t="s">
        <v>1171</v>
      </c>
      <c r="B3" s="187"/>
      <c r="C3" s="188"/>
      <c r="D3" s="189"/>
      <c r="E3" s="189"/>
      <c r="F3" s="191"/>
      <c r="G3" s="193"/>
      <c r="H3" s="502"/>
      <c r="I3" s="502"/>
      <c r="L3" s="190"/>
      <c r="N3" s="391"/>
      <c r="T3" s="189"/>
      <c r="U3" s="187"/>
      <c r="W3" s="345"/>
      <c r="X3" s="345"/>
    </row>
    <row r="4" ht="12.75" s="178" customFormat="1">
      <c r="A4" s="186"/>
      <c r="B4" s="187"/>
      <c r="C4" s="188"/>
      <c r="D4" s="189"/>
      <c r="E4" s="189"/>
      <c r="F4" s="191"/>
      <c r="G4" s="193"/>
      <c r="H4" s="502"/>
      <c r="I4" s="502"/>
      <c r="L4" s="190"/>
      <c r="T4" s="189"/>
      <c r="U4" s="187"/>
      <c r="W4" s="345"/>
      <c r="X4" s="345"/>
    </row>
    <row r="5" s="178" customFormat="1">
      <c r="A5" s="195"/>
      <c r="B5" s="187"/>
      <c r="C5" s="188"/>
      <c r="D5" s="189"/>
      <c r="E5" s="189"/>
      <c r="F5" s="191"/>
      <c r="G5" s="622">
        <v>4416187</v>
      </c>
      <c r="H5" s="502"/>
      <c r="I5" s="695">
        <v>4595515</v>
      </c>
      <c r="L5" s="190"/>
      <c r="T5" s="189"/>
      <c r="U5" s="187"/>
      <c r="W5" s="345"/>
      <c r="X5" s="345"/>
    </row>
    <row r="6" ht="37.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5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  <c r="W6" s="402"/>
      <c r="X6" s="402"/>
    </row>
    <row r="7" ht="18" customHeight="1" s="178" customFormat="1">
      <c r="A7" s="202" t="s">
        <v>59</v>
      </c>
      <c r="B7" s="380" t="s">
        <v>1172</v>
      </c>
      <c r="C7" s="600" t="s">
        <v>1173</v>
      </c>
      <c r="D7" s="205" t="s">
        <v>1174</v>
      </c>
      <c r="E7" s="380" t="s">
        <v>573</v>
      </c>
      <c r="F7" s="380" t="s">
        <v>614</v>
      </c>
      <c r="G7" s="601">
        <f>4416187/31*10</f>
        <v>1424576.4516129</v>
      </c>
      <c r="H7" s="224">
        <f>+$G$5*4.89%</f>
        <v>215951.5443</v>
      </c>
      <c r="I7" s="224">
        <f>+$G$5*4%</f>
        <v>176647.48</v>
      </c>
      <c r="J7" s="224">
        <f>+$G$5*2%</f>
        <v>88323.74</v>
      </c>
      <c r="K7" s="224">
        <v>1668</v>
      </c>
      <c r="L7" s="304">
        <f ref="L7:L8" t="shared" si="0">SUM(G7:K7)</f>
        <v>1907167.2159129</v>
      </c>
      <c r="M7" s="304">
        <f ref="M7:M8" t="shared" si="1">+L7*8%</f>
        <v>152573.377273032</v>
      </c>
      <c r="N7" s="652"/>
      <c r="O7" s="633"/>
      <c r="P7" s="607"/>
      <c r="Q7" s="309">
        <f ref="Q7:Q8" t="shared" si="2">SUM(L7:P7)</f>
        <v>2059740.59318594</v>
      </c>
      <c r="R7" s="309">
        <f ref="R7:R8" t="shared" si="3">M7*0.1</f>
        <v>15257.3377273032</v>
      </c>
      <c r="S7" s="310">
        <f ref="S7:S8" t="shared" si="4">Q7+R7</f>
        <v>2074997.93091324</v>
      </c>
      <c r="T7" s="637">
        <v>44399</v>
      </c>
      <c r="U7" s="312">
        <v>44500</v>
      </c>
      <c r="V7" s="194"/>
      <c r="W7" s="495"/>
      <c r="X7" s="495"/>
    </row>
    <row r="8" ht="18" customHeight="1" s="297" customFormat="1">
      <c r="A8" s="319" t="s">
        <v>64</v>
      </c>
      <c r="B8" s="1182">
        <v>2874</v>
      </c>
      <c r="C8" s="1201" t="s">
        <v>1175</v>
      </c>
      <c r="D8" s="321" t="s">
        <v>1161</v>
      </c>
      <c r="E8" s="385" t="s">
        <v>573</v>
      </c>
      <c r="F8" s="385" t="s">
        <v>614</v>
      </c>
      <c r="G8" s="601">
        <f>4416187/31*4</f>
        <v>569830.580645161</v>
      </c>
      <c r="H8" s="323">
        <f>+$G$5*4.89%</f>
        <v>215951.5443</v>
      </c>
      <c r="I8" s="323">
        <f>+$G$5*4%</f>
        <v>176647.48</v>
      </c>
      <c r="J8" s="323">
        <f>+$G$5*2%</f>
        <v>88323.74</v>
      </c>
      <c r="K8" s="323">
        <v>1668</v>
      </c>
      <c r="L8" s="339">
        <f t="shared" si="0"/>
        <v>1052421.34494516</v>
      </c>
      <c r="M8" s="339">
        <f t="shared" si="1"/>
        <v>84193.7075956129</v>
      </c>
      <c r="N8" s="1025"/>
      <c r="O8" s="688"/>
      <c r="P8" s="688"/>
      <c r="Q8" s="340">
        <f t="shared" si="2"/>
        <v>1136615.05254077</v>
      </c>
      <c r="R8" s="340">
        <f t="shared" si="3"/>
        <v>8419.37075956129</v>
      </c>
      <c r="S8" s="341">
        <f t="shared" si="4"/>
        <v>1145034.42330034</v>
      </c>
      <c r="T8" s="690">
        <v>44404</v>
      </c>
      <c r="U8" s="343">
        <v>44500</v>
      </c>
      <c r="V8" s="417"/>
      <c r="W8" s="691"/>
      <c r="X8" s="691"/>
    </row>
    <row r="9" ht="18" customHeight="1" s="180" customFormat="1">
      <c r="A9" s="1090" t="s">
        <v>87</v>
      </c>
      <c r="B9" s="1213"/>
      <c r="C9" s="1091"/>
      <c r="D9" s="1091"/>
      <c r="E9" s="1091"/>
      <c r="F9" s="1092"/>
      <c r="G9" s="629">
        <f>SUM(G7:G8)</f>
        <v>1994407.03225806</v>
      </c>
      <c r="H9" s="629">
        <f ref="H9:R9" t="shared" si="5">SUM(H7:H8)</f>
        <v>431903.0886</v>
      </c>
      <c r="I9" s="629">
        <f t="shared" si="5"/>
        <v>353294.96</v>
      </c>
      <c r="J9" s="629">
        <f t="shared" si="5"/>
        <v>176647.48</v>
      </c>
      <c r="K9" s="629">
        <f t="shared" si="5"/>
        <v>3336</v>
      </c>
      <c r="L9" s="629">
        <f t="shared" si="5"/>
        <v>2959588.56085806</v>
      </c>
      <c r="M9" s="629">
        <f t="shared" si="5"/>
        <v>236767.084868645</v>
      </c>
      <c r="N9" s="629">
        <f t="shared" si="5"/>
        <v>0</v>
      </c>
      <c r="O9" s="629">
        <f t="shared" si="5"/>
        <v>0</v>
      </c>
      <c r="P9" s="629">
        <f t="shared" si="5"/>
        <v>0</v>
      </c>
      <c r="Q9" s="629">
        <f t="shared" si="5"/>
        <v>3196355.64572671</v>
      </c>
      <c r="R9" s="629">
        <f t="shared" si="5"/>
        <v>23676.7084868645</v>
      </c>
      <c r="S9" s="629">
        <f>SUM(S7:S8)</f>
        <v>3220032.35421358</v>
      </c>
      <c r="T9" s="368"/>
      <c r="U9" s="369"/>
      <c r="W9" s="408"/>
      <c r="X9" s="408"/>
    </row>
    <row r="10" s="181" customFormat="1">
      <c r="A10" s="181" t="s">
        <v>87</v>
      </c>
      <c r="B10" s="1191"/>
      <c r="C10" s="188"/>
      <c r="D10" s="189"/>
      <c r="E10" s="189"/>
      <c r="F10" s="189"/>
      <c r="G10" s="190"/>
      <c r="L10" s="190"/>
      <c r="M10" s="216"/>
      <c r="T10" s="189"/>
      <c r="U10" s="189"/>
      <c r="W10" s="425"/>
      <c r="X10" s="425"/>
    </row>
    <row r="11" s="178" customFormat="1">
      <c r="A11" s="213" t="s">
        <v>87</v>
      </c>
      <c r="B11" s="1178"/>
      <c r="C11" s="181"/>
      <c r="D11" s="189"/>
      <c r="E11" s="189"/>
      <c r="F11" s="189"/>
      <c r="G11" s="190"/>
      <c r="M11" s="229"/>
      <c r="N11" s="229"/>
      <c r="O11" s="229"/>
      <c r="P11" s="229"/>
      <c r="R11" s="230"/>
      <c r="S11" s="229"/>
      <c r="T11" s="187"/>
      <c r="U11" s="187"/>
      <c r="W11" s="345"/>
      <c r="X11" s="345"/>
    </row>
    <row r="12" s="178" customFormat="1">
      <c r="A12" s="213" t="s">
        <v>87</v>
      </c>
      <c r="B12" s="1178"/>
      <c r="C12" s="181"/>
      <c r="D12" s="189"/>
      <c r="E12" s="189"/>
      <c r="F12" s="189"/>
      <c r="G12" s="190"/>
      <c r="M12" s="229"/>
      <c r="N12" s="229"/>
      <c r="O12" s="229"/>
      <c r="P12" s="229"/>
      <c r="R12" s="230"/>
      <c r="S12" s="229"/>
      <c r="T12" s="187"/>
      <c r="U12" s="187"/>
      <c r="W12" s="345"/>
      <c r="X12" s="345"/>
    </row>
    <row r="13" s="178" customFormat="1">
      <c r="A13" s="178" t="s">
        <v>87</v>
      </c>
      <c r="B13" s="1178"/>
      <c r="C13" s="214" t="str">
        <f>+'BANJARMASIN '!C102</f>
        <v>Karawang,  16 Agustus 2020</v>
      </c>
      <c r="D13" s="189"/>
      <c r="E13" s="189"/>
      <c r="F13" s="189"/>
      <c r="G13" s="190"/>
      <c r="L13" s="231"/>
      <c r="M13" s="231"/>
      <c r="N13" s="231"/>
      <c r="O13" s="231"/>
      <c r="P13" s="231"/>
      <c r="Q13" s="231"/>
      <c r="R13" s="230"/>
      <c r="S13" s="229"/>
      <c r="T13" s="242"/>
      <c r="U13" s="242"/>
      <c r="W13" s="345"/>
      <c r="X13" s="345"/>
    </row>
    <row r="14" s="178" customFormat="1">
      <c r="A14" s="213" t="s">
        <v>87</v>
      </c>
      <c r="B14" s="1178"/>
      <c r="C14" s="189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242"/>
      <c r="U14" s="242"/>
      <c r="W14" s="345"/>
      <c r="X14" s="345"/>
    </row>
    <row r="15" s="178" customFormat="1">
      <c r="A15" s="178" t="s">
        <v>87</v>
      </c>
      <c r="B15" s="1178"/>
      <c r="C15" s="189" t="s">
        <v>232</v>
      </c>
      <c r="D15" s="189"/>
      <c r="F15" s="215"/>
      <c r="G15" s="190"/>
      <c r="K15" s="229"/>
      <c r="L15" s="181" t="s">
        <v>233</v>
      </c>
      <c r="M15" s="231"/>
      <c r="N15" s="181"/>
      <c r="O15" s="181"/>
      <c r="P15" s="181"/>
      <c r="Q15" s="544"/>
      <c r="T15" s="242"/>
      <c r="U15" s="242"/>
      <c r="W15" s="345"/>
      <c r="X15" s="345"/>
    </row>
    <row r="16" s="178" customFormat="1">
      <c r="A16" s="178" t="s">
        <v>87</v>
      </c>
      <c r="B16" s="1178"/>
      <c r="C16" s="189"/>
      <c r="D16" s="189"/>
      <c r="F16" s="215"/>
      <c r="G16" s="190"/>
      <c r="H16" s="190"/>
      <c r="K16" s="229"/>
      <c r="Q16" s="544"/>
      <c r="T16" s="242"/>
      <c r="U16" s="242"/>
      <c r="W16" s="345"/>
      <c r="X16" s="345"/>
    </row>
    <row r="17" s="178" customFormat="1">
      <c r="A17" s="178" t="s">
        <v>87</v>
      </c>
      <c r="B17" s="1178"/>
      <c r="C17" s="189"/>
      <c r="D17" s="189"/>
      <c r="F17" s="215"/>
      <c r="G17" s="190"/>
      <c r="H17" s="190"/>
      <c r="K17" s="229"/>
      <c r="M17" s="230"/>
      <c r="Q17" s="189"/>
      <c r="T17" s="242"/>
      <c r="U17" s="242"/>
      <c r="W17" s="345"/>
      <c r="X17" s="345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M18" s="231"/>
      <c r="Q18" s="189"/>
      <c r="T18" s="242"/>
      <c r="U18" s="242"/>
      <c r="W18" s="345"/>
      <c r="X18" s="345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Q19" s="189"/>
      <c r="T19" s="242"/>
      <c r="U19" s="242"/>
      <c r="W19" s="345"/>
      <c r="X19" s="345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Q20" s="189"/>
      <c r="R20" s="189"/>
      <c r="T20" s="242"/>
      <c r="U20" s="243"/>
      <c r="W20" s="345"/>
      <c r="X20" s="345"/>
    </row>
    <row r="21" s="178" customFormat="1">
      <c r="A21" s="181" t="s">
        <v>87</v>
      </c>
      <c r="B21" s="1178"/>
      <c r="C21" s="189"/>
      <c r="D21" s="189"/>
      <c r="F21" s="189"/>
      <c r="G21" s="190"/>
      <c r="H21" s="190"/>
      <c r="K21" s="229"/>
      <c r="Q21" s="189"/>
      <c r="S21" s="181"/>
      <c r="T21" s="242"/>
      <c r="U21" s="243"/>
      <c r="W21" s="345"/>
      <c r="X21" s="345"/>
    </row>
    <row r="22" s="181" customFormat="1">
      <c r="A22" s="181" t="s">
        <v>87</v>
      </c>
      <c r="B22" s="1191"/>
      <c r="C22" s="214" t="s">
        <v>234</v>
      </c>
      <c r="D22" s="189"/>
      <c r="E22" s="189"/>
      <c r="F22" s="214"/>
      <c r="G22" s="190"/>
      <c r="H22" s="190"/>
      <c r="I22" s="232" t="s">
        <v>235</v>
      </c>
      <c r="L22" s="213" t="s">
        <v>236</v>
      </c>
      <c r="N22" s="214" t="s">
        <v>237</v>
      </c>
      <c r="Q22" s="213" t="s">
        <v>238</v>
      </c>
      <c r="T22" s="188"/>
      <c r="U22" s="243"/>
      <c r="W22" s="425"/>
      <c r="X22" s="425"/>
    </row>
    <row r="23" s="181" customFormat="1">
      <c r="A23" s="181" t="s">
        <v>87</v>
      </c>
      <c r="B23" s="1191"/>
      <c r="C23" s="188"/>
      <c r="D23" s="189"/>
      <c r="E23" s="189"/>
      <c r="F23" s="189"/>
      <c r="G23" s="190"/>
      <c r="L23" s="190"/>
      <c r="T23" s="189"/>
      <c r="U23" s="189"/>
      <c r="W23" s="425"/>
      <c r="X23" s="425"/>
    </row>
    <row r="24" s="181" customFormat="1">
      <c r="A24" s="181" t="s">
        <v>87</v>
      </c>
      <c r="B24" s="1191"/>
      <c r="C24" s="188"/>
      <c r="D24" s="189"/>
      <c r="E24" s="189"/>
      <c r="F24" s="189"/>
      <c r="G24" s="190"/>
      <c r="L24" s="190"/>
      <c r="T24" s="189"/>
      <c r="U24" s="189"/>
      <c r="W24" s="425"/>
      <c r="X24" s="425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T25" s="189"/>
      <c r="U25" s="189"/>
      <c r="W25" s="425"/>
      <c r="X25" s="425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  <c r="W26" s="425"/>
      <c r="X26" s="425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  <c r="W27" s="425"/>
      <c r="X27" s="425"/>
    </row>
    <row r="28" s="181" customFormat="1">
      <c r="A28" s="181" t="s">
        <v>87</v>
      </c>
      <c r="B28" s="1191"/>
      <c r="C28" s="188"/>
      <c r="D28" s="189"/>
      <c r="E28" s="189"/>
      <c r="F28" s="189"/>
      <c r="G28" s="190"/>
      <c r="L28" s="190"/>
      <c r="T28" s="189"/>
      <c r="U28" s="189"/>
      <c r="W28" s="425"/>
      <c r="X28" s="425"/>
    </row>
    <row r="29" s="194" customFormat="1">
      <c r="A29" s="194" t="s">
        <v>87</v>
      </c>
      <c r="B29" s="1191"/>
      <c r="C29" s="192"/>
      <c r="D29" s="191"/>
      <c r="E29" s="191"/>
      <c r="F29" s="630"/>
      <c r="G29" s="193"/>
      <c r="L29" s="193"/>
      <c r="T29" s="191"/>
      <c r="U29" s="191"/>
      <c r="W29" s="495"/>
      <c r="X29" s="495"/>
    </row>
    <row r="30" s="194" customFormat="1">
      <c r="A30" s="194" t="s">
        <v>87</v>
      </c>
      <c r="B30" s="1191"/>
      <c r="C30" s="192"/>
      <c r="D30" s="191"/>
      <c r="E30" s="191"/>
      <c r="F30" s="630"/>
      <c r="G30" s="193"/>
      <c r="L30" s="193"/>
      <c r="T30" s="191"/>
      <c r="U30" s="191"/>
      <c r="W30" s="495"/>
      <c r="X30" s="495"/>
    </row>
    <row r="31" s="194" customFormat="1">
      <c r="A31" s="194" t="s">
        <v>87</v>
      </c>
      <c r="B31" s="1191"/>
      <c r="C31" s="192"/>
      <c r="D31" s="191"/>
      <c r="E31" s="191"/>
      <c r="F31" s="630"/>
      <c r="G31" s="193"/>
      <c r="L31" s="193"/>
      <c r="T31" s="191"/>
      <c r="U31" s="191"/>
      <c r="W31" s="495"/>
      <c r="X31" s="495"/>
    </row>
    <row r="32" s="194" customFormat="1">
      <c r="A32" s="194" t="s">
        <v>87</v>
      </c>
      <c r="B32" s="1191"/>
      <c r="C32" s="192"/>
      <c r="D32" s="191"/>
      <c r="E32" s="191"/>
      <c r="F32" s="630"/>
      <c r="G32" s="193"/>
      <c r="L32" s="193"/>
      <c r="T32" s="191"/>
      <c r="U32" s="191"/>
      <c r="W32" s="495"/>
      <c r="X32" s="495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  <c r="W33" s="495"/>
      <c r="X33" s="495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  <c r="W34" s="495"/>
      <c r="X34" s="495"/>
    </row>
    <row r="35" s="194" customFormat="1">
      <c r="A35" s="194" t="s">
        <v>87</v>
      </c>
      <c r="B35" s="1191"/>
      <c r="C35" s="192"/>
      <c r="D35" s="191"/>
      <c r="E35" s="191"/>
      <c r="F35" s="630"/>
      <c r="G35" s="193"/>
      <c r="L35" s="193"/>
      <c r="T35" s="191"/>
      <c r="U35" s="191"/>
      <c r="W35" s="495"/>
      <c r="X35" s="495"/>
    </row>
    <row r="36" s="194" customFormat="1">
      <c r="A36" s="194" t="s">
        <v>87</v>
      </c>
      <c r="B36" s="1191"/>
      <c r="C36" s="192"/>
      <c r="D36" s="191"/>
      <c r="E36" s="191"/>
      <c r="F36" s="630"/>
      <c r="G36" s="193"/>
      <c r="L36" s="193"/>
      <c r="T36" s="191"/>
      <c r="U36" s="191"/>
      <c r="W36" s="495"/>
      <c r="X36" s="495"/>
    </row>
    <row r="37" s="194" customFormat="1">
      <c r="A37" s="194" t="s">
        <v>87</v>
      </c>
      <c r="B37" s="1191"/>
      <c r="C37" s="192"/>
      <c r="D37" s="191"/>
      <c r="E37" s="191"/>
      <c r="F37" s="630"/>
      <c r="G37" s="193"/>
      <c r="L37" s="193"/>
      <c r="T37" s="191"/>
      <c r="U37" s="191"/>
      <c r="W37" s="495"/>
      <c r="X37" s="495"/>
    </row>
    <row r="38" s="194" customFormat="1">
      <c r="A38" s="194" t="s">
        <v>87</v>
      </c>
      <c r="B38" s="1191"/>
      <c r="C38" s="192"/>
      <c r="D38" s="191"/>
      <c r="E38" s="191"/>
      <c r="F38" s="191"/>
      <c r="G38" s="193"/>
      <c r="L38" s="193"/>
      <c r="T38" s="191"/>
      <c r="U38" s="191"/>
      <c r="W38" s="495"/>
      <c r="X38" s="495"/>
    </row>
    <row r="39" s="194" customFormat="1">
      <c r="A39" s="194" t="s">
        <v>87</v>
      </c>
      <c r="B39" s="1191"/>
      <c r="C39" s="192"/>
      <c r="D39" s="191"/>
      <c r="E39" s="191"/>
      <c r="F39" s="191"/>
      <c r="G39" s="193"/>
      <c r="L39" s="193"/>
      <c r="T39" s="191"/>
      <c r="U39" s="191"/>
      <c r="W39" s="495"/>
      <c r="X39" s="495"/>
    </row>
    <row r="40" s="194" customFormat="1">
      <c r="A40" s="194" t="s">
        <v>87</v>
      </c>
      <c r="B40" s="1191"/>
      <c r="C40" s="192"/>
      <c r="D40" s="191"/>
      <c r="E40" s="191"/>
      <c r="F40" s="191"/>
      <c r="G40" s="193"/>
      <c r="L40" s="193"/>
      <c r="T40" s="191"/>
      <c r="U40" s="191"/>
      <c r="W40" s="495"/>
      <c r="X40" s="495"/>
    </row>
    <row r="41" s="194" customFormat="1">
      <c r="A41" s="194" t="s">
        <v>87</v>
      </c>
      <c r="B41" s="1191"/>
      <c r="C41" s="192"/>
      <c r="D41" s="191"/>
      <c r="E41" s="191"/>
      <c r="F41" s="191"/>
      <c r="G41" s="193"/>
      <c r="L41" s="193"/>
      <c r="T41" s="191"/>
      <c r="U41" s="191"/>
      <c r="W41" s="495"/>
      <c r="X41" s="495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  <c r="W42" s="495"/>
      <c r="X42" s="495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  <c r="W43" s="495"/>
      <c r="X43" s="495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  <c r="W44" s="495"/>
      <c r="X44" s="495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  <c r="W45" s="495"/>
      <c r="X45" s="495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  <c r="W46" s="495"/>
      <c r="X46" s="495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  <c r="W47" s="495"/>
      <c r="X47" s="495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  <c r="W48" s="495"/>
      <c r="X48" s="495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  <c r="W49" s="495"/>
      <c r="X49" s="495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  <c r="W50" s="495"/>
      <c r="X50" s="495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  <c r="W51" s="495"/>
      <c r="X51" s="495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  <c r="W52" s="495"/>
      <c r="X52" s="495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  <c r="W53" s="495"/>
      <c r="X53" s="495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  <c r="W54" s="495"/>
      <c r="X54" s="495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  <c r="W55" s="495"/>
      <c r="X55" s="495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  <c r="W56" s="495"/>
      <c r="X56" s="495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  <c r="W57" s="495"/>
      <c r="X57" s="495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  <c r="W58" s="495"/>
      <c r="X58" s="495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  <c r="W59" s="495"/>
      <c r="X59" s="495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  <c r="W60" s="495"/>
      <c r="X60" s="495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  <c r="W61" s="495"/>
      <c r="X61" s="495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  <c r="W62" s="495"/>
      <c r="X62" s="495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  <c r="W63" s="495"/>
      <c r="X63" s="495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  <c r="W64" s="495"/>
      <c r="X64" s="495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  <c r="W65" s="495"/>
      <c r="X65" s="495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  <c r="W66" s="495"/>
      <c r="X66" s="495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  <c r="W67" s="495"/>
      <c r="X67" s="495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  <c r="W68" s="495"/>
      <c r="X68" s="495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  <c r="W69" s="495"/>
      <c r="X69" s="495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  <c r="W70" s="495"/>
      <c r="X70" s="495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  <c r="W71" s="495"/>
      <c r="X71" s="495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  <c r="W72" s="495"/>
      <c r="X72" s="495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  <c r="W73" s="495"/>
      <c r="X73" s="495"/>
    </row>
    <row r="74" s="194" customFormat="1">
      <c r="B74" s="191"/>
      <c r="C74" s="192"/>
      <c r="D74" s="191"/>
      <c r="E74" s="191"/>
      <c r="F74" s="191"/>
      <c r="G74" s="193"/>
      <c r="L74" s="193"/>
      <c r="T74" s="191"/>
      <c r="U74" s="191"/>
      <c r="W74" s="495"/>
      <c r="X74" s="495"/>
    </row>
  </sheetData>
  <mergeCells>
    <mergeCell ref="A9:F9"/>
  </mergeCells>
  <printOptions horizontalCentered="1"/>
  <pageMargins left="0" right="0" top="0.91" bottom="0" header="0.73" footer="0.31496062992126"/>
  <pageSetup paperSize="9" scale="62" fitToHeight="0" orientation="landscape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 codeName="Sheet9">
    <tabColor theme="4" tint="-0.499984740745262"/>
  </sheetPr>
  <dimension ref="A1:X78"/>
  <sheetViews>
    <sheetView zoomScale="90" zoomScaleNormal="90" workbookViewId="0">
      <pane xSplit="7" ySplit="6" topLeftCell="H7" activePane="bottomRight" state="frozen"/>
      <selection pane="topRight"/>
      <selection pane="bottomLeft"/>
      <selection pane="bottomRight" activeCell="E1" sqref="E1:F1048576"/>
    </sheetView>
  </sheetViews>
  <sheetFormatPr defaultColWidth="9.140625" defaultRowHeight="12"/>
  <cols>
    <col min="1" max="1" width="4.7109375" customWidth="1" style="617"/>
    <col min="2" max="2" width="4.7109375" customWidth="1" style="618"/>
    <col min="3" max="3" width="31.140625" customWidth="1" style="619"/>
    <col min="4" max="4" width="16" customWidth="1" style="618"/>
    <col min="5" max="5" hidden="1" width="7.5703125" customWidth="1" style="618"/>
    <col min="6" max="6" hidden="1" width="10.42578125" customWidth="1" style="618"/>
    <col min="7" max="7" width="13.28515625" customWidth="1" style="620"/>
    <col min="8" max="8" width="10.28515625" customWidth="1" style="617"/>
    <col min="9" max="9" width="12" customWidth="1" style="617"/>
    <col min="10" max="10" width="10.28515625" customWidth="1" style="617"/>
    <col min="11" max="11" width="11.28515625" customWidth="1" style="617"/>
    <col min="12" max="12" width="10.28515625" customWidth="1" style="620"/>
    <col min="13" max="14" width="10.28515625" customWidth="1" style="617"/>
    <col min="15" max="15" width="11.140625" customWidth="1" style="617"/>
    <col min="16" max="19" width="10.28515625" customWidth="1" style="617"/>
    <col min="20" max="20" width="9.42578125" customWidth="1" style="618"/>
    <col min="21" max="21" width="10" customWidth="1" style="618"/>
    <col min="22" max="22" width="16.5703125" customWidth="1" style="617"/>
    <col min="23" max="23" width="7.140625" customWidth="1" style="617"/>
    <col min="24" max="16384" width="9.140625" customWidth="1" style="617"/>
  </cols>
  <sheetData>
    <row r="1" ht="12.75" s="178" customFormat="1">
      <c r="A1" s="186" t="s">
        <v>34</v>
      </c>
      <c r="B1" s="187"/>
      <c r="C1" s="188"/>
      <c r="D1" s="189"/>
      <c r="E1" s="189"/>
      <c r="F1" s="189"/>
      <c r="G1" s="190"/>
      <c r="L1" s="190"/>
      <c r="T1" s="189"/>
      <c r="U1" s="187"/>
    </row>
    <row r="2" ht="12.75" s="178" customFormat="1">
      <c r="A2" s="186" t="s">
        <v>1168</v>
      </c>
      <c r="B2" s="191"/>
      <c r="C2" s="192"/>
      <c r="D2" s="191"/>
      <c r="E2" s="191"/>
      <c r="F2" s="191"/>
      <c r="G2" s="193"/>
      <c r="H2" s="194"/>
      <c r="I2" s="194"/>
      <c r="J2" s="194"/>
      <c r="K2" s="194"/>
      <c r="L2" s="193"/>
      <c r="M2" s="193"/>
      <c r="N2" s="193"/>
      <c r="O2" s="193"/>
      <c r="P2" s="193"/>
      <c r="Q2" s="194"/>
      <c r="R2" s="194"/>
      <c r="S2" s="194"/>
      <c r="T2" s="191"/>
      <c r="U2" s="191"/>
    </row>
    <row r="3" ht="12.75" s="178" customFormat="1">
      <c r="A3" s="186" t="str">
        <f>+'BANJARMASIN '!A3</f>
        <v>Periode Bulan Agustus  2021</v>
      </c>
      <c r="B3" s="187"/>
      <c r="C3" s="188"/>
      <c r="D3" s="189"/>
      <c r="E3" s="189"/>
      <c r="F3" s="191"/>
      <c r="G3" s="193"/>
      <c r="H3" s="502"/>
      <c r="I3" s="502"/>
      <c r="L3" s="190"/>
      <c r="T3" s="189"/>
      <c r="U3" s="187"/>
    </row>
    <row r="4" s="178" customFormat="1">
      <c r="A4" s="195"/>
      <c r="B4" s="187"/>
      <c r="C4" s="188"/>
      <c r="D4" s="189"/>
      <c r="E4" s="189"/>
      <c r="F4" s="191"/>
      <c r="G4" s="622">
        <v>4416187</v>
      </c>
      <c r="H4" s="502"/>
      <c r="I4" s="695"/>
      <c r="L4" s="190"/>
      <c r="T4" s="189"/>
      <c r="U4" s="187"/>
    </row>
    <row r="5" s="178" customFormat="1">
      <c r="A5" s="195"/>
      <c r="B5" s="187"/>
      <c r="C5" s="188"/>
      <c r="D5" s="189"/>
      <c r="E5" s="189"/>
      <c r="F5" s="191"/>
      <c r="G5" s="622"/>
      <c r="H5" s="502"/>
      <c r="I5" s="695"/>
      <c r="L5" s="190"/>
      <c r="T5" s="189"/>
      <c r="U5" s="187"/>
    </row>
    <row r="6" ht="37.5" customHeight="1" s="179" customFormat="1">
      <c r="A6" s="509" t="s">
        <v>36</v>
      </c>
      <c r="B6" s="510" t="s">
        <v>37</v>
      </c>
      <c r="C6" s="510" t="s">
        <v>38</v>
      </c>
      <c r="D6" s="510" t="s">
        <v>39</v>
      </c>
      <c r="E6" s="510" t="s">
        <v>40</v>
      </c>
      <c r="F6" s="511" t="s">
        <v>41</v>
      </c>
      <c r="G6" s="512" t="s">
        <v>42</v>
      </c>
      <c r="H6" s="513" t="s">
        <v>44</v>
      </c>
      <c r="I6" s="525" t="s">
        <v>45</v>
      </c>
      <c r="J6" s="525" t="s">
        <v>46</v>
      </c>
      <c r="K6" s="527" t="s">
        <v>47</v>
      </c>
      <c r="L6" s="527" t="s">
        <v>48</v>
      </c>
      <c r="M6" s="528" t="s">
        <v>49</v>
      </c>
      <c r="N6" s="529" t="s">
        <v>50</v>
      </c>
      <c r="O6" s="530" t="s">
        <v>52</v>
      </c>
      <c r="P6" s="528" t="s">
        <v>53</v>
      </c>
      <c r="Q6" s="536" t="s">
        <v>54</v>
      </c>
      <c r="R6" s="537" t="s">
        <v>55</v>
      </c>
      <c r="S6" s="537" t="s">
        <v>56</v>
      </c>
      <c r="T6" s="537" t="s">
        <v>57</v>
      </c>
      <c r="U6" s="538" t="s">
        <v>58</v>
      </c>
    </row>
    <row r="7" ht="18" customHeight="1" s="178" customFormat="1">
      <c r="A7" s="202" t="s">
        <v>59</v>
      </c>
      <c r="B7" s="380" t="s">
        <v>843</v>
      </c>
      <c r="C7" s="600" t="s">
        <v>844</v>
      </c>
      <c r="D7" s="205" t="s">
        <v>1099</v>
      </c>
      <c r="E7" s="380" t="s">
        <v>1098</v>
      </c>
      <c r="F7" s="380" t="s">
        <v>614</v>
      </c>
      <c r="G7" s="692">
        <f>4416187</f>
        <v>4416187</v>
      </c>
      <c r="H7" s="224">
        <f>+$G$4*4.89%</f>
        <v>215951.5443</v>
      </c>
      <c r="I7" s="224">
        <f>+$G$4*4%</f>
        <v>176647.48</v>
      </c>
      <c r="J7" s="224">
        <f>+$G$4*2%</f>
        <v>88323.74</v>
      </c>
      <c r="K7" s="224">
        <v>1667</v>
      </c>
      <c r="L7" s="304">
        <f>SUM(G7:K7)</f>
        <v>4898776.7643</v>
      </c>
      <c r="M7" s="304">
        <f>+L7*8%</f>
        <v>391902.141144</v>
      </c>
      <c r="N7" s="652">
        <v>300000</v>
      </c>
      <c r="O7" s="633">
        <f>23*10000</f>
        <v>230000</v>
      </c>
      <c r="P7" s="304"/>
      <c r="Q7" s="309">
        <f>SUM(L7:P7)</f>
        <v>5820678.905444</v>
      </c>
      <c r="R7" s="309">
        <f>M7*0.1</f>
        <v>39190.2141144</v>
      </c>
      <c r="S7" s="310">
        <f>Q7+R7</f>
        <v>5859869.1195584</v>
      </c>
      <c r="T7" s="637">
        <v>44378</v>
      </c>
      <c r="U7" s="312">
        <v>44469</v>
      </c>
      <c r="V7" s="231"/>
      <c r="X7" s="696"/>
    </row>
    <row r="8" ht="18" customHeight="1" s="178" customFormat="1">
      <c r="A8" s="202" t="s">
        <v>59</v>
      </c>
      <c r="B8" s="380" t="s">
        <v>845</v>
      </c>
      <c r="C8" s="600" t="s">
        <v>846</v>
      </c>
      <c r="D8" s="205" t="s">
        <v>1099</v>
      </c>
      <c r="E8" s="380" t="s">
        <v>1098</v>
      </c>
      <c r="F8" s="380" t="s">
        <v>614</v>
      </c>
      <c r="G8" s="693">
        <f>4416187</f>
        <v>4416187</v>
      </c>
      <c r="H8" s="224">
        <f>+$G$4*4.89%</f>
        <v>215951.5443</v>
      </c>
      <c r="I8" s="224">
        <f>+$G$4*4%</f>
        <v>176647.48</v>
      </c>
      <c r="J8" s="224">
        <f>+$G$4*2%</f>
        <v>88323.74</v>
      </c>
      <c r="K8" s="224">
        <v>1667</v>
      </c>
      <c r="L8" s="304">
        <f>SUM(G8:K8)</f>
        <v>4898776.7643</v>
      </c>
      <c r="M8" s="304">
        <f>+L8*8%</f>
        <v>391902.141144</v>
      </c>
      <c r="N8" s="652">
        <v>300000</v>
      </c>
      <c r="O8" s="633">
        <f>23*10000</f>
        <v>230000</v>
      </c>
      <c r="P8" s="304"/>
      <c r="Q8" s="309">
        <f>SUM(L8:P8)</f>
        <v>5820678.905444</v>
      </c>
      <c r="R8" s="309">
        <f>M8*0.1</f>
        <v>39190.2141144</v>
      </c>
      <c r="S8" s="310">
        <f>Q8+R8</f>
        <v>5859869.1195584</v>
      </c>
      <c r="T8" s="637">
        <v>44378</v>
      </c>
      <c r="U8" s="312">
        <v>44469</v>
      </c>
      <c r="V8" s="231"/>
      <c r="X8" s="696"/>
    </row>
    <row r="9" ht="18" customHeight="1" s="178" customFormat="1">
      <c r="A9" s="202" t="s">
        <v>59</v>
      </c>
      <c r="B9" s="380" t="s">
        <v>847</v>
      </c>
      <c r="C9" s="600" t="s">
        <v>848</v>
      </c>
      <c r="D9" s="205" t="s">
        <v>1099</v>
      </c>
      <c r="E9" s="380" t="s">
        <v>1098</v>
      </c>
      <c r="F9" s="380" t="s">
        <v>614</v>
      </c>
      <c r="G9" s="693">
        <f>4416187</f>
        <v>4416187</v>
      </c>
      <c r="H9" s="224">
        <f>+$G$4*4.89%</f>
        <v>215951.5443</v>
      </c>
      <c r="I9" s="224">
        <f>+$G$4*4%</f>
        <v>176647.48</v>
      </c>
      <c r="J9" s="224">
        <f>+$G$4*2%</f>
        <v>88323.74</v>
      </c>
      <c r="K9" s="224">
        <v>1667</v>
      </c>
      <c r="L9" s="304">
        <f>SUM(G9:K9)</f>
        <v>4898776.7643</v>
      </c>
      <c r="M9" s="304">
        <f>+L9*8%</f>
        <v>391902.141144</v>
      </c>
      <c r="N9" s="652">
        <v>300000</v>
      </c>
      <c r="O9" s="633">
        <f>24*10000</f>
        <v>240000</v>
      </c>
      <c r="P9" s="304"/>
      <c r="Q9" s="309">
        <f>SUM(L9:P9)</f>
        <v>5830678.905444</v>
      </c>
      <c r="R9" s="309">
        <f>M9*0.1</f>
        <v>39190.2141144</v>
      </c>
      <c r="S9" s="310">
        <f>Q9+R9</f>
        <v>5869869.1195584</v>
      </c>
      <c r="T9" s="637">
        <v>44378</v>
      </c>
      <c r="U9" s="312">
        <v>44469</v>
      </c>
      <c r="V9" s="231"/>
      <c r="X9" s="696"/>
    </row>
    <row r="10" ht="18" customHeight="1" s="178" customFormat="1">
      <c r="A10" s="202" t="s">
        <v>64</v>
      </c>
      <c r="B10" s="1180" t="s">
        <v>1169</v>
      </c>
      <c r="C10" s="1214" t="s">
        <v>899</v>
      </c>
      <c r="D10" s="205" t="s">
        <v>1099</v>
      </c>
      <c r="E10" s="380" t="s">
        <v>1098</v>
      </c>
      <c r="F10" s="380" t="s">
        <v>614</v>
      </c>
      <c r="G10" s="693">
        <f>4416187</f>
        <v>4416187</v>
      </c>
      <c r="H10" s="224">
        <f>+$G$4*4.89%</f>
        <v>215951.5443</v>
      </c>
      <c r="I10" s="224">
        <f>+$G$4*4%</f>
        <v>176647.48</v>
      </c>
      <c r="J10" s="224">
        <f>+$G$4*2%</f>
        <v>88323.74</v>
      </c>
      <c r="K10" s="224">
        <v>1667</v>
      </c>
      <c r="L10" s="304">
        <f>SUM(G10:K10)</f>
        <v>4898776.7643</v>
      </c>
      <c r="M10" s="304">
        <f>+L10*8%</f>
        <v>391902.141144</v>
      </c>
      <c r="N10" s="652">
        <v>300000</v>
      </c>
      <c r="O10" s="633">
        <f>23*10000</f>
        <v>230000</v>
      </c>
      <c r="P10" s="304"/>
      <c r="Q10" s="309">
        <f>SUM(L10:P10)</f>
        <v>5820678.905444</v>
      </c>
      <c r="R10" s="309">
        <f>M10*0.1</f>
        <v>39190.2141144</v>
      </c>
      <c r="S10" s="310">
        <f>Q10+R10</f>
        <v>5859869.1195584</v>
      </c>
      <c r="T10" s="637">
        <v>44378</v>
      </c>
      <c r="U10" s="312">
        <v>44469</v>
      </c>
      <c r="V10" s="231"/>
      <c r="X10" s="696"/>
    </row>
    <row r="11" ht="18" customHeight="1" s="180" customFormat="1">
      <c r="A11" s="1090" t="s">
        <v>87</v>
      </c>
      <c r="B11" s="1213"/>
      <c r="C11" s="1091"/>
      <c r="D11" s="1091"/>
      <c r="E11" s="1091"/>
      <c r="F11" s="1092"/>
      <c r="G11" s="629">
        <f>SUM(G7:G10)</f>
        <v>17664748</v>
      </c>
      <c r="H11" s="629">
        <f ref="H11:R11" t="shared" si="0">SUM(H7:H10)</f>
        <v>863806.1772</v>
      </c>
      <c r="I11" s="629">
        <f t="shared" si="0"/>
        <v>706589.92</v>
      </c>
      <c r="J11" s="629">
        <f t="shared" si="0"/>
        <v>353294.96</v>
      </c>
      <c r="K11" s="629">
        <f t="shared" si="0"/>
        <v>6668</v>
      </c>
      <c r="L11" s="629">
        <f t="shared" si="0"/>
        <v>19595107.0572</v>
      </c>
      <c r="M11" s="629">
        <f t="shared" si="0"/>
        <v>1567608.564576</v>
      </c>
      <c r="N11" s="629">
        <f t="shared" si="0"/>
        <v>1200000</v>
      </c>
      <c r="O11" s="629">
        <f t="shared" si="0"/>
        <v>930000</v>
      </c>
      <c r="P11" s="629">
        <f t="shared" si="0"/>
        <v>0</v>
      </c>
      <c r="Q11" s="697">
        <f t="shared" si="0"/>
        <v>23292715.621776</v>
      </c>
      <c r="R11" s="629">
        <f t="shared" si="0"/>
        <v>156760.8564576</v>
      </c>
      <c r="S11" s="697">
        <f>SUM(S7:S10)</f>
        <v>23449476.4782336</v>
      </c>
      <c r="T11" s="638"/>
      <c r="U11" s="639"/>
    </row>
    <row r="12" s="181" customFormat="1">
      <c r="A12" s="181" t="s">
        <v>87</v>
      </c>
      <c r="B12" s="1191"/>
      <c r="C12" s="188"/>
      <c r="D12" s="189"/>
      <c r="E12" s="189"/>
      <c r="F12" s="189"/>
      <c r="G12" s="190"/>
      <c r="L12" s="190"/>
      <c r="M12" s="216"/>
      <c r="T12" s="189"/>
      <c r="U12" s="189"/>
    </row>
    <row r="13" s="178" customFormat="1">
      <c r="A13" s="213" t="s">
        <v>87</v>
      </c>
      <c r="B13" s="1178"/>
      <c r="C13" s="181"/>
      <c r="D13" s="189"/>
      <c r="E13" s="189"/>
      <c r="F13" s="189"/>
      <c r="G13" s="190"/>
      <c r="M13" s="229"/>
      <c r="N13" s="229"/>
      <c r="O13" s="229"/>
      <c r="P13" s="229"/>
      <c r="R13" s="230"/>
      <c r="S13" s="229"/>
      <c r="T13" s="187"/>
      <c r="U13" s="187"/>
    </row>
    <row r="14" s="178" customFormat="1">
      <c r="A14" s="213" t="s">
        <v>87</v>
      </c>
      <c r="B14" s="1178"/>
      <c r="C14" s="181"/>
      <c r="D14" s="189"/>
      <c r="E14" s="189"/>
      <c r="F14" s="189"/>
      <c r="G14" s="190"/>
      <c r="M14" s="229"/>
      <c r="N14" s="229"/>
      <c r="O14" s="229"/>
      <c r="P14" s="229"/>
      <c r="R14" s="230"/>
      <c r="S14" s="229"/>
      <c r="T14" s="187"/>
      <c r="U14" s="187"/>
    </row>
    <row r="15" s="178" customFormat="1">
      <c r="A15" s="178" t="s">
        <v>87</v>
      </c>
      <c r="B15" s="1178"/>
      <c r="C15" s="214" t="str">
        <f>+'BANJARMASIN '!C102</f>
        <v>Karawang,  16 Agustus 2020</v>
      </c>
      <c r="D15" s="189"/>
      <c r="E15" s="189"/>
      <c r="F15" s="189"/>
      <c r="G15" s="190"/>
      <c r="L15" s="231"/>
      <c r="M15" s="231"/>
      <c r="N15" s="231"/>
      <c r="O15" s="231"/>
      <c r="P15" s="231"/>
      <c r="Q15" s="231"/>
      <c r="R15" s="230"/>
      <c r="S15" s="229"/>
      <c r="T15" s="242"/>
      <c r="U15" s="242"/>
    </row>
    <row r="16" s="178" customFormat="1">
      <c r="A16" s="213" t="s">
        <v>87</v>
      </c>
      <c r="B16" s="1178"/>
      <c r="C16" s="189"/>
      <c r="D16" s="189"/>
      <c r="E16" s="189"/>
      <c r="F16" s="189"/>
      <c r="G16" s="190"/>
      <c r="M16" s="229"/>
      <c r="N16" s="229"/>
      <c r="O16" s="229"/>
      <c r="P16" s="229"/>
      <c r="R16" s="230"/>
      <c r="S16" s="229"/>
      <c r="T16" s="242"/>
      <c r="U16" s="242"/>
    </row>
    <row r="17" s="178" customFormat="1">
      <c r="A17" s="178" t="s">
        <v>87</v>
      </c>
      <c r="B17" s="1178"/>
      <c r="C17" s="189" t="s">
        <v>232</v>
      </c>
      <c r="D17" s="189"/>
      <c r="F17" s="215"/>
      <c r="G17" s="190"/>
      <c r="K17" s="229"/>
      <c r="L17" s="181" t="s">
        <v>233</v>
      </c>
      <c r="M17" s="231"/>
      <c r="N17" s="181"/>
      <c r="O17" s="181"/>
      <c r="P17" s="181"/>
      <c r="Q17" s="544"/>
      <c r="T17" s="242"/>
      <c r="U17" s="242"/>
    </row>
    <row r="18" s="178" customFormat="1">
      <c r="A18" s="178" t="s">
        <v>87</v>
      </c>
      <c r="B18" s="1178"/>
      <c r="C18" s="189"/>
      <c r="D18" s="189"/>
      <c r="F18" s="215"/>
      <c r="G18" s="190"/>
      <c r="H18" s="190"/>
      <c r="K18" s="229"/>
      <c r="Q18" s="544"/>
      <c r="T18" s="242"/>
      <c r="U18" s="242"/>
    </row>
    <row r="19" s="178" customFormat="1">
      <c r="A19" s="178" t="s">
        <v>87</v>
      </c>
      <c r="B19" s="1178"/>
      <c r="C19" s="189"/>
      <c r="D19" s="189"/>
      <c r="F19" s="215"/>
      <c r="G19" s="190"/>
      <c r="H19" s="190"/>
      <c r="K19" s="229"/>
      <c r="M19" s="230"/>
      <c r="Q19" s="189"/>
      <c r="T19" s="242"/>
      <c r="U19" s="242"/>
    </row>
    <row r="20" s="178" customFormat="1">
      <c r="A20" s="178" t="s">
        <v>87</v>
      </c>
      <c r="B20" s="1178"/>
      <c r="C20" s="189"/>
      <c r="D20" s="189"/>
      <c r="F20" s="215"/>
      <c r="G20" s="190"/>
      <c r="H20" s="190"/>
      <c r="K20" s="229"/>
      <c r="M20" s="231"/>
      <c r="Q20" s="189"/>
      <c r="T20" s="242"/>
      <c r="U20" s="242"/>
    </row>
    <row r="21" s="178" customFormat="1">
      <c r="A21" s="178" t="s">
        <v>87</v>
      </c>
      <c r="B21" s="1178"/>
      <c r="C21" s="189"/>
      <c r="D21" s="189"/>
      <c r="F21" s="215"/>
      <c r="G21" s="190"/>
      <c r="H21" s="190"/>
      <c r="K21" s="229"/>
      <c r="Q21" s="189"/>
      <c r="T21" s="242"/>
      <c r="U21" s="242"/>
    </row>
    <row r="22" s="178" customFormat="1">
      <c r="A22" s="178" t="s">
        <v>87</v>
      </c>
      <c r="B22" s="1178"/>
      <c r="C22" s="189"/>
      <c r="D22" s="189"/>
      <c r="F22" s="215"/>
      <c r="G22" s="190"/>
      <c r="H22" s="190"/>
      <c r="K22" s="229"/>
      <c r="Q22" s="189"/>
      <c r="R22" s="189"/>
      <c r="T22" s="242"/>
      <c r="U22" s="243"/>
    </row>
    <row r="23" s="178" customFormat="1">
      <c r="A23" s="181" t="s">
        <v>87</v>
      </c>
      <c r="B23" s="1178"/>
      <c r="C23" s="189"/>
      <c r="D23" s="189"/>
      <c r="F23" s="189"/>
      <c r="G23" s="190"/>
      <c r="H23" s="190"/>
      <c r="K23" s="229"/>
      <c r="Q23" s="189"/>
      <c r="S23" s="181"/>
      <c r="T23" s="242"/>
      <c r="U23" s="243"/>
    </row>
    <row r="24" s="181" customFormat="1">
      <c r="A24" s="181" t="s">
        <v>87</v>
      </c>
      <c r="B24" s="1191"/>
      <c r="C24" s="214" t="s">
        <v>234</v>
      </c>
      <c r="D24" s="189"/>
      <c r="E24" s="189"/>
      <c r="F24" s="214"/>
      <c r="G24" s="190"/>
      <c r="H24" s="190"/>
      <c r="I24" s="232" t="s">
        <v>235</v>
      </c>
      <c r="L24" s="213" t="s">
        <v>236</v>
      </c>
      <c r="N24" s="214" t="s">
        <v>237</v>
      </c>
      <c r="P24" s="213" t="s">
        <v>238</v>
      </c>
      <c r="T24" s="188"/>
      <c r="U24" s="243"/>
    </row>
    <row r="25" s="181" customFormat="1">
      <c r="A25" s="181" t="s">
        <v>87</v>
      </c>
      <c r="B25" s="1191"/>
      <c r="C25" s="188"/>
      <c r="D25" s="189"/>
      <c r="E25" s="189"/>
      <c r="F25" s="189"/>
      <c r="G25" s="190"/>
      <c r="L25" s="190"/>
      <c r="T25" s="189"/>
      <c r="U25" s="189"/>
    </row>
    <row r="26" s="181" customFormat="1">
      <c r="A26" s="181" t="s">
        <v>87</v>
      </c>
      <c r="B26" s="1191"/>
      <c r="C26" s="188"/>
      <c r="D26" s="189"/>
      <c r="E26" s="189"/>
      <c r="F26" s="189"/>
      <c r="G26" s="190"/>
      <c r="L26" s="190"/>
      <c r="T26" s="189"/>
      <c r="U26" s="189"/>
    </row>
    <row r="27" s="181" customFormat="1">
      <c r="A27" s="181" t="s">
        <v>87</v>
      </c>
      <c r="B27" s="1191"/>
      <c r="C27" s="188"/>
      <c r="D27" s="189"/>
      <c r="E27" s="189"/>
      <c r="F27" s="189"/>
      <c r="G27" s="190"/>
      <c r="L27" s="190"/>
      <c r="T27" s="189"/>
      <c r="U27" s="189"/>
    </row>
    <row r="28" s="194" customFormat="1">
      <c r="A28" s="194" t="s">
        <v>87</v>
      </c>
      <c r="B28" s="1191"/>
      <c r="C28" s="694"/>
      <c r="D28" s="191"/>
      <c r="E28" s="191"/>
      <c r="F28" s="191"/>
      <c r="G28" s="193"/>
      <c r="L28" s="193"/>
      <c r="T28" s="191"/>
      <c r="U28" s="191"/>
    </row>
    <row r="29" s="194" customFormat="1">
      <c r="A29" s="194" t="s">
        <v>87</v>
      </c>
      <c r="B29" s="1191"/>
      <c r="C29" s="192"/>
      <c r="D29" s="191"/>
      <c r="E29" s="191"/>
      <c r="F29" s="191"/>
      <c r="G29" s="193"/>
      <c r="L29" s="193"/>
      <c r="T29" s="191"/>
      <c r="U29" s="191"/>
    </row>
    <row r="30" s="194" customFormat="1">
      <c r="A30" s="194" t="s">
        <v>87</v>
      </c>
      <c r="B30" s="1191"/>
      <c r="C30" s="192"/>
      <c r="D30" s="191"/>
      <c r="E30" s="191"/>
      <c r="F30" s="694"/>
      <c r="G30" s="193"/>
      <c r="L30" s="193"/>
      <c r="T30" s="191"/>
      <c r="U30" s="191"/>
    </row>
    <row r="31" s="194" customFormat="1">
      <c r="A31" s="194" t="s">
        <v>87</v>
      </c>
      <c r="B31" s="1191"/>
      <c r="C31" s="192"/>
      <c r="D31" s="191"/>
      <c r="E31" s="191"/>
      <c r="F31" s="192"/>
      <c r="G31" s="193"/>
      <c r="L31" s="193"/>
      <c r="T31" s="191"/>
      <c r="U31" s="191"/>
    </row>
    <row r="32" s="194" customFormat="1">
      <c r="A32" s="194" t="s">
        <v>87</v>
      </c>
      <c r="B32" s="1191"/>
      <c r="C32" s="192"/>
      <c r="D32" s="191"/>
      <c r="E32" s="191"/>
      <c r="F32" s="694"/>
      <c r="G32" s="193"/>
      <c r="L32" s="193"/>
      <c r="T32" s="191"/>
      <c r="U32" s="191"/>
    </row>
    <row r="33" s="194" customFormat="1">
      <c r="A33" s="194" t="s">
        <v>87</v>
      </c>
      <c r="B33" s="1191"/>
      <c r="C33" s="192"/>
      <c r="D33" s="191"/>
      <c r="E33" s="191"/>
      <c r="F33" s="630"/>
      <c r="G33" s="193"/>
      <c r="L33" s="193"/>
      <c r="T33" s="191"/>
      <c r="U33" s="191"/>
    </row>
    <row r="34" s="194" customFormat="1">
      <c r="A34" s="194" t="s">
        <v>87</v>
      </c>
      <c r="B34" s="1191"/>
      <c r="C34" s="192"/>
      <c r="D34" s="191"/>
      <c r="E34" s="191"/>
      <c r="F34" s="630"/>
      <c r="G34" s="193"/>
      <c r="L34" s="193"/>
      <c r="T34" s="191"/>
      <c r="U34" s="191"/>
    </row>
    <row r="35" s="194" customFormat="1">
      <c r="A35" s="194" t="s">
        <v>87</v>
      </c>
      <c r="B35" s="1191"/>
      <c r="C35" s="192"/>
      <c r="D35" s="191"/>
      <c r="E35" s="191"/>
      <c r="F35" s="630"/>
      <c r="G35" s="193"/>
      <c r="L35" s="193"/>
      <c r="T35" s="191"/>
      <c r="U35" s="191"/>
    </row>
    <row r="36" s="194" customFormat="1">
      <c r="A36" s="194" t="s">
        <v>87</v>
      </c>
      <c r="B36" s="1191"/>
      <c r="C36" s="192"/>
      <c r="D36" s="191"/>
      <c r="E36" s="191"/>
      <c r="F36" s="630"/>
      <c r="G36" s="193"/>
      <c r="L36" s="193"/>
      <c r="T36" s="191"/>
      <c r="U36" s="191"/>
    </row>
    <row r="37" s="194" customFormat="1">
      <c r="A37" s="194" t="s">
        <v>87</v>
      </c>
      <c r="B37" s="1191"/>
      <c r="C37" s="192"/>
      <c r="D37" s="191"/>
      <c r="E37" s="191"/>
      <c r="F37" s="630"/>
      <c r="G37" s="193"/>
      <c r="L37" s="193"/>
      <c r="T37" s="191"/>
      <c r="U37" s="191"/>
    </row>
    <row r="38" s="194" customFormat="1">
      <c r="A38" s="194" t="s">
        <v>87</v>
      </c>
      <c r="B38" s="1191"/>
      <c r="C38" s="192"/>
      <c r="D38" s="191"/>
      <c r="E38" s="191"/>
      <c r="F38" s="630"/>
      <c r="G38" s="193"/>
      <c r="L38" s="193"/>
      <c r="T38" s="191"/>
      <c r="U38" s="191"/>
    </row>
    <row r="39" s="194" customFormat="1">
      <c r="A39" s="194" t="s">
        <v>87</v>
      </c>
      <c r="B39" s="1191"/>
      <c r="C39" s="192"/>
      <c r="D39" s="191"/>
      <c r="E39" s="191"/>
      <c r="F39" s="630"/>
      <c r="G39" s="193"/>
      <c r="L39" s="193"/>
      <c r="T39" s="191"/>
      <c r="U39" s="191"/>
    </row>
    <row r="40" s="194" customFormat="1">
      <c r="A40" s="194" t="s">
        <v>87</v>
      </c>
      <c r="B40" s="1191"/>
      <c r="C40" s="192"/>
      <c r="D40" s="191"/>
      <c r="E40" s="191"/>
      <c r="F40" s="630"/>
      <c r="G40" s="193"/>
      <c r="L40" s="193"/>
      <c r="T40" s="191"/>
      <c r="U40" s="191"/>
    </row>
    <row r="41" s="194" customFormat="1">
      <c r="A41" s="194" t="s">
        <v>87</v>
      </c>
      <c r="B41" s="1191"/>
      <c r="C41" s="192"/>
      <c r="D41" s="191"/>
      <c r="E41" s="191"/>
      <c r="F41" s="630"/>
      <c r="G41" s="193"/>
      <c r="L41" s="193"/>
      <c r="T41" s="191"/>
      <c r="U41" s="191"/>
    </row>
    <row r="42" s="194" customFormat="1">
      <c r="A42" s="194" t="s">
        <v>87</v>
      </c>
      <c r="B42" s="1191"/>
      <c r="C42" s="192"/>
      <c r="D42" s="191"/>
      <c r="E42" s="191"/>
      <c r="F42" s="191"/>
      <c r="G42" s="193"/>
      <c r="L42" s="193"/>
      <c r="T42" s="191"/>
      <c r="U42" s="191"/>
    </row>
    <row r="43" s="194" customFormat="1">
      <c r="A43" s="194" t="s">
        <v>87</v>
      </c>
      <c r="B43" s="1191"/>
      <c r="C43" s="192"/>
      <c r="D43" s="191"/>
      <c r="E43" s="191"/>
      <c r="F43" s="191"/>
      <c r="G43" s="193"/>
      <c r="L43" s="193"/>
      <c r="T43" s="191"/>
      <c r="U43" s="191"/>
    </row>
    <row r="44" s="194" customFormat="1">
      <c r="A44" s="194" t="s">
        <v>87</v>
      </c>
      <c r="B44" s="1191"/>
      <c r="C44" s="192"/>
      <c r="D44" s="191"/>
      <c r="E44" s="191"/>
      <c r="F44" s="191"/>
      <c r="G44" s="193"/>
      <c r="L44" s="193"/>
      <c r="T44" s="191"/>
      <c r="U44" s="191"/>
    </row>
    <row r="45" s="194" customFormat="1">
      <c r="A45" s="194" t="s">
        <v>87</v>
      </c>
      <c r="B45" s="1191"/>
      <c r="C45" s="192"/>
      <c r="D45" s="191"/>
      <c r="E45" s="191"/>
      <c r="F45" s="191"/>
      <c r="G45" s="193"/>
      <c r="L45" s="193"/>
      <c r="T45" s="191"/>
      <c r="U45" s="191"/>
    </row>
    <row r="46" s="194" customFormat="1">
      <c r="A46" s="194" t="s">
        <v>87</v>
      </c>
      <c r="B46" s="1191"/>
      <c r="C46" s="192"/>
      <c r="D46" s="191"/>
      <c r="E46" s="191"/>
      <c r="F46" s="191"/>
      <c r="G46" s="193"/>
      <c r="L46" s="193"/>
      <c r="T46" s="191"/>
      <c r="U46" s="191"/>
    </row>
    <row r="47" s="194" customFormat="1">
      <c r="A47" s="194" t="s">
        <v>87</v>
      </c>
      <c r="B47" s="1191"/>
      <c r="C47" s="192"/>
      <c r="D47" s="191"/>
      <c r="E47" s="191"/>
      <c r="F47" s="191"/>
      <c r="G47" s="193"/>
      <c r="L47" s="193"/>
      <c r="T47" s="191"/>
      <c r="U47" s="191"/>
    </row>
    <row r="48" s="194" customFormat="1">
      <c r="A48" s="194" t="s">
        <v>87</v>
      </c>
      <c r="B48" s="1191"/>
      <c r="C48" s="192"/>
      <c r="D48" s="191"/>
      <c r="E48" s="191"/>
      <c r="F48" s="191"/>
      <c r="G48" s="193"/>
      <c r="L48" s="193"/>
      <c r="T48" s="191"/>
      <c r="U48" s="191"/>
    </row>
    <row r="49" s="194" customFormat="1">
      <c r="A49" s="194" t="s">
        <v>87</v>
      </c>
      <c r="B49" s="1191"/>
      <c r="C49" s="192"/>
      <c r="D49" s="191"/>
      <c r="E49" s="191"/>
      <c r="F49" s="191"/>
      <c r="G49" s="193"/>
      <c r="L49" s="193"/>
      <c r="T49" s="191"/>
      <c r="U49" s="191"/>
    </row>
    <row r="50" s="194" customFormat="1">
      <c r="A50" s="194" t="s">
        <v>87</v>
      </c>
      <c r="B50" s="1191"/>
      <c r="C50" s="192"/>
      <c r="D50" s="191"/>
      <c r="E50" s="191"/>
      <c r="F50" s="191"/>
      <c r="G50" s="193"/>
      <c r="L50" s="193"/>
      <c r="T50" s="191"/>
      <c r="U50" s="191"/>
    </row>
    <row r="51" s="194" customFormat="1">
      <c r="A51" s="194" t="s">
        <v>87</v>
      </c>
      <c r="B51" s="1191"/>
      <c r="C51" s="192"/>
      <c r="D51" s="191"/>
      <c r="E51" s="191"/>
      <c r="F51" s="191"/>
      <c r="G51" s="193"/>
      <c r="L51" s="193"/>
      <c r="T51" s="191"/>
      <c r="U51" s="191"/>
    </row>
    <row r="52" s="194" customFormat="1">
      <c r="A52" s="194" t="s">
        <v>87</v>
      </c>
      <c r="B52" s="1191"/>
      <c r="C52" s="192"/>
      <c r="D52" s="191"/>
      <c r="E52" s="191"/>
      <c r="F52" s="191"/>
      <c r="G52" s="193"/>
      <c r="L52" s="193"/>
      <c r="T52" s="191"/>
      <c r="U52" s="191"/>
    </row>
    <row r="53" s="194" customFormat="1">
      <c r="A53" s="194" t="s">
        <v>87</v>
      </c>
      <c r="B53" s="1191"/>
      <c r="C53" s="192"/>
      <c r="D53" s="191"/>
      <c r="E53" s="191"/>
      <c r="F53" s="191"/>
      <c r="G53" s="193"/>
      <c r="L53" s="193"/>
      <c r="T53" s="191"/>
      <c r="U53" s="191"/>
    </row>
    <row r="54" s="194" customFormat="1">
      <c r="A54" s="194" t="s">
        <v>87</v>
      </c>
      <c r="B54" s="1191"/>
      <c r="C54" s="192"/>
      <c r="D54" s="191"/>
      <c r="E54" s="191"/>
      <c r="F54" s="191"/>
      <c r="G54" s="193"/>
      <c r="L54" s="193"/>
      <c r="T54" s="191"/>
      <c r="U54" s="191"/>
    </row>
    <row r="55" s="194" customFormat="1">
      <c r="A55" s="194" t="s">
        <v>87</v>
      </c>
      <c r="B55" s="1191"/>
      <c r="C55" s="192"/>
      <c r="D55" s="191"/>
      <c r="E55" s="191"/>
      <c r="F55" s="191"/>
      <c r="G55" s="193"/>
      <c r="L55" s="193"/>
      <c r="T55" s="191"/>
      <c r="U55" s="191"/>
    </row>
    <row r="56" s="194" customFormat="1">
      <c r="A56" s="194" t="s">
        <v>87</v>
      </c>
      <c r="B56" s="1191"/>
      <c r="C56" s="192"/>
      <c r="D56" s="191"/>
      <c r="E56" s="191"/>
      <c r="F56" s="191"/>
      <c r="G56" s="193"/>
      <c r="L56" s="193"/>
      <c r="T56" s="191"/>
      <c r="U56" s="191"/>
    </row>
    <row r="57" s="194" customFormat="1">
      <c r="A57" s="194" t="s">
        <v>87</v>
      </c>
      <c r="B57" s="1191"/>
      <c r="C57" s="192"/>
      <c r="D57" s="191"/>
      <c r="E57" s="191"/>
      <c r="F57" s="191"/>
      <c r="G57" s="193"/>
      <c r="L57" s="193"/>
      <c r="T57" s="191"/>
      <c r="U57" s="191"/>
    </row>
    <row r="58" s="194" customFormat="1">
      <c r="A58" s="194" t="s">
        <v>87</v>
      </c>
      <c r="B58" s="1191"/>
      <c r="C58" s="192"/>
      <c r="D58" s="191"/>
      <c r="E58" s="191"/>
      <c r="F58" s="191"/>
      <c r="G58" s="193"/>
      <c r="L58" s="193"/>
      <c r="T58" s="191"/>
      <c r="U58" s="191"/>
    </row>
    <row r="59" s="194" customFormat="1">
      <c r="A59" s="194" t="s">
        <v>87</v>
      </c>
      <c r="B59" s="1191"/>
      <c r="C59" s="192"/>
      <c r="D59" s="191"/>
      <c r="E59" s="191"/>
      <c r="F59" s="191"/>
      <c r="G59" s="193"/>
      <c r="L59" s="193"/>
      <c r="T59" s="191"/>
      <c r="U59" s="191"/>
    </row>
    <row r="60" s="194" customFormat="1">
      <c r="A60" s="194" t="s">
        <v>87</v>
      </c>
      <c r="B60" s="1191"/>
      <c r="C60" s="192"/>
      <c r="D60" s="191"/>
      <c r="E60" s="191"/>
      <c r="F60" s="191"/>
      <c r="G60" s="193"/>
      <c r="L60" s="193"/>
      <c r="T60" s="191"/>
      <c r="U60" s="191"/>
    </row>
    <row r="61" s="194" customFormat="1">
      <c r="A61" s="194" t="s">
        <v>87</v>
      </c>
      <c r="B61" s="1191"/>
      <c r="C61" s="192"/>
      <c r="D61" s="191"/>
      <c r="E61" s="191"/>
      <c r="F61" s="191"/>
      <c r="G61" s="193"/>
      <c r="L61" s="193"/>
      <c r="T61" s="191"/>
      <c r="U61" s="191"/>
    </row>
    <row r="62" s="194" customFormat="1">
      <c r="A62" s="194" t="s">
        <v>87</v>
      </c>
      <c r="B62" s="1191"/>
      <c r="C62" s="192"/>
      <c r="D62" s="191"/>
      <c r="E62" s="191"/>
      <c r="F62" s="191"/>
      <c r="G62" s="193"/>
      <c r="L62" s="193"/>
      <c r="T62" s="191"/>
      <c r="U62" s="191"/>
    </row>
    <row r="63" s="194" customFormat="1">
      <c r="A63" s="194" t="s">
        <v>87</v>
      </c>
      <c r="B63" s="1191"/>
      <c r="C63" s="192"/>
      <c r="D63" s="191"/>
      <c r="E63" s="191"/>
      <c r="F63" s="191"/>
      <c r="G63" s="193"/>
      <c r="L63" s="193"/>
      <c r="T63" s="191"/>
      <c r="U63" s="191"/>
    </row>
    <row r="64" s="194" customFormat="1">
      <c r="A64" s="194" t="s">
        <v>87</v>
      </c>
      <c r="B64" s="1191"/>
      <c r="C64" s="192"/>
      <c r="D64" s="191"/>
      <c r="E64" s="191"/>
      <c r="F64" s="191"/>
      <c r="G64" s="193"/>
      <c r="L64" s="193"/>
      <c r="T64" s="191"/>
      <c r="U64" s="191"/>
    </row>
    <row r="65" s="194" customFormat="1">
      <c r="A65" s="194" t="s">
        <v>87</v>
      </c>
      <c r="B65" s="1191"/>
      <c r="C65" s="192"/>
      <c r="D65" s="191"/>
      <c r="E65" s="191"/>
      <c r="F65" s="191"/>
      <c r="G65" s="193"/>
      <c r="L65" s="193"/>
      <c r="T65" s="191"/>
      <c r="U65" s="191"/>
    </row>
    <row r="66" s="194" customFormat="1">
      <c r="A66" s="194" t="s">
        <v>87</v>
      </c>
      <c r="B66" s="1191"/>
      <c r="C66" s="192"/>
      <c r="D66" s="191"/>
      <c r="E66" s="191"/>
      <c r="F66" s="191"/>
      <c r="G66" s="193"/>
      <c r="L66" s="193"/>
      <c r="T66" s="191"/>
      <c r="U66" s="191"/>
    </row>
    <row r="67" s="194" customFormat="1">
      <c r="A67" s="194" t="s">
        <v>87</v>
      </c>
      <c r="B67" s="1191"/>
      <c r="C67" s="192"/>
      <c r="D67" s="191"/>
      <c r="E67" s="191"/>
      <c r="F67" s="191"/>
      <c r="G67" s="193"/>
      <c r="L67" s="193"/>
      <c r="T67" s="191"/>
      <c r="U67" s="191"/>
    </row>
    <row r="68" s="194" customFormat="1">
      <c r="A68" s="194" t="s">
        <v>87</v>
      </c>
      <c r="B68" s="1191"/>
      <c r="C68" s="192"/>
      <c r="D68" s="191"/>
      <c r="E68" s="191"/>
      <c r="F68" s="191"/>
      <c r="G68" s="193"/>
      <c r="L68" s="193"/>
      <c r="T68" s="191"/>
      <c r="U68" s="191"/>
    </row>
    <row r="69" s="194" customFormat="1">
      <c r="A69" s="194" t="s">
        <v>87</v>
      </c>
      <c r="B69" s="1191"/>
      <c r="C69" s="192"/>
      <c r="D69" s="191"/>
      <c r="E69" s="191"/>
      <c r="F69" s="191"/>
      <c r="G69" s="193"/>
      <c r="L69" s="193"/>
      <c r="T69" s="191"/>
      <c r="U69" s="191"/>
    </row>
    <row r="70" s="194" customFormat="1">
      <c r="A70" s="194" t="s">
        <v>87</v>
      </c>
      <c r="B70" s="1191"/>
      <c r="C70" s="192"/>
      <c r="D70" s="191"/>
      <c r="E70" s="191"/>
      <c r="F70" s="191"/>
      <c r="G70" s="193"/>
      <c r="L70" s="193"/>
      <c r="T70" s="191"/>
      <c r="U70" s="191"/>
    </row>
    <row r="71" s="194" customFormat="1">
      <c r="A71" s="194" t="s">
        <v>87</v>
      </c>
      <c r="B71" s="1191"/>
      <c r="C71" s="192"/>
      <c r="D71" s="191"/>
      <c r="E71" s="191"/>
      <c r="F71" s="191"/>
      <c r="G71" s="193"/>
      <c r="L71" s="193"/>
      <c r="T71" s="191"/>
      <c r="U71" s="191"/>
    </row>
    <row r="72" s="194" customFormat="1">
      <c r="A72" s="194" t="s">
        <v>87</v>
      </c>
      <c r="B72" s="1191"/>
      <c r="C72" s="192"/>
      <c r="D72" s="191"/>
      <c r="E72" s="191"/>
      <c r="F72" s="191"/>
      <c r="G72" s="193"/>
      <c r="L72" s="193"/>
      <c r="T72" s="191"/>
      <c r="U72" s="191"/>
    </row>
    <row r="73" s="194" customFormat="1">
      <c r="A73" s="194" t="s">
        <v>87</v>
      </c>
      <c r="B73" s="1191"/>
      <c r="C73" s="192"/>
      <c r="D73" s="191"/>
      <c r="E73" s="191"/>
      <c r="F73" s="191"/>
      <c r="G73" s="193"/>
      <c r="L73" s="193"/>
      <c r="T73" s="191"/>
      <c r="U73" s="191"/>
    </row>
    <row r="74" s="194" customFormat="1">
      <c r="A74" s="194" t="s">
        <v>87</v>
      </c>
      <c r="B74" s="1191"/>
      <c r="C74" s="192"/>
      <c r="D74" s="191"/>
      <c r="E74" s="191"/>
      <c r="F74" s="191"/>
      <c r="G74" s="193"/>
      <c r="L74" s="193"/>
      <c r="T74" s="191"/>
      <c r="U74" s="191"/>
    </row>
    <row r="75" s="194" customFormat="1">
      <c r="A75" s="194" t="s">
        <v>87</v>
      </c>
      <c r="B75" s="1191"/>
      <c r="C75" s="192"/>
      <c r="D75" s="191"/>
      <c r="E75" s="191"/>
      <c r="F75" s="191"/>
      <c r="G75" s="193"/>
      <c r="L75" s="193"/>
      <c r="T75" s="191"/>
      <c r="U75" s="191"/>
    </row>
    <row r="76" s="194" customFormat="1">
      <c r="A76" s="194" t="s">
        <v>87</v>
      </c>
      <c r="B76" s="1191"/>
      <c r="C76" s="192"/>
      <c r="D76" s="191"/>
      <c r="E76" s="191"/>
      <c r="F76" s="191"/>
      <c r="G76" s="193"/>
      <c r="L76" s="193"/>
      <c r="T76" s="191"/>
      <c r="U76" s="191"/>
    </row>
    <row r="77" s="194" customFormat="1">
      <c r="A77" s="194" t="s">
        <v>87</v>
      </c>
      <c r="B77" s="1191"/>
      <c r="C77" s="192"/>
      <c r="D77" s="191"/>
      <c r="E77" s="191"/>
      <c r="F77" s="191"/>
      <c r="G77" s="193"/>
      <c r="L77" s="193"/>
      <c r="T77" s="191"/>
      <c r="U77" s="191"/>
    </row>
    <row r="78" s="194" customFormat="1">
      <c r="B78" s="191"/>
      <c r="C78" s="192"/>
      <c r="D78" s="191"/>
      <c r="E78" s="191"/>
      <c r="F78" s="191"/>
      <c r="G78" s="193"/>
      <c r="L78" s="193"/>
      <c r="T78" s="191"/>
      <c r="U78" s="191"/>
    </row>
  </sheetData>
  <mergeCells>
    <mergeCell ref="A11:F11"/>
  </mergeCells>
  <printOptions horizontalCentered="1"/>
  <pageMargins left="0" right="0" top="0.75" bottom="0.75" header="0.3" footer="0.3"/>
  <pageSetup paperSize="9" scale="6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47</vt:i4>
      </vt:variant>
    </vt:vector>
  </HeadingPairs>
  <TitlesOfParts>
    <vt:vector size="87" baseType="lpstr">
      <vt:lpstr>BANJARMASIN </vt:lpstr>
      <vt:lpstr>lembur BM</vt:lpstr>
      <vt:lpstr>PONTIANAK</vt:lpstr>
      <vt:lpstr>lembur pontianak</vt:lpstr>
      <vt:lpstr>LEMBUR HALIM</vt:lpstr>
      <vt:lpstr>DRIVER LEADER</vt:lpstr>
      <vt:lpstr>HALIM </vt:lpstr>
      <vt:lpstr>HALIM JULI </vt:lpstr>
      <vt:lpstr>TIPAR</vt:lpstr>
      <vt:lpstr>RAWA BUAYA</vt:lpstr>
      <vt:lpstr>LEMBUR RAWA BUAYA</vt:lpstr>
      <vt:lpstr>RAWA BUAYA JULI</vt:lpstr>
      <vt:lpstr>TAMAN TECHNO</vt:lpstr>
      <vt:lpstr>ANTERAJA -BOGOR</vt:lpstr>
      <vt:lpstr>ANTERAJA - SUNTER</vt:lpstr>
      <vt:lpstr>MARUNDA</vt:lpstr>
      <vt:lpstr>MAKASSAR </vt:lpstr>
      <vt:lpstr>lembur manado</vt:lpstr>
      <vt:lpstr>PARE-PARE</vt:lpstr>
      <vt:lpstr>KOLAKA</vt:lpstr>
      <vt:lpstr>MANADO</vt:lpstr>
      <vt:lpstr>anteraja MANADO</vt:lpstr>
      <vt:lpstr>BENGKULU</vt:lpstr>
      <vt:lpstr>GORONTALO</vt:lpstr>
      <vt:lpstr>PALEMBANG</vt:lpstr>
      <vt:lpstr>ANTERAJA LAMPUNG</vt:lpstr>
      <vt:lpstr>ANTERAJA JAMBI</vt:lpstr>
      <vt:lpstr>ANTERAJA PONTIANAK</vt:lpstr>
      <vt:lpstr>PANGKAL PINANG</vt:lpstr>
      <vt:lpstr>BANGKABELITUNG</vt:lpstr>
      <vt:lpstr>BANJARMASIN ANTERAJA</vt:lpstr>
      <vt:lpstr>ANTERAJA PALANGKARAYA</vt:lpstr>
      <vt:lpstr>ANTERAJA BALIKPAPAN</vt:lpstr>
      <vt:lpstr>IN OUT </vt:lpstr>
      <vt:lpstr>ANTERAJA SAMARINDA</vt:lpstr>
      <vt:lpstr>INVOICE AGUSTUS</vt:lpstr>
      <vt:lpstr>INVOICE JULI</vt:lpstr>
      <vt:lpstr>lembur gorontalo</vt:lpstr>
      <vt:lpstr>sharing budget</vt:lpstr>
      <vt:lpstr>sharing budget invoice</vt:lpstr>
      <vt:lpstr>'ANTERAJA - SUNTER'!Print_Area</vt:lpstr>
      <vt:lpstr>'ANTERAJA BALIKPAPAN'!Print_Area</vt:lpstr>
      <vt:lpstr>'ANTERAJA -BOGOR'!Print_Area</vt:lpstr>
      <vt:lpstr>'ANTERAJA JAMBI'!Print_Area</vt:lpstr>
      <vt:lpstr>'ANTERAJA LAMPUNG'!Print_Area</vt:lpstr>
      <vt:lpstr>'anteraja MANADO'!Print_Area</vt:lpstr>
      <vt:lpstr>'ANTERAJA PALANGKARAYA'!Print_Area</vt:lpstr>
      <vt:lpstr>'ANTERAJA PONTIANAK'!Print_Area</vt:lpstr>
      <vt:lpstr>'ANTERAJA SAMARINDA'!Print_Area</vt:lpstr>
      <vt:lpstr>BANGKABELITUNG!Print_Area</vt:lpstr>
      <vt:lpstr>'BANJARMASIN '!Print_Area</vt:lpstr>
      <vt:lpstr>'BANJARMASIN ANTERAJA'!Print_Area</vt:lpstr>
      <vt:lpstr>BENGKULU!Print_Area</vt:lpstr>
      <vt:lpstr>'DRIVER LEADER'!Print_Area</vt:lpstr>
      <vt:lpstr>GORONTALO!Print_Area</vt:lpstr>
      <vt:lpstr>'HALIM '!Print_Area</vt:lpstr>
      <vt:lpstr>'HALIM JULI '!Print_Area</vt:lpstr>
      <vt:lpstr>'INVOICE AGUSTUS'!Print_Area</vt:lpstr>
      <vt:lpstr>'INVOICE JULI'!Print_Area</vt:lpstr>
      <vt:lpstr>KOLAKA!Print_Area</vt:lpstr>
      <vt:lpstr>'lembur BM'!Print_Area</vt:lpstr>
      <vt:lpstr>'MAKASSAR '!Print_Area</vt:lpstr>
      <vt:lpstr>MANADO!Print_Area</vt:lpstr>
      <vt:lpstr>MARUNDA!Print_Area</vt:lpstr>
      <vt:lpstr>PALEMBANG!Print_Area</vt:lpstr>
      <vt:lpstr>'PANGKAL PINANG'!Print_Area</vt:lpstr>
      <vt:lpstr>'PARE-PARE'!Print_Area</vt:lpstr>
      <vt:lpstr>PONTIANAK!Print_Area</vt:lpstr>
      <vt:lpstr>'RAWA BUAYA'!Print_Area</vt:lpstr>
      <vt:lpstr>'RAWA BUAYA JULI'!Print_Area</vt:lpstr>
      <vt:lpstr>'sharing budget'!Print_Area</vt:lpstr>
      <vt:lpstr>'sharing budget invoice'!Print_Area</vt:lpstr>
      <vt:lpstr>'TAMAN TECHNO'!Print_Area</vt:lpstr>
      <vt:lpstr>TIPAR!Print_Area</vt:lpstr>
      <vt:lpstr>'ANTERAJA - SUNTER'!Print_Titles</vt:lpstr>
      <vt:lpstr>'ANTERAJA -BOGOR'!Print_Titles</vt:lpstr>
      <vt:lpstr>'anteraja MANADO'!Print_Titles</vt:lpstr>
      <vt:lpstr>'BANJARMASIN '!Print_Titles</vt:lpstr>
      <vt:lpstr>BENGKULU!Print_Titles</vt:lpstr>
      <vt:lpstr>'DRIVER LEADER'!Print_Titles</vt:lpstr>
      <vt:lpstr>'HALIM '!Print_Titles</vt:lpstr>
      <vt:lpstr>'HALIM JULI '!Print_Titles</vt:lpstr>
      <vt:lpstr>MANADO!Print_Titles</vt:lpstr>
      <vt:lpstr>PONTIANAK!Print_Titles</vt:lpstr>
      <vt:lpstr>'RAWA BUAYA'!Print_Titles</vt:lpstr>
      <vt:lpstr>'RAWA BUAYA JULI'!Print_Titles</vt:lpstr>
      <vt:lpstr>'TAMAN TECHNO'!Print_Titles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satbks</dc:creator>
  <cp:lastModifiedBy>ASUS</cp:lastModifiedBy>
  <cp:revision>1</cp:revision>
  <cp:lastPrinted>2021-08-20T08:22:41Z</cp:lastPrinted>
  <dcterms:created xsi:type="dcterms:W3CDTF">2012-09-01T19:30:00Z</dcterms:created>
  <dcterms:modified xsi:type="dcterms:W3CDTF">2021-08-20T08:33:59Z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1057-11.2.0.10258</vt:lpwstr>
  </property>
  <property fmtid="{D5CDD505-2E9C-101B-9397-08002B2CF9AE}" pid="3" name="KSOReadingLayout">
    <vt:bool>true</vt:bool>
  </property>
  <property fmtid="{D5CDD505-2E9C-101B-9397-08002B2CF9AE}" pid="4" name="ICV">
    <vt:lpwstr>92C32814C0504386AC48B38E84F75ACC</vt:lpwstr>
  </property>
</Properties>
</file>