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Dr. Lal Pathlabs\"/>
    </mc:Choice>
  </mc:AlternateContent>
  <bookViews>
    <workbookView xWindow="0" yWindow="0" windowWidth="23040" windowHeight="10332" tabRatio="845" activeTab="1"/>
  </bookViews>
  <sheets>
    <sheet name="Cover" sheetId="24" r:id="rId1"/>
    <sheet name="Summary" sheetId="21" r:id="rId2"/>
    <sheet name="Assumptions" sheetId="2" r:id="rId3"/>
    <sheet name="Scenarios" sheetId="7" r:id="rId4"/>
    <sheet name="Model" sheetId="6" r:id="rId5"/>
    <sheet name="Valuation" sheetId="25" r:id="rId6"/>
  </sheets>
  <definedNames>
    <definedName name="_xlnm.Print_Area" localSheetId="2">Assumptions!$B$1:$O$39,Assumptions!$B$41:$O$79</definedName>
    <definedName name="_xlnm.Print_Area" localSheetId="0">Cover!$B$1:$J$33</definedName>
    <definedName name="_xlnm.Print_Area" localSheetId="4">Model!$B$1:$O$370</definedName>
    <definedName name="_xlnm.Print_Area" localSheetId="3">Scenarios!$B$1:$K$44</definedName>
    <definedName name="_xlnm.Print_Area" localSheetId="1">Summary!$B$1:$R$59</definedName>
    <definedName name="_xlnm.Print_Area" localSheetId="5">Valuation!$B$1:$O$72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25" l="1"/>
  <c r="C9" i="25"/>
  <c r="O196" i="6" l="1"/>
  <c r="O195" i="6"/>
  <c r="N195" i="6"/>
  <c r="N194" i="6"/>
  <c r="O194" i="6"/>
  <c r="M194" i="6"/>
  <c r="M193" i="6"/>
  <c r="N193" i="6"/>
  <c r="O193" i="6"/>
  <c r="L193" i="6"/>
  <c r="O207" i="6"/>
  <c r="O206" i="6"/>
  <c r="N206" i="6"/>
  <c r="N205" i="6"/>
  <c r="O205" i="6"/>
  <c r="M205" i="6"/>
  <c r="M204" i="6"/>
  <c r="N204" i="6"/>
  <c r="O204" i="6"/>
  <c r="L204" i="6"/>
  <c r="O232" i="6"/>
  <c r="O231" i="6"/>
  <c r="N231" i="6"/>
  <c r="N230" i="6"/>
  <c r="O230" i="6"/>
  <c r="M230" i="6"/>
  <c r="M229" i="6"/>
  <c r="N229" i="6" s="1"/>
  <c r="L229" i="6"/>
  <c r="O229" i="6" l="1"/>
  <c r="B238" i="6"/>
  <c r="G67" i="25" l="1"/>
  <c r="G68" i="25" s="1"/>
  <c r="G69" i="25" s="1"/>
  <c r="J64" i="25"/>
  <c r="K64" i="25" s="1"/>
  <c r="L64" i="25" s="1"/>
  <c r="J53" i="25"/>
  <c r="K53" i="25" s="1"/>
  <c r="L53" i="25" s="1"/>
  <c r="G56" i="25"/>
  <c r="G57" i="25" s="1"/>
  <c r="G58" i="25" s="1"/>
  <c r="J8" i="2"/>
  <c r="M43" i="25"/>
  <c r="C8" i="25"/>
  <c r="I53" i="25" l="1"/>
  <c r="H53" i="25" s="1"/>
  <c r="I64" i="25"/>
  <c r="H64" i="25" s="1"/>
  <c r="G66" i="25"/>
  <c r="G65" i="25" s="1"/>
  <c r="G55" i="25"/>
  <c r="G54" i="25" s="1"/>
  <c r="B1" i="2" l="1"/>
  <c r="L159" i="6" l="1"/>
  <c r="M159" i="6"/>
  <c r="N159" i="6"/>
  <c r="O159" i="6"/>
  <c r="K159" i="6"/>
  <c r="L150" i="6"/>
  <c r="M150" i="6"/>
  <c r="N150" i="6"/>
  <c r="O150" i="6"/>
  <c r="K150" i="6"/>
  <c r="G324" i="6"/>
  <c r="G325" i="6"/>
  <c r="K330" i="6"/>
  <c r="J337" i="6"/>
  <c r="K335" i="6" s="1"/>
  <c r="K157" i="6"/>
  <c r="L157" i="6" s="1"/>
  <c r="M157" i="6" s="1"/>
  <c r="N157" i="6" s="1"/>
  <c r="O157" i="6" s="1"/>
  <c r="J27" i="2"/>
  <c r="K148" i="6"/>
  <c r="L148" i="6" s="1"/>
  <c r="M148" i="6" s="1"/>
  <c r="N148" i="6" s="1"/>
  <c r="O148" i="6" s="1"/>
  <c r="K141" i="6"/>
  <c r="L141" i="6" s="1"/>
  <c r="M141" i="6" s="1"/>
  <c r="N141" i="6" s="1"/>
  <c r="O141" i="6" s="1"/>
  <c r="J34" i="2" l="1"/>
  <c r="K353" i="6"/>
  <c r="L350" i="6"/>
  <c r="L118" i="6" s="1"/>
  <c r="M350" i="6"/>
  <c r="M118" i="6" s="1"/>
  <c r="N350" i="6"/>
  <c r="N118" i="6" s="1"/>
  <c r="O350" i="6"/>
  <c r="O118" i="6" s="1"/>
  <c r="K350" i="6"/>
  <c r="K118" i="6" s="1"/>
  <c r="K367" i="6"/>
  <c r="L367" i="6"/>
  <c r="M367" i="6"/>
  <c r="N367" i="6"/>
  <c r="O367" i="6"/>
  <c r="J368" i="6"/>
  <c r="K366" i="6" s="1"/>
  <c r="J362" i="6"/>
  <c r="K359" i="6" s="1"/>
  <c r="K171" i="6"/>
  <c r="L171" i="6" s="1"/>
  <c r="M171" i="6" s="1"/>
  <c r="N171" i="6" s="1"/>
  <c r="O171" i="6" s="1"/>
  <c r="J37" i="2"/>
  <c r="J351" i="6"/>
  <c r="K349" i="6" s="1"/>
  <c r="J26" i="2"/>
  <c r="J25" i="2"/>
  <c r="J24" i="2"/>
  <c r="J23" i="2"/>
  <c r="J36" i="2"/>
  <c r="J33" i="2"/>
  <c r="J253" i="6"/>
  <c r="K250" i="6" s="1"/>
  <c r="F265" i="6"/>
  <c r="L269" i="6"/>
  <c r="M269" i="6"/>
  <c r="N269" i="6"/>
  <c r="O269" i="6"/>
  <c r="K269" i="6"/>
  <c r="K116" i="6"/>
  <c r="K164" i="6" s="1"/>
  <c r="L116" i="6"/>
  <c r="M116" i="6"/>
  <c r="N116" i="6"/>
  <c r="O116" i="6"/>
  <c r="K351" i="6" l="1"/>
  <c r="L349" i="6" s="1"/>
  <c r="L351" i="6" s="1"/>
  <c r="L168" i="6" s="1"/>
  <c r="K368" i="6"/>
  <c r="L164" i="6"/>
  <c r="M164" i="6" l="1"/>
  <c r="M349" i="6"/>
  <c r="M351" i="6" s="1"/>
  <c r="M168" i="6" s="1"/>
  <c r="K168" i="6"/>
  <c r="L366" i="6"/>
  <c r="L368" i="6" s="1"/>
  <c r="K170" i="6"/>
  <c r="N349" i="6" l="1"/>
  <c r="N351" i="6" s="1"/>
  <c r="O349" i="6" s="1"/>
  <c r="O351" i="6" s="1"/>
  <c r="O168" i="6" s="1"/>
  <c r="N164" i="6"/>
  <c r="M366" i="6"/>
  <c r="M368" i="6" s="1"/>
  <c r="L170" i="6"/>
  <c r="N168" i="6" l="1"/>
  <c r="O164" i="6"/>
  <c r="N366" i="6"/>
  <c r="N368" i="6" s="1"/>
  <c r="M170" i="6"/>
  <c r="O366" i="6" l="1"/>
  <c r="O368" i="6" s="1"/>
  <c r="O170" i="6" s="1"/>
  <c r="N170" i="6"/>
  <c r="K252" i="6" l="1"/>
  <c r="K117" i="6" s="1"/>
  <c r="E246" i="6"/>
  <c r="K248" i="6"/>
  <c r="E245" i="6"/>
  <c r="F264" i="6"/>
  <c r="I307" i="6"/>
  <c r="J307" i="6"/>
  <c r="I308" i="6"/>
  <c r="J308" i="6"/>
  <c r="I309" i="6"/>
  <c r="J309" i="6"/>
  <c r="I310" i="6"/>
  <c r="J310" i="6"/>
  <c r="I311" i="6"/>
  <c r="J311" i="6"/>
  <c r="K255" i="6" l="1"/>
  <c r="K73" i="6" s="1"/>
  <c r="L109" i="6"/>
  <c r="M109" i="6"/>
  <c r="N109" i="6"/>
  <c r="O109" i="6"/>
  <c r="K109" i="6"/>
  <c r="K146" i="6"/>
  <c r="L146" i="6" s="1"/>
  <c r="M146" i="6" s="1"/>
  <c r="N146" i="6" s="1"/>
  <c r="O146" i="6" s="1"/>
  <c r="E228" i="6"/>
  <c r="K108" i="6" s="1"/>
  <c r="E229" i="6"/>
  <c r="L108" i="6" s="1"/>
  <c r="K99" i="6" l="1"/>
  <c r="K119" i="6"/>
  <c r="F222" i="6"/>
  <c r="K225" i="6" s="1"/>
  <c r="E232" i="6"/>
  <c r="E231" i="6"/>
  <c r="N108" i="6" s="1"/>
  <c r="E230" i="6"/>
  <c r="F186" i="6"/>
  <c r="K200" i="6" s="1"/>
  <c r="F223" i="6"/>
  <c r="E207" i="6"/>
  <c r="O251" i="6" s="1"/>
  <c r="E206" i="6"/>
  <c r="N251" i="6" s="1"/>
  <c r="E205" i="6"/>
  <c r="M251" i="6" s="1"/>
  <c r="E204" i="6"/>
  <c r="L251" i="6" s="1"/>
  <c r="E203" i="6"/>
  <c r="K251" i="6" s="1"/>
  <c r="D272" i="6"/>
  <c r="D275" i="6"/>
  <c r="F187" i="6"/>
  <c r="E196" i="6"/>
  <c r="O107" i="6" s="1"/>
  <c r="O15" i="25" s="1"/>
  <c r="E195" i="6"/>
  <c r="N107" i="6" s="1"/>
  <c r="N15" i="25" s="1"/>
  <c r="E194" i="6"/>
  <c r="M107" i="6" s="1"/>
  <c r="M15" i="25" s="1"/>
  <c r="E193" i="6"/>
  <c r="L107" i="6" s="1"/>
  <c r="L15" i="25" s="1"/>
  <c r="E192" i="6"/>
  <c r="K107" i="6" s="1"/>
  <c r="K15" i="25" s="1"/>
  <c r="L248" i="6" l="1"/>
  <c r="L255" i="6"/>
  <c r="K253" i="6"/>
  <c r="O108" i="6"/>
  <c r="M108" i="6"/>
  <c r="K189" i="6"/>
  <c r="L250" i="6" l="1"/>
  <c r="K165" i="6"/>
  <c r="M255" i="6"/>
  <c r="L73" i="6"/>
  <c r="L119" i="6"/>
  <c r="L99" i="6"/>
  <c r="L252" i="6"/>
  <c r="M248" i="6"/>
  <c r="L67" i="6"/>
  <c r="M67" i="6"/>
  <c r="N67" i="6"/>
  <c r="O67" i="6"/>
  <c r="K67" i="6"/>
  <c r="E44" i="6"/>
  <c r="K29" i="6"/>
  <c r="L29" i="6" s="1"/>
  <c r="L41" i="6"/>
  <c r="M41" i="6"/>
  <c r="N41" i="6"/>
  <c r="O41" i="6"/>
  <c r="K41" i="6"/>
  <c r="L60" i="6"/>
  <c r="O60" i="6"/>
  <c r="M60" i="6"/>
  <c r="N60" i="6"/>
  <c r="K60" i="6"/>
  <c r="E40" i="6"/>
  <c r="K33" i="6"/>
  <c r="K32" i="6"/>
  <c r="J13" i="6"/>
  <c r="J15" i="6" s="1"/>
  <c r="H311" i="6"/>
  <c r="L300" i="6"/>
  <c r="M300" i="6"/>
  <c r="N300" i="6"/>
  <c r="O300" i="6"/>
  <c r="L301" i="6"/>
  <c r="M301" i="6"/>
  <c r="N301" i="6"/>
  <c r="O301" i="6"/>
  <c r="L302" i="6"/>
  <c r="M302" i="6"/>
  <c r="N302" i="6"/>
  <c r="O302" i="6"/>
  <c r="L303" i="6"/>
  <c r="M303" i="6"/>
  <c r="N303" i="6"/>
  <c r="O303" i="6"/>
  <c r="L304" i="6"/>
  <c r="M304" i="6"/>
  <c r="N304" i="6"/>
  <c r="O304" i="6"/>
  <c r="K301" i="6"/>
  <c r="K302" i="6"/>
  <c r="K303" i="6"/>
  <c r="K304" i="6"/>
  <c r="K300" i="6"/>
  <c r="H310" i="6"/>
  <c r="H309" i="6"/>
  <c r="H308" i="6"/>
  <c r="H307" i="6"/>
  <c r="I297" i="6"/>
  <c r="J297" i="6"/>
  <c r="H297" i="6"/>
  <c r="K166" i="6" l="1"/>
  <c r="M41" i="25"/>
  <c r="O110" i="6"/>
  <c r="O100" i="6"/>
  <c r="L110" i="6"/>
  <c r="L100" i="6"/>
  <c r="N110" i="6"/>
  <c r="N100" i="6"/>
  <c r="K110" i="6"/>
  <c r="K100" i="6"/>
  <c r="M110" i="6"/>
  <c r="M100" i="6"/>
  <c r="N255" i="6"/>
  <c r="M73" i="6"/>
  <c r="M119" i="6"/>
  <c r="M99" i="6"/>
  <c r="L253" i="6"/>
  <c r="L117" i="6"/>
  <c r="N248" i="6"/>
  <c r="M252" i="6"/>
  <c r="M29" i="6"/>
  <c r="N29" i="6" s="1"/>
  <c r="O29" i="6" s="1"/>
  <c r="K34" i="6"/>
  <c r="J27" i="6"/>
  <c r="H302" i="6"/>
  <c r="I312" i="6"/>
  <c r="H301" i="6"/>
  <c r="H303" i="6"/>
  <c r="H304" i="6"/>
  <c r="H312" i="6"/>
  <c r="J312" i="6"/>
  <c r="M117" i="6" l="1"/>
  <c r="M250" i="6"/>
  <c r="M253" i="6" s="1"/>
  <c r="L165" i="6"/>
  <c r="L166" i="6" s="1"/>
  <c r="O255" i="6"/>
  <c r="N119" i="6"/>
  <c r="N99" i="6"/>
  <c r="N73" i="6"/>
  <c r="O248" i="6"/>
  <c r="N252" i="6"/>
  <c r="K30" i="7"/>
  <c r="O12" i="6" s="1"/>
  <c r="J30" i="7"/>
  <c r="N12" i="6" s="1"/>
  <c r="I30" i="7"/>
  <c r="M12" i="6" s="1"/>
  <c r="H30" i="7"/>
  <c r="L12" i="6" s="1"/>
  <c r="G30" i="7"/>
  <c r="K12" i="6" s="1"/>
  <c r="K13" i="6" s="1"/>
  <c r="H12" i="7"/>
  <c r="L28" i="6" s="1"/>
  <c r="I12" i="7"/>
  <c r="M28" i="6" s="1"/>
  <c r="J12" i="7"/>
  <c r="N28" i="6" s="1"/>
  <c r="K12" i="7"/>
  <c r="O28" i="6" s="1"/>
  <c r="G12" i="7"/>
  <c r="K28" i="6" s="1"/>
  <c r="D27" i="7"/>
  <c r="D26" i="7"/>
  <c r="I27" i="7" l="1"/>
  <c r="H26" i="7"/>
  <c r="I38" i="7"/>
  <c r="M160" i="6" s="1"/>
  <c r="G38" i="7"/>
  <c r="K160" i="6" s="1"/>
  <c r="H38" i="7"/>
  <c r="L160" i="6" s="1"/>
  <c r="K38" i="7"/>
  <c r="O160" i="6" s="1"/>
  <c r="J38" i="7"/>
  <c r="N160" i="6" s="1"/>
  <c r="O252" i="6"/>
  <c r="O117" i="6" s="1"/>
  <c r="N250" i="6"/>
  <c r="N253" i="6" s="1"/>
  <c r="M165" i="6"/>
  <c r="M166" i="6" s="1"/>
  <c r="N117" i="6"/>
  <c r="O119" i="6"/>
  <c r="O99" i="6"/>
  <c r="O73" i="6"/>
  <c r="L32" i="6"/>
  <c r="M32" i="6" s="1"/>
  <c r="N32" i="6" s="1"/>
  <c r="O32" i="6" s="1"/>
  <c r="L33" i="6"/>
  <c r="M33" i="6" s="1"/>
  <c r="N33" i="6" s="1"/>
  <c r="O33" i="6" s="1"/>
  <c r="L13" i="6"/>
  <c r="K27" i="6"/>
  <c r="K56" i="6"/>
  <c r="K27" i="7"/>
  <c r="K26" i="7"/>
  <c r="H27" i="7"/>
  <c r="H23" i="7" s="1"/>
  <c r="L10" i="6" s="1"/>
  <c r="J26" i="7"/>
  <c r="G26" i="7"/>
  <c r="I26" i="7"/>
  <c r="I23" i="7" s="1"/>
  <c r="M10" i="6" s="1"/>
  <c r="J27" i="7"/>
  <c r="G27" i="7"/>
  <c r="J23" i="7" l="1"/>
  <c r="N10" i="6" s="1"/>
  <c r="K23" i="7"/>
  <c r="O10" i="6" s="1"/>
  <c r="G23" i="7"/>
  <c r="K10" i="6" s="1"/>
  <c r="K15" i="6" s="1"/>
  <c r="K59" i="6" s="1"/>
  <c r="K61" i="6" s="1"/>
  <c r="AD11" i="21" s="1"/>
  <c r="O250" i="6"/>
  <c r="O253" i="6" s="1"/>
  <c r="O165" i="6" s="1"/>
  <c r="O166" i="6" s="1"/>
  <c r="N165" i="6"/>
  <c r="N166" i="6" s="1"/>
  <c r="L15" i="6"/>
  <c r="L59" i="6" s="1"/>
  <c r="L61" i="6" s="1"/>
  <c r="AE11" i="21" s="1"/>
  <c r="L34" i="6"/>
  <c r="K39" i="6"/>
  <c r="K38" i="6"/>
  <c r="M13" i="6"/>
  <c r="M15" i="6" s="1"/>
  <c r="L56" i="6"/>
  <c r="L27" i="6"/>
  <c r="L39" i="6" s="1"/>
  <c r="H99" i="6"/>
  <c r="H98" i="6"/>
  <c r="I99" i="6"/>
  <c r="I98" i="6"/>
  <c r="J98" i="6"/>
  <c r="J99" i="6"/>
  <c r="K44" i="6" l="1"/>
  <c r="L296" i="6"/>
  <c r="K296" i="6"/>
  <c r="K64" i="6"/>
  <c r="M59" i="6"/>
  <c r="M61" i="6" s="1"/>
  <c r="AF11" i="21" s="1"/>
  <c r="L38" i="6"/>
  <c r="M34" i="6"/>
  <c r="K40" i="6"/>
  <c r="L44" i="6"/>
  <c r="N13" i="6"/>
  <c r="N15" i="6" s="1"/>
  <c r="M27" i="6"/>
  <c r="M39" i="6" s="1"/>
  <c r="M56" i="6"/>
  <c r="H61" i="6"/>
  <c r="J65" i="6"/>
  <c r="I61" i="6"/>
  <c r="AA11" i="21" s="1"/>
  <c r="J61" i="6"/>
  <c r="AB11" i="21" s="1"/>
  <c r="AD12" i="21" s="1"/>
  <c r="H163" i="6"/>
  <c r="I143" i="6"/>
  <c r="J143" i="6"/>
  <c r="H143" i="6"/>
  <c r="I151" i="6"/>
  <c r="J151" i="6"/>
  <c r="H151" i="6"/>
  <c r="I172" i="6"/>
  <c r="J172" i="6"/>
  <c r="H172" i="6"/>
  <c r="H166" i="6"/>
  <c r="I166" i="6"/>
  <c r="J166" i="6"/>
  <c r="J163" i="6"/>
  <c r="H296" i="6" l="1"/>
  <c r="H300" i="6" s="1"/>
  <c r="Z11" i="21"/>
  <c r="AA12" i="21" s="1"/>
  <c r="AB12" i="21"/>
  <c r="AE12" i="21"/>
  <c r="M296" i="6"/>
  <c r="AF12" i="21"/>
  <c r="L64" i="6"/>
  <c r="K42" i="6"/>
  <c r="J296" i="6"/>
  <c r="I296" i="6"/>
  <c r="N59" i="6"/>
  <c r="N61" i="6" s="1"/>
  <c r="AG11" i="21" s="1"/>
  <c r="M38" i="6"/>
  <c r="N34" i="6"/>
  <c r="L40" i="6"/>
  <c r="L42" i="6" s="1"/>
  <c r="L63" i="6" s="1"/>
  <c r="L297" i="6" s="1"/>
  <c r="M44" i="6"/>
  <c r="O13" i="6"/>
  <c r="O15" i="6" s="1"/>
  <c r="N56" i="6"/>
  <c r="N27" i="6"/>
  <c r="N39" i="6" s="1"/>
  <c r="B41" i="2"/>
  <c r="H167" i="6"/>
  <c r="H174" i="6" s="1"/>
  <c r="I163" i="6"/>
  <c r="I153" i="6"/>
  <c r="J121" i="6"/>
  <c r="I121" i="6"/>
  <c r="H121" i="6"/>
  <c r="L353" i="6"/>
  <c r="M353" i="6" s="1"/>
  <c r="N353" i="6" s="1"/>
  <c r="O353" i="6" s="1"/>
  <c r="J153" i="6"/>
  <c r="J112" i="6"/>
  <c r="I112" i="6"/>
  <c r="H112" i="6"/>
  <c r="J78" i="6"/>
  <c r="I78" i="6"/>
  <c r="H78" i="6"/>
  <c r="D40" i="6"/>
  <c r="D33" i="6"/>
  <c r="D39" i="6" s="1"/>
  <c r="D32" i="6"/>
  <c r="D38" i="6" s="1"/>
  <c r="J45" i="2"/>
  <c r="K45" i="2" s="1"/>
  <c r="L45" i="2" s="1"/>
  <c r="M45" i="2" s="1"/>
  <c r="N45" i="2" s="1"/>
  <c r="B1" i="7"/>
  <c r="G6" i="7"/>
  <c r="C14" i="7"/>
  <c r="C40" i="7" s="1"/>
  <c r="E23" i="2"/>
  <c r="C15" i="7"/>
  <c r="C33" i="7" s="1"/>
  <c r="C16" i="7"/>
  <c r="C34" i="7" s="1"/>
  <c r="H65" i="6"/>
  <c r="I65" i="6"/>
  <c r="J68" i="6"/>
  <c r="AB14" i="21" s="1"/>
  <c r="AB15" i="21" s="1"/>
  <c r="B2" i="6" l="1"/>
  <c r="B130" i="6" s="1"/>
  <c r="B2" i="25"/>
  <c r="B26" i="25" s="1"/>
  <c r="C25" i="7"/>
  <c r="O1" i="25"/>
  <c r="O25" i="25" s="1"/>
  <c r="O1" i="6"/>
  <c r="O237" i="6" s="1"/>
  <c r="K7" i="6"/>
  <c r="K264" i="6" s="1"/>
  <c r="K7" i="25"/>
  <c r="J7" i="25" s="1"/>
  <c r="N296" i="6"/>
  <c r="AG12" i="21"/>
  <c r="K323" i="6"/>
  <c r="K243" i="6"/>
  <c r="K220" i="6"/>
  <c r="L45" i="6"/>
  <c r="L65" i="6"/>
  <c r="K63" i="6"/>
  <c r="K45" i="6"/>
  <c r="M64" i="6"/>
  <c r="O59" i="6"/>
  <c r="O61" i="6" s="1"/>
  <c r="AH11" i="21" s="1"/>
  <c r="N38" i="6"/>
  <c r="O34" i="6"/>
  <c r="M40" i="6"/>
  <c r="M42" i="6" s="1"/>
  <c r="O56" i="6"/>
  <c r="O27" i="6"/>
  <c r="O39" i="6" s="1"/>
  <c r="N44" i="6"/>
  <c r="U5" i="21"/>
  <c r="C32" i="7"/>
  <c r="I68" i="6"/>
  <c r="H68" i="6"/>
  <c r="I167" i="6"/>
  <c r="I174" i="6" s="1"/>
  <c r="I175" i="6" s="1"/>
  <c r="J167" i="6"/>
  <c r="J174" i="6" s="1"/>
  <c r="J175" i="6" s="1"/>
  <c r="H153" i="6"/>
  <c r="H175" i="6" s="1"/>
  <c r="J56" i="6"/>
  <c r="J84" i="6"/>
  <c r="J71" i="6"/>
  <c r="K25" i="6"/>
  <c r="K135" i="6"/>
  <c r="H6" i="7"/>
  <c r="L7" i="25" s="1"/>
  <c r="I71" i="6" l="1"/>
  <c r="I74" i="6" s="1"/>
  <c r="I80" i="6" s="1"/>
  <c r="AA17" i="21" s="1"/>
  <c r="AA18" i="21" s="1"/>
  <c r="AA14" i="21"/>
  <c r="AA15" i="21" s="1"/>
  <c r="H84" i="6"/>
  <c r="Z14" i="21"/>
  <c r="Z15" i="21" s="1"/>
  <c r="K54" i="6"/>
  <c r="K291" i="6"/>
  <c r="K95" i="6"/>
  <c r="K346" i="6"/>
  <c r="J7" i="6"/>
  <c r="J220" i="6" s="1"/>
  <c r="K184" i="6"/>
  <c r="D203" i="6" s="1"/>
  <c r="D204" i="6" s="1"/>
  <c r="D205" i="6" s="1"/>
  <c r="D206" i="6" s="1"/>
  <c r="D207" i="6" s="1"/>
  <c r="AD7" i="21"/>
  <c r="L7" i="21" s="1"/>
  <c r="L25" i="21" s="1"/>
  <c r="L43" i="21" s="1"/>
  <c r="B286" i="6"/>
  <c r="B215" i="6"/>
  <c r="B20" i="6"/>
  <c r="B90" i="6"/>
  <c r="B259" i="6"/>
  <c r="B179" i="6"/>
  <c r="B341" i="6"/>
  <c r="B318" i="6"/>
  <c r="B49" i="6"/>
  <c r="O317" i="6"/>
  <c r="O214" i="6"/>
  <c r="O258" i="6"/>
  <c r="O340" i="6"/>
  <c r="O89" i="6"/>
  <c r="O129" i="6"/>
  <c r="O19" i="6"/>
  <c r="O48" i="6"/>
  <c r="O285" i="6"/>
  <c r="O178" i="6"/>
  <c r="O296" i="6"/>
  <c r="AH12" i="21"/>
  <c r="K65" i="6"/>
  <c r="K68" i="6" s="1"/>
  <c r="AD14" i="21" s="1"/>
  <c r="AD15" i="21" s="1"/>
  <c r="K297" i="6"/>
  <c r="D228" i="6"/>
  <c r="D229" i="6" s="1"/>
  <c r="D230" i="6" s="1"/>
  <c r="D231" i="6" s="1"/>
  <c r="D232" i="6" s="1"/>
  <c r="L68" i="6"/>
  <c r="AE14" i="21" s="1"/>
  <c r="AE15" i="21" s="1"/>
  <c r="M63" i="6"/>
  <c r="M45" i="6"/>
  <c r="N64" i="6"/>
  <c r="O38" i="6"/>
  <c r="N40" i="6"/>
  <c r="O44" i="6"/>
  <c r="I84" i="6"/>
  <c r="H71" i="6"/>
  <c r="H74" i="6" s="1"/>
  <c r="H80" i="6" s="1"/>
  <c r="Z17" i="21" s="1"/>
  <c r="Z18" i="21" s="1"/>
  <c r="I85" i="6"/>
  <c r="J85" i="6"/>
  <c r="J74" i="6"/>
  <c r="J80" i="6" s="1"/>
  <c r="AB17" i="21" s="1"/>
  <c r="AB18" i="21" s="1"/>
  <c r="L7" i="6"/>
  <c r="I6" i="7"/>
  <c r="M7" i="25" s="1"/>
  <c r="J135" i="6" l="1"/>
  <c r="I86" i="6"/>
  <c r="I97" i="6"/>
  <c r="I103" i="6" s="1"/>
  <c r="I7" i="6"/>
  <c r="I220" i="6" s="1"/>
  <c r="J184" i="6"/>
  <c r="J25" i="6"/>
  <c r="J346" i="6"/>
  <c r="D192" i="6"/>
  <c r="D193" i="6" s="1"/>
  <c r="D194" i="6" s="1"/>
  <c r="D195" i="6" s="1"/>
  <c r="D196" i="6" s="1"/>
  <c r="J243" i="6"/>
  <c r="J291" i="6"/>
  <c r="K293" i="6" s="1"/>
  <c r="J54" i="6"/>
  <c r="J323" i="6"/>
  <c r="AB7" i="21"/>
  <c r="J7" i="21" s="1"/>
  <c r="J25" i="21" s="1"/>
  <c r="J43" i="21" s="1"/>
  <c r="J95" i="6"/>
  <c r="L323" i="6"/>
  <c r="I124" i="6"/>
  <c r="L243" i="6"/>
  <c r="J86" i="6"/>
  <c r="K228" i="6"/>
  <c r="K234" i="6" s="1"/>
  <c r="M65" i="6"/>
  <c r="M297" i="6"/>
  <c r="L84" i="6"/>
  <c r="K84" i="6"/>
  <c r="K203" i="6"/>
  <c r="K209" i="6" s="1"/>
  <c r="K145" i="6" s="1"/>
  <c r="L264" i="6"/>
  <c r="L220" i="6"/>
  <c r="O64" i="6"/>
  <c r="N42" i="6"/>
  <c r="H85" i="6"/>
  <c r="O40" i="6"/>
  <c r="O42" i="6" s="1"/>
  <c r="O63" i="6" s="1"/>
  <c r="O297" i="6" s="1"/>
  <c r="H97" i="6"/>
  <c r="H103" i="6" s="1"/>
  <c r="H86" i="6"/>
  <c r="J97" i="6"/>
  <c r="J103" i="6" s="1"/>
  <c r="M7" i="6"/>
  <c r="J6" i="7"/>
  <c r="N7" i="25" s="1"/>
  <c r="L54" i="6"/>
  <c r="AE7" i="21"/>
  <c r="M7" i="21" s="1"/>
  <c r="M25" i="21" s="1"/>
  <c r="M43" i="21" s="1"/>
  <c r="L184" i="6"/>
  <c r="L346" i="6"/>
  <c r="L135" i="6"/>
  <c r="L291" i="6"/>
  <c r="L293" i="6" s="1"/>
  <c r="L25" i="6"/>
  <c r="L95" i="6"/>
  <c r="I54" i="6"/>
  <c r="AA7" i="21" l="1"/>
  <c r="I7" i="21" s="1"/>
  <c r="I25" i="21" s="1"/>
  <c r="I43" i="21" s="1"/>
  <c r="I291" i="6"/>
  <c r="J293" i="6" s="1"/>
  <c r="H7" i="6"/>
  <c r="H135" i="6" s="1"/>
  <c r="I243" i="6"/>
  <c r="I95" i="6"/>
  <c r="I184" i="6"/>
  <c r="I135" i="6"/>
  <c r="I25" i="6"/>
  <c r="K192" i="6"/>
  <c r="K198" i="6" s="1"/>
  <c r="K144" i="6" s="1"/>
  <c r="M323" i="6"/>
  <c r="H124" i="6"/>
  <c r="H126" i="6" s="1"/>
  <c r="I125" i="6" s="1"/>
  <c r="I126" i="6" s="1"/>
  <c r="J125" i="6" s="1"/>
  <c r="J124" i="6"/>
  <c r="M184" i="6"/>
  <c r="M243" i="6"/>
  <c r="H220" i="6"/>
  <c r="H243" i="6"/>
  <c r="M68" i="6"/>
  <c r="L225" i="6"/>
  <c r="K147" i="6"/>
  <c r="L228" i="6"/>
  <c r="K211" i="6"/>
  <c r="K70" i="6" s="1"/>
  <c r="L203" i="6"/>
  <c r="L192" i="6"/>
  <c r="L200" i="6"/>
  <c r="L189" i="6"/>
  <c r="M220" i="6"/>
  <c r="M264" i="6"/>
  <c r="O65" i="6"/>
  <c r="N63" i="6"/>
  <c r="N45" i="6"/>
  <c r="O45" i="6"/>
  <c r="L309" i="6"/>
  <c r="L142" i="6" s="1"/>
  <c r="L308" i="6"/>
  <c r="L139" i="6" s="1"/>
  <c r="L311" i="6"/>
  <c r="L162" i="6" s="1"/>
  <c r="L307" i="6"/>
  <c r="L310" i="6"/>
  <c r="L158" i="6" s="1"/>
  <c r="K310" i="6"/>
  <c r="K158" i="6" s="1"/>
  <c r="K311" i="6"/>
  <c r="K162" i="6" s="1"/>
  <c r="K309" i="6"/>
  <c r="K142" i="6" s="1"/>
  <c r="K308" i="6"/>
  <c r="K139" i="6" s="1"/>
  <c r="K307" i="6"/>
  <c r="H291" i="6"/>
  <c r="I293" i="6" s="1"/>
  <c r="H184" i="6"/>
  <c r="N7" i="6"/>
  <c r="K6" i="7"/>
  <c r="O7" i="25" s="1"/>
  <c r="AF7" i="21"/>
  <c r="N7" i="21" s="1"/>
  <c r="N25" i="21" s="1"/>
  <c r="N43" i="21" s="1"/>
  <c r="M135" i="6"/>
  <c r="M25" i="6"/>
  <c r="M95" i="6"/>
  <c r="M291" i="6"/>
  <c r="M293" i="6" s="1"/>
  <c r="M54" i="6"/>
  <c r="M346" i="6"/>
  <c r="H25" i="6" l="1"/>
  <c r="Z7" i="21"/>
  <c r="H7" i="21" s="1"/>
  <c r="H25" i="21" s="1"/>
  <c r="H43" i="21" s="1"/>
  <c r="H95" i="6"/>
  <c r="H54" i="6"/>
  <c r="M84" i="6"/>
  <c r="AF14" i="21"/>
  <c r="AF15" i="21" s="1"/>
  <c r="N323" i="6"/>
  <c r="J126" i="6"/>
  <c r="K125" i="6" s="1"/>
  <c r="M200" i="6"/>
  <c r="M203" i="6"/>
  <c r="N243" i="6"/>
  <c r="K71" i="6"/>
  <c r="K98" i="6"/>
  <c r="K14" i="25" s="1"/>
  <c r="N65" i="6"/>
  <c r="N297" i="6"/>
  <c r="L138" i="6"/>
  <c r="L312" i="6"/>
  <c r="K138" i="6"/>
  <c r="K312" i="6"/>
  <c r="M225" i="6"/>
  <c r="M228" i="6"/>
  <c r="L198" i="6"/>
  <c r="L144" i="6" s="1"/>
  <c r="M192" i="6"/>
  <c r="L209" i="6"/>
  <c r="M189" i="6"/>
  <c r="N220" i="6"/>
  <c r="N264" i="6"/>
  <c r="O68" i="6"/>
  <c r="M308" i="6"/>
  <c r="M139" i="6" s="1"/>
  <c r="M310" i="6"/>
  <c r="M158" i="6" s="1"/>
  <c r="M309" i="6"/>
  <c r="M142" i="6" s="1"/>
  <c r="M311" i="6"/>
  <c r="M162" i="6" s="1"/>
  <c r="M307" i="6"/>
  <c r="I301" i="6"/>
  <c r="I303" i="6"/>
  <c r="I302" i="6"/>
  <c r="I304" i="6"/>
  <c r="I300" i="6"/>
  <c r="J302" i="6"/>
  <c r="J304" i="6"/>
  <c r="J300" i="6"/>
  <c r="J301" i="6"/>
  <c r="J303" i="6"/>
  <c r="AG7" i="21"/>
  <c r="O7" i="21" s="1"/>
  <c r="O25" i="21" s="1"/>
  <c r="O43" i="21" s="1"/>
  <c r="N25" i="6"/>
  <c r="N95" i="6"/>
  <c r="N184" i="6"/>
  <c r="N346" i="6"/>
  <c r="N54" i="6"/>
  <c r="N135" i="6"/>
  <c r="N291" i="6"/>
  <c r="N293" i="6" s="1"/>
  <c r="O7" i="6"/>
  <c r="E15" i="2"/>
  <c r="AH14" i="21" l="1"/>
  <c r="AH15" i="21" s="1"/>
  <c r="M31" i="25"/>
  <c r="M33" i="25" s="1"/>
  <c r="M34" i="25" s="1"/>
  <c r="M37" i="25" s="1"/>
  <c r="K85" i="6"/>
  <c r="K10" i="25"/>
  <c r="O323" i="6"/>
  <c r="M209" i="6"/>
  <c r="O243" i="6"/>
  <c r="K74" i="6"/>
  <c r="K267" i="6" s="1"/>
  <c r="N68" i="6"/>
  <c r="N228" i="6"/>
  <c r="M138" i="6"/>
  <c r="M312" i="6"/>
  <c r="O84" i="6"/>
  <c r="L314" i="6"/>
  <c r="L101" i="6" s="1"/>
  <c r="L16" i="25" s="1"/>
  <c r="K314" i="6"/>
  <c r="K101" i="6" s="1"/>
  <c r="K16" i="25" s="1"/>
  <c r="N225" i="6"/>
  <c r="L211" i="6"/>
  <c r="L145" i="6"/>
  <c r="M198" i="6"/>
  <c r="M144" i="6" s="1"/>
  <c r="N200" i="6"/>
  <c r="N203" i="6"/>
  <c r="N192" i="6"/>
  <c r="O220" i="6"/>
  <c r="O264" i="6"/>
  <c r="N189" i="6"/>
  <c r="N310" i="6"/>
  <c r="N158" i="6" s="1"/>
  <c r="N308" i="6"/>
  <c r="N139" i="6" s="1"/>
  <c r="N309" i="6"/>
  <c r="N142" i="6" s="1"/>
  <c r="N311" i="6"/>
  <c r="N162" i="6" s="1"/>
  <c r="N307" i="6"/>
  <c r="O135" i="6"/>
  <c r="O54" i="6"/>
  <c r="O95" i="6"/>
  <c r="O184" i="6"/>
  <c r="AH7" i="21"/>
  <c r="P7" i="21" s="1"/>
  <c r="P25" i="21" s="1"/>
  <c r="P43" i="21" s="1"/>
  <c r="O25" i="6"/>
  <c r="O346" i="6"/>
  <c r="O291" i="6"/>
  <c r="O293" i="6" s="1"/>
  <c r="K11" i="25" l="1"/>
  <c r="K12" i="25" s="1"/>
  <c r="K18" i="25" s="1"/>
  <c r="K20" i="25" s="1"/>
  <c r="N84" i="6"/>
  <c r="AG14" i="21"/>
  <c r="AG15" i="21" s="1"/>
  <c r="M145" i="6"/>
  <c r="K272" i="6"/>
  <c r="K270" i="6"/>
  <c r="K275" i="6" s="1"/>
  <c r="K76" i="6" s="1"/>
  <c r="O228" i="6"/>
  <c r="O225" i="6"/>
  <c r="N138" i="6"/>
  <c r="N312" i="6"/>
  <c r="N314" i="6" s="1"/>
  <c r="N101" i="6" s="1"/>
  <c r="N16" i="25" s="1"/>
  <c r="M314" i="6"/>
  <c r="M101" i="6" s="1"/>
  <c r="M16" i="25" s="1"/>
  <c r="M211" i="6"/>
  <c r="N198" i="6"/>
  <c r="N144" i="6" s="1"/>
  <c r="O200" i="6"/>
  <c r="O203" i="6"/>
  <c r="O192" i="6"/>
  <c r="N209" i="6"/>
  <c r="O189" i="6"/>
  <c r="O311" i="6"/>
  <c r="O162" i="6" s="1"/>
  <c r="O310" i="6"/>
  <c r="O158" i="6" s="1"/>
  <c r="O309" i="6"/>
  <c r="O142" i="6" s="1"/>
  <c r="O308" i="6"/>
  <c r="O139" i="6" s="1"/>
  <c r="O307" i="6"/>
  <c r="N145" i="6" l="1"/>
  <c r="K279" i="6"/>
  <c r="K276" i="6"/>
  <c r="K149" i="6" s="1"/>
  <c r="O138" i="6"/>
  <c r="O312" i="6"/>
  <c r="O314" i="6" s="1"/>
  <c r="O101" i="6" s="1"/>
  <c r="O16" i="25" s="1"/>
  <c r="N211" i="6"/>
  <c r="O198" i="6"/>
  <c r="O144" i="6" s="1"/>
  <c r="O209" i="6"/>
  <c r="O145" i="6" l="1"/>
  <c r="K102" i="6"/>
  <c r="K151" i="6"/>
  <c r="K280" i="6"/>
  <c r="K161" i="6" s="1"/>
  <c r="K163" i="6" s="1"/>
  <c r="K167" i="6" s="1"/>
  <c r="K277" i="6"/>
  <c r="K77" i="6"/>
  <c r="K78" i="6" s="1"/>
  <c r="K80" i="6" s="1"/>
  <c r="AD17" i="21" s="1"/>
  <c r="AD18" i="21" s="1"/>
  <c r="O211" i="6"/>
  <c r="N234" i="6"/>
  <c r="N70" i="6" s="1"/>
  <c r="L234" i="6"/>
  <c r="L147" i="6" s="1"/>
  <c r="K360" i="6" l="1"/>
  <c r="K354" i="6"/>
  <c r="K355" i="6" s="1"/>
  <c r="K361" i="6" s="1"/>
  <c r="K120" i="6" s="1"/>
  <c r="K121" i="6" s="1"/>
  <c r="K97" i="6"/>
  <c r="K103" i="6" s="1"/>
  <c r="N71" i="6"/>
  <c r="N98" i="6"/>
  <c r="N14" i="25" s="1"/>
  <c r="M234" i="6"/>
  <c r="M70" i="6" s="1"/>
  <c r="O234" i="6"/>
  <c r="O70" i="6" s="1"/>
  <c r="L70" i="6"/>
  <c r="N85" i="6" l="1"/>
  <c r="N10" i="25"/>
  <c r="K327" i="6"/>
  <c r="K331" i="6" s="1"/>
  <c r="K332" i="6" s="1"/>
  <c r="L330" i="6" s="1"/>
  <c r="K362" i="6"/>
  <c r="N74" i="6"/>
  <c r="N267" i="6" s="1"/>
  <c r="N270" i="6" s="1"/>
  <c r="N275" i="6" s="1"/>
  <c r="O71" i="6"/>
  <c r="O10" i="25" s="1"/>
  <c r="O98" i="6"/>
  <c r="O14" i="25" s="1"/>
  <c r="L71" i="6"/>
  <c r="L98" i="6"/>
  <c r="L14" i="25" s="1"/>
  <c r="M71" i="6"/>
  <c r="M98" i="6"/>
  <c r="M14" i="25" s="1"/>
  <c r="M147" i="6"/>
  <c r="N11" i="25" l="1"/>
  <c r="N12" i="25" s="1"/>
  <c r="N18" i="25" s="1"/>
  <c r="N20" i="25" s="1"/>
  <c r="M85" i="6"/>
  <c r="M10" i="25"/>
  <c r="O11" i="25"/>
  <c r="O12" i="25" s="1"/>
  <c r="O18" i="25" s="1"/>
  <c r="O20" i="25" s="1"/>
  <c r="L74" i="6"/>
  <c r="L267" i="6" s="1"/>
  <c r="L272" i="6" s="1"/>
  <c r="L10" i="25"/>
  <c r="K336" i="6"/>
  <c r="K337" i="6" s="1"/>
  <c r="L335" i="6" s="1"/>
  <c r="L85" i="6"/>
  <c r="N147" i="6"/>
  <c r="L359" i="6"/>
  <c r="K169" i="6"/>
  <c r="K172" i="6" s="1"/>
  <c r="N272" i="6"/>
  <c r="N276" i="6" s="1"/>
  <c r="N76" i="6"/>
  <c r="N279" i="6"/>
  <c r="N102" i="6" s="1"/>
  <c r="O85" i="6"/>
  <c r="O74" i="6"/>
  <c r="M74" i="6"/>
  <c r="K140" i="6" l="1"/>
  <c r="L11" i="25"/>
  <c r="L12" i="25" s="1"/>
  <c r="L18" i="25" s="1"/>
  <c r="L20" i="25" s="1"/>
  <c r="M11" i="25"/>
  <c r="M12" i="25" s="1"/>
  <c r="M18" i="25" s="1"/>
  <c r="M20" i="25" s="1"/>
  <c r="K111" i="6"/>
  <c r="K112" i="6" s="1"/>
  <c r="K124" i="6" s="1"/>
  <c r="K126" i="6" s="1"/>
  <c r="L125" i="6" s="1"/>
  <c r="O147" i="6"/>
  <c r="K86" i="6"/>
  <c r="K174" i="6"/>
  <c r="N280" i="6"/>
  <c r="N277" i="6"/>
  <c r="N77" i="6"/>
  <c r="M267" i="6"/>
  <c r="M272" i="6" s="1"/>
  <c r="L270" i="6"/>
  <c r="L275" i="6" s="1"/>
  <c r="L276" i="6" s="1"/>
  <c r="O267" i="6"/>
  <c r="O272" i="6" s="1"/>
  <c r="N78" i="6"/>
  <c r="N80" i="6" s="1"/>
  <c r="AG17" i="21" s="1"/>
  <c r="AG18" i="21" s="1"/>
  <c r="O22" i="25" l="1"/>
  <c r="M36" i="25" s="1"/>
  <c r="M38" i="25" s="1"/>
  <c r="K137" i="6"/>
  <c r="N360" i="6"/>
  <c r="N354" i="6"/>
  <c r="N355" i="6" s="1"/>
  <c r="N361" i="6" s="1"/>
  <c r="N120" i="6" s="1"/>
  <c r="N121" i="6" s="1"/>
  <c r="O270" i="6"/>
  <c r="O275" i="6" s="1"/>
  <c r="O76" i="6" s="1"/>
  <c r="N97" i="6"/>
  <c r="N103" i="6" s="1"/>
  <c r="M270" i="6"/>
  <c r="M275" i="6" s="1"/>
  <c r="M276" i="6" s="1"/>
  <c r="L149" i="6"/>
  <c r="L151" i="6" s="1"/>
  <c r="L77" i="6"/>
  <c r="L76" i="6"/>
  <c r="L279" i="6"/>
  <c r="L277" i="6"/>
  <c r="G53" i="25" l="1"/>
  <c r="AG20" i="21"/>
  <c r="K143" i="6"/>
  <c r="K153" i="6" s="1"/>
  <c r="K175" i="6" s="1"/>
  <c r="M40" i="25"/>
  <c r="M42" i="25" s="1"/>
  <c r="N327" i="6"/>
  <c r="N336" i="6" s="1"/>
  <c r="O276" i="6"/>
  <c r="O277" i="6" s="1"/>
  <c r="O279" i="6"/>
  <c r="O102" i="6" s="1"/>
  <c r="L78" i="6"/>
  <c r="L80" i="6" s="1"/>
  <c r="AE17" i="21" s="1"/>
  <c r="AE18" i="21" s="1"/>
  <c r="M149" i="6"/>
  <c r="M151" i="6" s="1"/>
  <c r="M77" i="6"/>
  <c r="L280" i="6"/>
  <c r="L161" i="6" s="1"/>
  <c r="L163" i="6" s="1"/>
  <c r="L167" i="6" s="1"/>
  <c r="L102" i="6"/>
  <c r="M76" i="6"/>
  <c r="M279" i="6"/>
  <c r="M102" i="6" s="1"/>
  <c r="M277" i="6"/>
  <c r="M44" i="25" l="1"/>
  <c r="G64" i="25" s="1"/>
  <c r="AB20" i="21"/>
  <c r="N331" i="6"/>
  <c r="N111" i="6" s="1"/>
  <c r="N112" i="6" s="1"/>
  <c r="N124" i="6" s="1"/>
  <c r="N149" i="6"/>
  <c r="N151" i="6" s="1"/>
  <c r="L360" i="6"/>
  <c r="L354" i="6"/>
  <c r="L355" i="6" s="1"/>
  <c r="L361" i="6" s="1"/>
  <c r="L120" i="6" s="1"/>
  <c r="L121" i="6" s="1"/>
  <c r="O77" i="6"/>
  <c r="O78" i="6" s="1"/>
  <c r="O80" i="6" s="1"/>
  <c r="AH17" i="21" s="1"/>
  <c r="AH18" i="21" s="1"/>
  <c r="O280" i="6"/>
  <c r="L97" i="6"/>
  <c r="L103" i="6" s="1"/>
  <c r="M280" i="6"/>
  <c r="M161" i="6" s="1"/>
  <c r="M78" i="6"/>
  <c r="M80" i="6" s="1"/>
  <c r="AF17" i="21" s="1"/>
  <c r="AF18" i="21" s="1"/>
  <c r="X20" i="21" l="1"/>
  <c r="L327" i="6"/>
  <c r="L336" i="6" s="1"/>
  <c r="L337" i="6" s="1"/>
  <c r="M335" i="6" s="1"/>
  <c r="N161" i="6"/>
  <c r="N163" i="6" s="1"/>
  <c r="N167" i="6" s="1"/>
  <c r="M163" i="6"/>
  <c r="M167" i="6" s="1"/>
  <c r="O149" i="6"/>
  <c r="O151" i="6" s="1"/>
  <c r="M360" i="6"/>
  <c r="M354" i="6"/>
  <c r="M355" i="6" s="1"/>
  <c r="M361" i="6" s="1"/>
  <c r="M120" i="6" s="1"/>
  <c r="M121" i="6" s="1"/>
  <c r="O97" i="6"/>
  <c r="O103" i="6" s="1"/>
  <c r="O354" i="6"/>
  <c r="O355" i="6" s="1"/>
  <c r="O361" i="6" s="1"/>
  <c r="O120" i="6" s="1"/>
  <c r="O121" i="6" s="1"/>
  <c r="O360" i="6"/>
  <c r="L362" i="6"/>
  <c r="M97" i="6"/>
  <c r="M103" i="6" s="1"/>
  <c r="L331" i="6" l="1"/>
  <c r="L332" i="6" s="1"/>
  <c r="M330" i="6" s="1"/>
  <c r="M327" i="6"/>
  <c r="M331" i="6" s="1"/>
  <c r="O327" i="6"/>
  <c r="O336" i="6" s="1"/>
  <c r="O161" i="6"/>
  <c r="O163" i="6" s="1"/>
  <c r="O167" i="6" s="1"/>
  <c r="L140" i="6"/>
  <c r="M359" i="6"/>
  <c r="M362" i="6" s="1"/>
  <c r="L169" i="6"/>
  <c r="L172" i="6" s="1"/>
  <c r="O331" i="6" l="1"/>
  <c r="O111" i="6" s="1"/>
  <c r="O112" i="6" s="1"/>
  <c r="O124" i="6" s="1"/>
  <c r="L111" i="6"/>
  <c r="L112" i="6" s="1"/>
  <c r="L124" i="6" s="1"/>
  <c r="L126" i="6" s="1"/>
  <c r="M125" i="6" s="1"/>
  <c r="M336" i="6"/>
  <c r="M337" i="6" s="1"/>
  <c r="N335" i="6" s="1"/>
  <c r="N337" i="6" s="1"/>
  <c r="O335" i="6" s="1"/>
  <c r="O337" i="6" s="1"/>
  <c r="M332" i="6"/>
  <c r="N330" i="6" s="1"/>
  <c r="N332" i="6" s="1"/>
  <c r="O330" i="6" s="1"/>
  <c r="L86" i="6"/>
  <c r="L174" i="6"/>
  <c r="N359" i="6"/>
  <c r="N362" i="6" s="1"/>
  <c r="M169" i="6"/>
  <c r="M172" i="6" s="1"/>
  <c r="M111" i="6" l="1"/>
  <c r="M112" i="6" s="1"/>
  <c r="M124" i="6" s="1"/>
  <c r="M126" i="6" s="1"/>
  <c r="N125" i="6" s="1"/>
  <c r="N126" i="6" s="1"/>
  <c r="L137" i="6"/>
  <c r="L143" i="6" s="1"/>
  <c r="L153" i="6" s="1"/>
  <c r="L175" i="6" s="1"/>
  <c r="O332" i="6"/>
  <c r="M140" i="6"/>
  <c r="M86" i="6"/>
  <c r="M174" i="6"/>
  <c r="O140" i="6"/>
  <c r="N140" i="6"/>
  <c r="O359" i="6"/>
  <c r="O362" i="6" s="1"/>
  <c r="O169" i="6" s="1"/>
  <c r="O172" i="6" s="1"/>
  <c r="N169" i="6"/>
  <c r="N172" i="6" s="1"/>
  <c r="M137" i="6" l="1"/>
  <c r="M143" i="6" s="1"/>
  <c r="M153" i="6" s="1"/>
  <c r="M175" i="6" s="1"/>
  <c r="N86" i="6"/>
  <c r="N174" i="6"/>
  <c r="O86" i="6"/>
  <c r="O174" i="6"/>
  <c r="O125" i="6"/>
  <c r="O126" i="6" s="1"/>
  <c r="O137" i="6" s="1"/>
  <c r="O143" i="6" s="1"/>
  <c r="O153" i="6" s="1"/>
  <c r="N137" i="6"/>
  <c r="N143" i="6" s="1"/>
  <c r="N153" i="6" s="1"/>
  <c r="N175" i="6" l="1"/>
  <c r="O175" i="6"/>
</calcChain>
</file>

<file path=xl/sharedStrings.xml><?xml version="1.0" encoding="utf-8"?>
<sst xmlns="http://schemas.openxmlformats.org/spreadsheetml/2006/main" count="466" uniqueCount="278">
  <si>
    <t>Pricing Case</t>
  </si>
  <si>
    <t>Projected</t>
  </si>
  <si>
    <t>Net Revenue</t>
  </si>
  <si>
    <t>Cost of Sales</t>
  </si>
  <si>
    <t>EBITDA</t>
  </si>
  <si>
    <t>Depreciation &amp; Amortization</t>
  </si>
  <si>
    <t>EBIT</t>
  </si>
  <si>
    <t>Net Income</t>
  </si>
  <si>
    <t>Operating Activities</t>
  </si>
  <si>
    <t>Operating Cash Flow</t>
  </si>
  <si>
    <t>ASSETS</t>
  </si>
  <si>
    <t>Accounts Receivable</t>
  </si>
  <si>
    <t>Total Current Assets</t>
  </si>
  <si>
    <t>Net PP&amp;E</t>
  </si>
  <si>
    <t>Total Assets</t>
  </si>
  <si>
    <t>LIABILITIES AND EQUITY</t>
  </si>
  <si>
    <t>Accounts Payable</t>
  </si>
  <si>
    <t>Total Current Liabilities</t>
  </si>
  <si>
    <t>Total Liabilities</t>
  </si>
  <si>
    <t>Total Liabilities and Equity</t>
  </si>
  <si>
    <t>Check</t>
  </si>
  <si>
    <t>Days In</t>
  </si>
  <si>
    <t>Inventories</t>
  </si>
  <si>
    <t>Account Balances</t>
  </si>
  <si>
    <t>Net Working Capital</t>
  </si>
  <si>
    <t>A</t>
  </si>
  <si>
    <t>B</t>
  </si>
  <si>
    <t>Income Statement</t>
  </si>
  <si>
    <t>Margins</t>
  </si>
  <si>
    <t>EBITDA Margin</t>
  </si>
  <si>
    <t>EBIT Margin</t>
  </si>
  <si>
    <t>Total Depreciation</t>
  </si>
  <si>
    <t>Revenue</t>
  </si>
  <si>
    <t>Total Costs</t>
  </si>
  <si>
    <t>Cash Flow Statement</t>
  </si>
  <si>
    <t>Income Tax Schedule</t>
  </si>
  <si>
    <t>Working Capital Schedule</t>
  </si>
  <si>
    <t>CAPEX</t>
  </si>
  <si>
    <t>Change in the Cash Position</t>
  </si>
  <si>
    <t>Beginning Cash</t>
  </si>
  <si>
    <t>Ending Cash</t>
  </si>
  <si>
    <t>Base Case</t>
  </si>
  <si>
    <t>Best Case</t>
  </si>
  <si>
    <t>Worst Case</t>
  </si>
  <si>
    <t>(days)</t>
  </si>
  <si>
    <t>Amount Outstanding - Beginning</t>
  </si>
  <si>
    <t>Amount Outstanding - Ending</t>
  </si>
  <si>
    <t>Annual Interest Expense</t>
  </si>
  <si>
    <t>Financing Activities</t>
  </si>
  <si>
    <t>Interest Expense</t>
  </si>
  <si>
    <t>EBT</t>
  </si>
  <si>
    <t>COSTS PER UNIT</t>
  </si>
  <si>
    <t>-</t>
  </si>
  <si>
    <t>GENERAL</t>
  </si>
  <si>
    <t>COSTS</t>
  </si>
  <si>
    <t>Cost Item</t>
  </si>
  <si>
    <t>Increases</t>
  </si>
  <si>
    <t>Inflation on a unit basis</t>
  </si>
  <si>
    <t>SG&amp;A</t>
  </si>
  <si>
    <t>Straight Line</t>
  </si>
  <si>
    <t>ECONOMIC SCENARIOS</t>
  </si>
  <si>
    <t>Total Income Taxes</t>
  </si>
  <si>
    <t>Taxes as Appearing on Income Statement</t>
  </si>
  <si>
    <t>Total Income Taxes (Same as Accounting Taxes Above)</t>
  </si>
  <si>
    <t>Cost Inflation</t>
  </si>
  <si>
    <t>SCENARIO SWITCH:</t>
  </si>
  <si>
    <t>Revenue Schedule</t>
  </si>
  <si>
    <t>Capital Expenditures</t>
  </si>
  <si>
    <t>Investing Activities</t>
  </si>
  <si>
    <t>Investing Cash Flow</t>
  </si>
  <si>
    <t>Financing Cash Flow</t>
  </si>
  <si>
    <t>Balance Sheet</t>
  </si>
  <si>
    <t>Days per Year</t>
  </si>
  <si>
    <t>Inputs and Assumptions</t>
  </si>
  <si>
    <t>Sales Volume Growth</t>
  </si>
  <si>
    <t>(%)</t>
  </si>
  <si>
    <t>Change in Working Capital</t>
  </si>
  <si>
    <t>Shareholders' Equity Schedule</t>
  </si>
  <si>
    <t>Common Shares</t>
  </si>
  <si>
    <t>Dividend Payout Rate</t>
  </si>
  <si>
    <t>Common Dividend</t>
  </si>
  <si>
    <t>Retained Earnings</t>
  </si>
  <si>
    <t>Common Dividend Payout Rate</t>
  </si>
  <si>
    <t>Common Stock Issuance / (Buy-back)</t>
  </si>
  <si>
    <t>Common Shares Issuance/ (Buy-Back)</t>
  </si>
  <si>
    <t>New Issuance / (Buy-Back)</t>
  </si>
  <si>
    <t>Return on Equity</t>
  </si>
  <si>
    <t>Changes in working capital</t>
  </si>
  <si>
    <t>Depreciation Schedule</t>
  </si>
  <si>
    <t>Research Forecast</t>
  </si>
  <si>
    <t xml:space="preserve"> </t>
  </si>
  <si>
    <t>Depreciation Years on New Assets:</t>
  </si>
  <si>
    <t>Income Statement Items</t>
  </si>
  <si>
    <t>First year of forecast in financial model:</t>
  </si>
  <si>
    <t>Increase (Decrease) in Deferred Income Taxes</t>
  </si>
  <si>
    <t>SUMMARY VALUES - BASE CASE</t>
  </si>
  <si>
    <t>SUMMARY VALUES - WORST CASE</t>
  </si>
  <si>
    <t>Utilities</t>
  </si>
  <si>
    <t>Years remaining for depreciation of existing assets:</t>
  </si>
  <si>
    <t>Years used for depreciation of new assets:</t>
  </si>
  <si>
    <t>OTHER ASSUMPTIONS</t>
  </si>
  <si>
    <t>Working Capital Days</t>
  </si>
  <si>
    <t>days</t>
  </si>
  <si>
    <t>Change in Debt &amp; Equity</t>
  </si>
  <si>
    <t>Cost Adjustments - Gain/(Loss)</t>
  </si>
  <si>
    <t>Income Tax</t>
  </si>
  <si>
    <t xml:space="preserve">Accounting EBT (as is on I/S)   </t>
  </si>
  <si>
    <t>Government EBT</t>
  </si>
  <si>
    <t>Summary Outputs</t>
  </si>
  <si>
    <t>SUMMARY VALUES - BEST CASE</t>
  </si>
  <si>
    <t>Costs of Production Schedule</t>
  </si>
  <si>
    <t>Senior Term Debt Issuance / (Repayment)</t>
  </si>
  <si>
    <t>Inflation on a total basis</t>
  </si>
  <si>
    <t>Economic and Sales Scenarios</t>
  </si>
  <si>
    <t>Trend</t>
  </si>
  <si>
    <t>Years Remaining Existing Assets:</t>
  </si>
  <si>
    <t>Cash &amp; Cash Equivalents</t>
  </si>
  <si>
    <t>Short-Term Investments</t>
  </si>
  <si>
    <t>Loans &amp; Other Financial Assets</t>
  </si>
  <si>
    <t>Other Current Assets</t>
  </si>
  <si>
    <t>(Rs. Crores)</t>
  </si>
  <si>
    <t>Right-of-Use Assets</t>
  </si>
  <si>
    <t>Intangible Assets</t>
  </si>
  <si>
    <t>Deferred Tax Assets</t>
  </si>
  <si>
    <t>Other Non-Current Assets</t>
  </si>
  <si>
    <t>Total Non-Current Assets</t>
  </si>
  <si>
    <t>Non-Controlling Interest</t>
  </si>
  <si>
    <t>Total Equity</t>
  </si>
  <si>
    <t>Lease Liabilities</t>
  </si>
  <si>
    <t>Provisions</t>
  </si>
  <si>
    <t>Total Non-Current Liabilities</t>
  </si>
  <si>
    <t>Borrowing</t>
  </si>
  <si>
    <t>Short-term Debt</t>
  </si>
  <si>
    <t>Other Financial Liabilities</t>
  </si>
  <si>
    <t>Current Tax Payable</t>
  </si>
  <si>
    <t>Other Current Liabilities</t>
  </si>
  <si>
    <t>Revenue from operations</t>
  </si>
  <si>
    <t>Other income</t>
  </si>
  <si>
    <t>Total Revenue</t>
  </si>
  <si>
    <t>Current Tax</t>
  </si>
  <si>
    <t>Deferred Tax</t>
  </si>
  <si>
    <t>Other Non-Cash Items</t>
  </si>
  <si>
    <t>Income Taxes Paid</t>
  </si>
  <si>
    <t>Acquisitions</t>
  </si>
  <si>
    <t>Financial Investments</t>
  </si>
  <si>
    <t>Borrowings / (Repayment)</t>
  </si>
  <si>
    <t>Lease Liability / (Repayment)</t>
  </si>
  <si>
    <t>Interest Paid</t>
  </si>
  <si>
    <t>Dividend Paid</t>
  </si>
  <si>
    <t>Three scenarios have been used for Cost Inflation, Test Pricing</t>
  </si>
  <si>
    <t>TEST PRICING</t>
  </si>
  <si>
    <t>No. of Operating Labs</t>
  </si>
  <si>
    <t>Materials</t>
  </si>
  <si>
    <t>Lab Test Charges</t>
  </si>
  <si>
    <t>DEPRECIATION &amp; AMORTIZATION</t>
  </si>
  <si>
    <t>Depreciation &amp; Amortization Methodology Used:</t>
  </si>
  <si>
    <t>Years remaining for amortization of existing assets:</t>
  </si>
  <si>
    <t>Years used for amortization of new assets:</t>
  </si>
  <si>
    <t>The test pricing cases used in the model are as follows:</t>
  </si>
  <si>
    <t>REVENUE SCENARIOS</t>
  </si>
  <si>
    <t>Test Price - Rs./Test</t>
  </si>
  <si>
    <t>Test Volume Growth</t>
  </si>
  <si>
    <t>Crore</t>
  </si>
  <si>
    <t>(Rs. Cr.)</t>
  </si>
  <si>
    <t>Test Price</t>
  </si>
  <si>
    <t>(Rs./unit)</t>
  </si>
  <si>
    <t>(Cr. units)</t>
  </si>
  <si>
    <t>Annual Test Volume</t>
  </si>
  <si>
    <t>Pricing &amp; Volume</t>
  </si>
  <si>
    <t>Revenue - Other Income</t>
  </si>
  <si>
    <t>COSTS IN CRORES</t>
  </si>
  <si>
    <t>Total Cost Per Unit</t>
  </si>
  <si>
    <t>Repairs &amp; Maintenance - P&amp;E</t>
  </si>
  <si>
    <t>Repairs &amp; Maintenance- P&amp;E</t>
  </si>
  <si>
    <t>per test</t>
  </si>
  <si>
    <t>of revenue</t>
  </si>
  <si>
    <t>Annual reduction in per unit cost of Materials &amp; Lab Test Charges:</t>
  </si>
  <si>
    <r>
      <t xml:space="preserve">Annual reduction in per unit cost of Materials &amp; Lab Test Charges </t>
    </r>
    <r>
      <rPr>
        <sz val="8"/>
        <rFont val="Arial"/>
        <family val="2"/>
      </rPr>
      <t>(%)</t>
    </r>
  </si>
  <si>
    <t>and Volume Growth</t>
  </si>
  <si>
    <t>ROU Assets</t>
  </si>
  <si>
    <t xml:space="preserve">Rights-of-Use (ROU) Assets </t>
  </si>
  <si>
    <t>Amortization Schedule</t>
  </si>
  <si>
    <t>Total Depreciation on PP&amp;E</t>
  </si>
  <si>
    <t>Depreciation to Existing PP&amp;E:</t>
  </si>
  <si>
    <t>Depreciation to Existing ROU Assets:</t>
  </si>
  <si>
    <t>Total Depreciation on ROU Assets</t>
  </si>
  <si>
    <t>Goodwill</t>
  </si>
  <si>
    <t>Other Intangible Assets</t>
  </si>
  <si>
    <t>Amortization to Existing Assets:</t>
  </si>
  <si>
    <t>TAXES &amp; OTHER ASSUMPTIONS</t>
  </si>
  <si>
    <t>Total Amortization</t>
  </si>
  <si>
    <t>Lease Liability Schedule</t>
  </si>
  <si>
    <t>Additions</t>
  </si>
  <si>
    <t>Principal Repayment</t>
  </si>
  <si>
    <t>Amount Outstanding - Opening</t>
  </si>
  <si>
    <t>Lease Term:</t>
  </si>
  <si>
    <t>Lease Interest Rate:</t>
  </si>
  <si>
    <t>Annual Lease Payment:</t>
  </si>
  <si>
    <t>Tax Paid During Year</t>
  </si>
  <si>
    <r>
      <t xml:space="preserve">Increase (Decrease) in EBT for timing differences </t>
    </r>
    <r>
      <rPr>
        <vertAlign val="superscript"/>
        <sz val="10"/>
        <rFont val="Arial"/>
        <family val="2"/>
      </rPr>
      <t>(1)</t>
    </r>
  </si>
  <si>
    <t>(1) Assumes aggregate increase in government pre-tax earnings due to timing differences between accounting and government rules, resulting in the recognition of DTA only.</t>
  </si>
  <si>
    <t>Increase in EBT for timing differences</t>
  </si>
  <si>
    <t>Tax Rate:</t>
  </si>
  <si>
    <t>Tax Paid as (%) of Current Tax:</t>
  </si>
  <si>
    <t>(Additional tax assumptions in "Other Assumptions" box)</t>
  </si>
  <si>
    <t>Other Equity</t>
  </si>
  <si>
    <t>Other Equity Increase / (Decrease)</t>
  </si>
  <si>
    <t>Investment Income</t>
  </si>
  <si>
    <t>Investment Schedule</t>
  </si>
  <si>
    <t>Investment in Mutual Funds</t>
  </si>
  <si>
    <t>Bank Deposit</t>
  </si>
  <si>
    <t>Purchase / (Sale) of Mutual Funds</t>
  </si>
  <si>
    <t>Increase / (Decrease) in Deposits</t>
  </si>
  <si>
    <t>Bank Deposit as percentage of FCF (CFO-CAPEX):</t>
  </si>
  <si>
    <t>MF purchase as percentage of FCF (CFO-CAPEX):</t>
  </si>
  <si>
    <t>Free Cash Flow (Op. Cash Flow - CAPEX)</t>
  </si>
  <si>
    <t>Bank Deposit as percentage of FCF:</t>
  </si>
  <si>
    <t>MF purchase as percentage of FCF:</t>
  </si>
  <si>
    <t>Loans &amp; Other Financial Assets expected to remain constant</t>
  </si>
  <si>
    <t>Balance Sheet Statement</t>
  </si>
  <si>
    <t>LEASE &amp; DEBT</t>
  </si>
  <si>
    <t xml:space="preserve">FINANCIAL MODELING </t>
  </si>
  <si>
    <t>AND VALUATION</t>
  </si>
  <si>
    <t>NSE: LALPATHLAB | BSE: 539524</t>
  </si>
  <si>
    <t>Prepared By:</t>
  </si>
  <si>
    <t>Titu Thomas</t>
  </si>
  <si>
    <t>Dr Lal PathLabs Ltd</t>
  </si>
  <si>
    <t>EQUITY &amp; VALUATION</t>
  </si>
  <si>
    <t>DCF Analysis</t>
  </si>
  <si>
    <t>Tax</t>
  </si>
  <si>
    <t>NOPAT</t>
  </si>
  <si>
    <t>Total Unlevered Free Cash Flow</t>
  </si>
  <si>
    <t>WACC</t>
  </si>
  <si>
    <t>WACC:</t>
  </si>
  <si>
    <t>Total Discounted Unlevered Free Cash Flow</t>
  </si>
  <si>
    <t>Terminal Multiple</t>
  </si>
  <si>
    <t>Terminal Multiple (Based on peer analysis)</t>
  </si>
  <si>
    <t>WACC (Based on peer analysis)</t>
  </si>
  <si>
    <t xml:space="preserve">PV of Unlevered FCF </t>
  </si>
  <si>
    <t>Forward EBITDA (2030)</t>
  </si>
  <si>
    <t>Terminal Value</t>
  </si>
  <si>
    <t>PV of Terminal Value</t>
  </si>
  <si>
    <t>PV of Unlevered FCF</t>
  </si>
  <si>
    <t>Shares Outstanding</t>
  </si>
  <si>
    <r>
      <rPr>
        <i/>
        <sz val="9"/>
        <rFont val="Arial"/>
        <family val="2"/>
      </rPr>
      <t>Add:</t>
    </r>
    <r>
      <rPr>
        <sz val="10"/>
        <rFont val="Arial"/>
        <family val="2"/>
      </rPr>
      <t xml:space="preserve"> PV of Terminal Value</t>
    </r>
  </si>
  <si>
    <r>
      <rPr>
        <i/>
        <sz val="9"/>
        <rFont val="Arial"/>
        <family val="2"/>
      </rPr>
      <t>Add:</t>
    </r>
    <r>
      <rPr>
        <sz val="10"/>
        <rFont val="Arial"/>
        <family val="2"/>
      </rPr>
      <t xml:space="preserve"> Cash</t>
    </r>
  </si>
  <si>
    <r>
      <rPr>
        <i/>
        <sz val="9"/>
        <rFont val="Arial"/>
        <family val="2"/>
      </rPr>
      <t>Less:</t>
    </r>
    <r>
      <rPr>
        <sz val="10"/>
        <rFont val="Arial"/>
        <family val="2"/>
      </rPr>
      <t xml:space="preserve"> Debt</t>
    </r>
  </si>
  <si>
    <t>per share</t>
  </si>
  <si>
    <t>Sensitivity Analysis</t>
  </si>
  <si>
    <t>Enterprise Value (Cr.)</t>
  </si>
  <si>
    <t>EV</t>
  </si>
  <si>
    <t>Step-ups</t>
  </si>
  <si>
    <t>Row</t>
  </si>
  <si>
    <t>Column</t>
  </si>
  <si>
    <t>Price</t>
  </si>
  <si>
    <r>
      <t xml:space="preserve">Net Revenue </t>
    </r>
    <r>
      <rPr>
        <i/>
        <sz val="8"/>
        <rFont val="Arial"/>
        <family val="2"/>
      </rPr>
      <t>(Rs. Cr.)</t>
    </r>
  </si>
  <si>
    <r>
      <t xml:space="preserve">   Growth </t>
    </r>
    <r>
      <rPr>
        <i/>
        <sz val="8"/>
        <rFont val="Arial"/>
        <family val="2"/>
      </rPr>
      <t>(%)</t>
    </r>
  </si>
  <si>
    <r>
      <t xml:space="preserve">EBITDA </t>
    </r>
    <r>
      <rPr>
        <i/>
        <sz val="8"/>
        <rFont val="Arial"/>
        <family val="2"/>
      </rPr>
      <t>(Rs. Cr.)</t>
    </r>
  </si>
  <si>
    <r>
      <t xml:space="preserve">   Margin </t>
    </r>
    <r>
      <rPr>
        <i/>
        <sz val="8"/>
        <rFont val="Arial"/>
        <family val="2"/>
      </rPr>
      <t>(%)</t>
    </r>
  </si>
  <si>
    <r>
      <t xml:space="preserve">Net Income </t>
    </r>
    <r>
      <rPr>
        <i/>
        <sz val="8"/>
        <rFont val="Arial"/>
        <family val="2"/>
      </rPr>
      <t>(Rs. Cr.)</t>
    </r>
  </si>
  <si>
    <t>Net Revenue (Rs. Cr.)</t>
  </si>
  <si>
    <t xml:space="preserve">   Growth (%)</t>
  </si>
  <si>
    <t>EBITDA (Rs. Cr.)</t>
  </si>
  <si>
    <t xml:space="preserve">   Margin (%)</t>
  </si>
  <si>
    <t>Net Income (Rs. Cr.)</t>
  </si>
  <si>
    <t>OTHER SCENARIOS</t>
  </si>
  <si>
    <t>Provisions (Cr.)</t>
  </si>
  <si>
    <t>No. of Tests Annually (Cr.)</t>
  </si>
  <si>
    <t>OPERATIONS &amp; FINANCIAL ASSETS</t>
  </si>
  <si>
    <t>Amortization Years on New Assets:</t>
  </si>
  <si>
    <t>Intrinsic Enterprise / Equity Valuation from DCF Analysis</t>
  </si>
  <si>
    <t>Intrinsic Total EV / Present Value</t>
  </si>
  <si>
    <t>Intrinsic Equity Value</t>
  </si>
  <si>
    <t>Intrinsic Share Price Valuation</t>
  </si>
  <si>
    <t>Intrinsic Share Price</t>
  </si>
  <si>
    <t>Intrinsic Share Price:</t>
  </si>
  <si>
    <t>Intrinsic Equity Value:</t>
  </si>
  <si>
    <t>Intrinsic Enterprise Value (EV):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</si>
</sst>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5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%"/>
    <numFmt numFmtId="167" formatCode="#,##0.0_);\(#,##0.0\)"/>
    <numFmt numFmtId="168" formatCode="&quot;$&quot;#,##0.0_);\(&quot;$&quot;#,##0.0\)"/>
    <numFmt numFmtId="169" formatCode="#,##0.000_);\(#,##0.000\)"/>
    <numFmt numFmtId="170" formatCode="0.0_);\(0.0\)"/>
    <numFmt numFmtId="171" formatCode="0.00_);\(0.00\)"/>
    <numFmt numFmtId="172" formatCode="0.000_);\(0.000\)"/>
    <numFmt numFmtId="173" formatCode="0\A"/>
    <numFmt numFmtId="174" formatCode="&quot;- EBITDA margin of &quot;0.0%"/>
    <numFmt numFmtId="175" formatCode="&quot;- Opening UCC pool of &quot;&quot;$&quot;#,###.0&quot; million as of January 1, 1999&quot;"/>
    <numFmt numFmtId="176" formatCode="0%;\(0%\)"/>
    <numFmt numFmtId="177" formatCode="0.00\ "/>
    <numFmt numFmtId="178" formatCode="_-* #,##0_-;\-* #,##0_-;_-* &quot;-&quot;??_-;_-@_-"/>
    <numFmt numFmtId="179" formatCode="0_);\(0\)"/>
    <numFmt numFmtId="180" formatCode="0.0%\ ;\(0.0%\)"/>
    <numFmt numFmtId="181" formatCode="mmmm\ d\,\ yyyy"/>
    <numFmt numFmtId="182" formatCode="\+0%;\(0%\)"/>
    <numFmt numFmtId="183" formatCode="0\ &quot;years&quot;"/>
    <numFmt numFmtId="184" formatCode="0.0\ \x"/>
    <numFmt numFmtId="185" formatCode="#,##0.0000_);\(#,##0.0000\)"/>
    <numFmt numFmtId="186" formatCode="&quot;$&quot;#,##0.000_);\(&quot;$&quot;#,##0.000\)"/>
    <numFmt numFmtId="187" formatCode="0\F"/>
    <numFmt numFmtId="188" formatCode="&quot;$&quot;#,##0.000000_);\(&quot;$&quot;#,##0.000000\)"/>
    <numFmt numFmtId="189" formatCode="0.0%;\(0.0%\)"/>
    <numFmt numFmtId="190" formatCode="[&gt;-0.000001]\ 0.0_);\ \(0.0\)_)"/>
    <numFmt numFmtId="191" formatCode="_ [$₹-4009]\ * #,##0.00_ ;_ [$₹-4009]\ * \-#,##0.00_ ;_ [$₹-4009]\ * &quot;-&quot;??_ ;_ @_ "/>
    <numFmt numFmtId="192" formatCode="0\ &quot;Years&quot;"/>
    <numFmt numFmtId="193" formatCode="\+0%;\-0%"/>
    <numFmt numFmtId="194" formatCode="_ [$₹-4009]\ * #,##0.0_ ;_ [$₹-4009]\ * \-#,##0.0_ ;_ [$₹-4009]\ * &quot;-&quot;?_ ;_ @_ "/>
    <numFmt numFmtId="195" formatCode="_ [$₹-4009]\ * #,##0.0_ ;_ [$₹-4009]\ * \-#,##0.0_ ;_ [$₹-4009]\ * &quot;-&quot;??_ ;_ @_ "/>
    <numFmt numFmtId="196" formatCode="0.0"/>
    <numFmt numFmtId="197" formatCode="_ [$₹-4009]\ * #,##0_ ;_ [$₹-4009]\ * \-#,##0_ ;_ [$₹-4009]\ * &quot;-&quot;_ ;_ @_ "/>
    <numFmt numFmtId="198" formatCode="0&quot;x&quot;"/>
    <numFmt numFmtId="199" formatCode="[$₹-4009]\ #,##0.00;[$₹-4009]\ \-#,##0.00"/>
    <numFmt numFmtId="200" formatCode="[$₹-4009]\ #,##0.00"/>
    <numFmt numFmtId="201" formatCode="0\x"/>
    <numFmt numFmtId="202" formatCode="[$₹-4009]\ #,##0.0;[$₹-4009]\ \-#,##0.0"/>
    <numFmt numFmtId="203" formatCode="[$₹-4009]\ #,##0;[$₹-4009]\ \-#,##0"/>
    <numFmt numFmtId="204" formatCode="#,##0.00000_);\(#,##0.00000\)"/>
  </numFmts>
  <fonts count="87">
    <font>
      <sz val="10"/>
      <name val="Arial"/>
      <family val="2"/>
    </font>
    <font>
      <sz val="10"/>
      <name val="Book Antiqua"/>
      <family val="1"/>
    </font>
    <font>
      <sz val="10"/>
      <name val="Aldine401 BT"/>
    </font>
    <font>
      <sz val="10"/>
      <name val="Arial"/>
      <family val="2"/>
    </font>
    <font>
      <sz val="11"/>
      <color indexed="12"/>
      <name val="Book Antiqua"/>
      <family val="1"/>
    </font>
    <font>
      <sz val="8"/>
      <name val="Arial"/>
      <family val="2"/>
    </font>
    <font>
      <sz val="10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4"/>
      <color theme="1"/>
      <name val="Arial"/>
      <family val="2"/>
    </font>
    <font>
      <sz val="18"/>
      <color theme="1"/>
      <name val="Arial"/>
      <family val="2"/>
    </font>
    <font>
      <b/>
      <sz val="24"/>
      <color theme="4"/>
      <name val="Arial"/>
      <family val="2"/>
    </font>
    <font>
      <sz val="14"/>
      <name val="Arial"/>
      <family val="2"/>
    </font>
    <font>
      <b/>
      <sz val="12"/>
      <color theme="4"/>
      <name val="Arial"/>
      <family val="2"/>
    </font>
    <font>
      <sz val="16"/>
      <color theme="1"/>
      <name val="Arial"/>
      <family val="2"/>
    </font>
    <font>
      <b/>
      <sz val="18"/>
      <name val="Arial"/>
      <family val="2"/>
    </font>
    <font>
      <b/>
      <sz val="18"/>
      <color indexed="12"/>
      <name val="Arial"/>
      <family val="2"/>
    </font>
    <font>
      <b/>
      <sz val="14"/>
      <color indexed="8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sz val="12"/>
      <name val="Arial"/>
      <family val="2"/>
    </font>
    <font>
      <b/>
      <sz val="10"/>
      <color rgb="FFFF0000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i/>
      <sz val="10"/>
      <name val="Arial"/>
      <family val="2"/>
    </font>
    <font>
      <b/>
      <sz val="10"/>
      <color indexed="12"/>
      <name val="Arial"/>
      <family val="2"/>
    </font>
    <font>
      <b/>
      <i/>
      <sz val="12"/>
      <name val="Arial"/>
      <family val="2"/>
    </font>
    <font>
      <b/>
      <sz val="11"/>
      <name val="Arial"/>
      <family val="2"/>
    </font>
    <font>
      <sz val="9"/>
      <color indexed="12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b/>
      <i/>
      <sz val="14"/>
      <color indexed="10"/>
      <name val="Arial"/>
      <family val="2"/>
    </font>
    <font>
      <b/>
      <i/>
      <sz val="9"/>
      <color indexed="10"/>
      <name val="Arial"/>
      <family val="2"/>
    </font>
    <font>
      <b/>
      <i/>
      <sz val="10"/>
      <name val="Arial"/>
      <family val="2"/>
    </font>
    <font>
      <sz val="10"/>
      <color indexed="9"/>
      <name val="Arial"/>
      <family val="2"/>
    </font>
    <font>
      <sz val="10"/>
      <color rgb="FF0000FF"/>
      <name val="Arial"/>
      <family val="2"/>
    </font>
    <font>
      <sz val="10"/>
      <color indexed="61"/>
      <name val="Arial"/>
      <family val="2"/>
    </font>
    <font>
      <i/>
      <sz val="10"/>
      <color indexed="12"/>
      <name val="Arial"/>
      <family val="2"/>
    </font>
    <font>
      <b/>
      <sz val="9"/>
      <name val="Arial"/>
      <family val="2"/>
    </font>
    <font>
      <vertAlign val="superscript"/>
      <sz val="7"/>
      <name val="Arial"/>
      <family val="2"/>
    </font>
    <font>
      <b/>
      <sz val="10"/>
      <color indexed="10"/>
      <name val="Arial"/>
      <family val="2"/>
    </font>
    <font>
      <u/>
      <sz val="10"/>
      <color rgb="FF0000FF"/>
      <name val="Arial"/>
      <family val="2"/>
    </font>
    <font>
      <b/>
      <sz val="18"/>
      <color indexed="8"/>
      <name val="Arial"/>
      <family val="2"/>
    </font>
    <font>
      <b/>
      <sz val="16"/>
      <color indexed="8"/>
      <name val="Arial"/>
      <family val="2"/>
    </font>
    <font>
      <b/>
      <sz val="9"/>
      <color indexed="12"/>
      <name val="Arial"/>
      <family val="2"/>
    </font>
    <font>
      <b/>
      <sz val="20"/>
      <name val="Arial"/>
      <family val="2"/>
    </font>
    <font>
      <b/>
      <u/>
      <sz val="9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2"/>
      <color indexed="8"/>
      <name val="Arial"/>
      <family val="2"/>
    </font>
    <font>
      <b/>
      <i/>
      <sz val="10"/>
      <color indexed="8"/>
      <name val="Arial"/>
      <family val="2"/>
    </font>
    <font>
      <b/>
      <sz val="9"/>
      <color indexed="8"/>
      <name val="Arial"/>
      <family val="2"/>
    </font>
    <font>
      <vertAlign val="superscript"/>
      <sz val="10"/>
      <name val="Arial"/>
      <family val="2"/>
    </font>
    <font>
      <i/>
      <sz val="9"/>
      <name val="Arial"/>
      <family val="2"/>
    </font>
    <font>
      <sz val="10"/>
      <color rgb="FF009B73"/>
      <name val="Arial"/>
      <family val="2"/>
    </font>
    <font>
      <i/>
      <sz val="10"/>
      <color rgb="FF009B73"/>
      <name val="Arial"/>
      <family val="2"/>
    </font>
    <font>
      <b/>
      <sz val="10"/>
      <color rgb="FF009B73"/>
      <name val="Arial"/>
      <family val="2"/>
    </font>
    <font>
      <sz val="9"/>
      <color rgb="FF009B73"/>
      <name val="Arial"/>
      <family val="2"/>
    </font>
    <font>
      <b/>
      <sz val="20"/>
      <color indexed="12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sz val="10"/>
      <color theme="0"/>
      <name val="Arial"/>
      <family val="2"/>
    </font>
    <font>
      <b/>
      <i/>
      <sz val="10"/>
      <color theme="0"/>
      <name val="Arial"/>
      <family val="2"/>
    </font>
    <font>
      <i/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rgb="FF4586BB"/>
      <name val="Arial"/>
      <family val="2"/>
    </font>
    <font>
      <b/>
      <sz val="8"/>
      <color rgb="FF008ED6"/>
      <name val="Arial"/>
      <family val="2"/>
    </font>
    <font>
      <sz val="10"/>
      <color rgb="FF002F6C"/>
      <name val="Arial"/>
      <family val="2"/>
    </font>
    <font>
      <i/>
      <sz val="9"/>
      <color rgb="FF002F6C"/>
      <name val="Arial"/>
      <family val="2"/>
    </font>
    <font>
      <sz val="9"/>
      <color rgb="FF002F6C"/>
      <name val="Arial"/>
      <family val="2"/>
    </font>
    <font>
      <u/>
      <sz val="12"/>
      <color theme="1"/>
      <name val="Arial"/>
      <family val="2"/>
    </font>
    <font>
      <b/>
      <u/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rgb="FFFF0000"/>
      <name val="Arial"/>
      <family val="2"/>
    </font>
    <font>
      <sz val="12"/>
      <color theme="1"/>
      <name val="Berlin Sans FB Demi"/>
      <family val="2"/>
    </font>
    <font>
      <sz val="14"/>
      <name val="Berlin Sans FB Demi"/>
      <family val="2"/>
    </font>
    <font>
      <b/>
      <sz val="28"/>
      <color theme="3"/>
      <name val="Berlin Sans FB Demi"/>
      <family val="2"/>
    </font>
    <font>
      <b/>
      <sz val="12"/>
      <color theme="3"/>
      <name val="Arial"/>
      <family val="2"/>
    </font>
    <font>
      <b/>
      <sz val="14"/>
      <color theme="3"/>
      <name val="Arial"/>
      <family val="2"/>
    </font>
    <font>
      <sz val="10"/>
      <color rgb="FF0000CC"/>
      <name val="Arial"/>
      <family val="2"/>
    </font>
    <font>
      <i/>
      <sz val="8"/>
      <name val="Arial"/>
      <family val="2"/>
    </font>
    <font>
      <sz val="9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F6C"/>
        <bgColor indexed="64"/>
      </patternFill>
    </fill>
    <fill>
      <patternFill patternType="solid">
        <fgColor rgb="FFFFC00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002F6C"/>
      </left>
      <right/>
      <top style="thin">
        <color rgb="FF002F6C"/>
      </top>
      <bottom/>
      <diagonal/>
    </border>
    <border>
      <left/>
      <right/>
      <top style="thin">
        <color rgb="FF002F6C"/>
      </top>
      <bottom/>
      <diagonal/>
    </border>
    <border>
      <left/>
      <right/>
      <top style="thin">
        <color rgb="FF002F6C"/>
      </top>
      <bottom style="thin">
        <color theme="0"/>
      </bottom>
      <diagonal/>
    </border>
    <border>
      <left/>
      <right style="thin">
        <color rgb="FF002F6C"/>
      </right>
      <top style="thin">
        <color rgb="FF002F6C"/>
      </top>
      <bottom/>
      <diagonal/>
    </border>
    <border>
      <left style="thin">
        <color rgb="FF002F6C"/>
      </left>
      <right/>
      <top/>
      <bottom/>
      <diagonal/>
    </border>
    <border>
      <left/>
      <right style="thin">
        <color rgb="FF002F6C"/>
      </right>
      <top/>
      <bottom/>
      <diagonal/>
    </border>
    <border>
      <left style="thin">
        <color rgb="FF002F6C"/>
      </left>
      <right/>
      <top/>
      <bottom style="thin">
        <color rgb="FF002F6C"/>
      </bottom>
      <diagonal/>
    </border>
    <border>
      <left/>
      <right/>
      <top/>
      <bottom style="thin">
        <color rgb="FF002F6C"/>
      </bottom>
      <diagonal/>
    </border>
    <border>
      <left/>
      <right style="thin">
        <color rgb="FF002F6C"/>
      </right>
      <top/>
      <bottom style="thin">
        <color rgb="FF002F6C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rgb="FF002F6C"/>
      </right>
      <top/>
      <bottom style="thin">
        <color indexed="64"/>
      </bottom>
      <diagonal/>
    </border>
    <border>
      <left/>
      <right style="thin">
        <color rgb="FF002F6C"/>
      </right>
      <top style="thin">
        <color indexed="64"/>
      </top>
      <bottom style="double">
        <color indexed="64"/>
      </bottom>
      <diagonal/>
    </border>
    <border>
      <left style="thin">
        <color rgb="FF002F6C"/>
      </left>
      <right/>
      <top style="medium">
        <color indexed="64"/>
      </top>
      <bottom/>
      <diagonal/>
    </border>
    <border>
      <left/>
      <right style="thin">
        <color rgb="FF002F6C"/>
      </right>
      <top style="medium">
        <color indexed="64"/>
      </top>
      <bottom/>
      <diagonal/>
    </border>
    <border>
      <left/>
      <right/>
      <top style="thin">
        <color theme="0"/>
      </top>
      <bottom/>
      <diagonal/>
    </border>
  </borders>
  <cellStyleXfs count="15">
    <xf numFmtId="0" fontId="0" fillId="0" borderId="0"/>
    <xf numFmtId="0" fontId="1" fillId="0" borderId="0" applyNumberFormat="0" applyFont="0" applyFill="0" applyBorder="0" applyProtection="0">
      <alignment horizontal="centerContinuous"/>
    </xf>
    <xf numFmtId="0" fontId="1" fillId="0" borderId="1" applyNumberFormat="0" applyFont="0" applyFill="0" applyAlignment="0" applyProtection="0"/>
    <xf numFmtId="0" fontId="1" fillId="0" borderId="0" applyNumberFormat="0" applyFont="0" applyFill="0" applyBorder="0" applyProtection="0">
      <alignment horizontal="center"/>
    </xf>
    <xf numFmtId="43" fontId="2" fillId="0" borderId="0" applyFont="0" applyFill="0" applyBorder="0" applyAlignment="0" applyProtection="0"/>
    <xf numFmtId="8" fontId="4" fillId="0" borderId="2">
      <protection locked="0"/>
    </xf>
    <xf numFmtId="0" fontId="1" fillId="0" borderId="3" applyNumberFormat="0" applyFont="0" applyFill="0" applyAlignment="0" applyProtection="0"/>
    <xf numFmtId="0" fontId="3" fillId="0" borderId="0"/>
    <xf numFmtId="0" fontId="3" fillId="0" borderId="0"/>
    <xf numFmtId="0" fontId="6" fillId="0" borderId="0"/>
    <xf numFmtId="0" fontId="5" fillId="0" borderId="0" applyNumberFormat="0" applyFill="0" applyBorder="0" applyAlignment="0" applyProtection="0"/>
    <xf numFmtId="178" fontId="2" fillId="0" borderId="0" applyNumberFormat="0" applyFill="0" applyBorder="0" applyAlignment="0" applyProtection="0"/>
    <xf numFmtId="0" fontId="1" fillId="0" borderId="4" applyNumberFormat="0" applyFont="0" applyFill="0" applyAlignment="0" applyProtection="0"/>
    <xf numFmtId="0" fontId="7" fillId="0" borderId="0"/>
    <xf numFmtId="9" fontId="3" fillId="0" borderId="0" applyFont="0" applyFill="0" applyBorder="0" applyAlignment="0" applyProtection="0"/>
  </cellStyleXfs>
  <cellXfs count="749">
    <xf numFmtId="0" fontId="0" fillId="0" borderId="0" xfId="0"/>
    <xf numFmtId="0" fontId="15" fillId="0" borderId="0" xfId="0" applyFont="1" applyAlignment="1">
      <alignment horizontal="centerContinuous"/>
    </xf>
    <xf numFmtId="0" fontId="16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17" fillId="0" borderId="0" xfId="0" applyFont="1" applyAlignment="1">
      <alignment horizontal="centerContinuous"/>
    </xf>
    <xf numFmtId="0" fontId="0" fillId="0" borderId="8" xfId="0" applyBorder="1"/>
    <xf numFmtId="0" fontId="0" fillId="0" borderId="5" xfId="0" applyBorder="1"/>
    <xf numFmtId="37" fontId="19" fillId="0" borderId="0" xfId="0" applyNumberFormat="1" applyFont="1" applyAlignment="1">
      <alignment horizontal="right"/>
    </xf>
    <xf numFmtId="10" fontId="0" fillId="0" borderId="0" xfId="0" applyNumberFormat="1"/>
    <xf numFmtId="0" fontId="0" fillId="0" borderId="0" xfId="0" quotePrefix="1" applyAlignment="1">
      <alignment horizontal="left"/>
    </xf>
    <xf numFmtId="0" fontId="0" fillId="0" borderId="1" xfId="0" applyBorder="1"/>
    <xf numFmtId="0" fontId="0" fillId="0" borderId="10" xfId="0" applyBorder="1"/>
    <xf numFmtId="0" fontId="0" fillId="0" borderId="0" xfId="0" applyAlignment="1">
      <alignment vertical="center"/>
    </xf>
    <xf numFmtId="0" fontId="22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Continuous"/>
    </xf>
    <xf numFmtId="0" fontId="20" fillId="0" borderId="0" xfId="0" applyFont="1"/>
    <xf numFmtId="175" fontId="0" fillId="0" borderId="0" xfId="0" quotePrefix="1" applyNumberFormat="1" applyAlignment="1">
      <alignment horizontal="left"/>
    </xf>
    <xf numFmtId="174" fontId="0" fillId="0" borderId="1" xfId="0" applyNumberFormat="1" applyBorder="1" applyAlignment="1">
      <alignment horizontal="left"/>
    </xf>
    <xf numFmtId="0" fontId="0" fillId="0" borderId="0" xfId="0" applyAlignment="1">
      <alignment horizontal="center" vertical="center"/>
    </xf>
    <xf numFmtId="183" fontId="19" fillId="0" borderId="0" xfId="0" applyNumberFormat="1" applyFont="1" applyAlignment="1">
      <alignment horizontal="right"/>
    </xf>
    <xf numFmtId="0" fontId="0" fillId="0" borderId="0" xfId="0" quotePrefix="1"/>
    <xf numFmtId="0" fontId="23" fillId="0" borderId="0" xfId="0" applyFont="1"/>
    <xf numFmtId="0" fontId="0" fillId="0" borderId="7" xfId="0" applyBorder="1"/>
    <xf numFmtId="168" fontId="19" fillId="0" borderId="0" xfId="0" applyNumberFormat="1" applyFont="1"/>
    <xf numFmtId="174" fontId="0" fillId="0" borderId="0" xfId="0" applyNumberFormat="1" applyAlignment="1">
      <alignment horizontal="left"/>
    </xf>
    <xf numFmtId="0" fontId="24" fillId="0" borderId="0" xfId="9" applyFont="1"/>
    <xf numFmtId="0" fontId="15" fillId="0" borderId="0" xfId="9" applyFont="1" applyAlignment="1">
      <alignment horizontal="centerContinuous"/>
    </xf>
    <xf numFmtId="0" fontId="25" fillId="0" borderId="0" xfId="9" applyFont="1" applyAlignment="1">
      <alignment horizontal="centerContinuous"/>
    </xf>
    <xf numFmtId="0" fontId="3" fillId="0" borderId="0" xfId="9" applyFont="1"/>
    <xf numFmtId="0" fontId="26" fillId="0" borderId="0" xfId="9" applyFont="1" applyAlignment="1">
      <alignment horizontal="centerContinuous"/>
    </xf>
    <xf numFmtId="0" fontId="27" fillId="0" borderId="0" xfId="9" quotePrefix="1" applyFont="1" applyAlignment="1">
      <alignment horizontal="left"/>
    </xf>
    <xf numFmtId="0" fontId="27" fillId="0" borderId="0" xfId="9" quotePrefix="1" applyFont="1" applyAlignment="1">
      <alignment horizontal="center"/>
    </xf>
    <xf numFmtId="0" fontId="3" fillId="0" borderId="7" xfId="9" applyFont="1" applyBorder="1"/>
    <xf numFmtId="0" fontId="3" fillId="0" borderId="8" xfId="9" applyFont="1" applyBorder="1"/>
    <xf numFmtId="0" fontId="3" fillId="0" borderId="8" xfId="9" applyFont="1" applyBorder="1" applyAlignment="1">
      <alignment horizontal="center"/>
    </xf>
    <xf numFmtId="0" fontId="3" fillId="0" borderId="9" xfId="9" applyFont="1" applyBorder="1" applyAlignment="1">
      <alignment horizontal="center"/>
    </xf>
    <xf numFmtId="0" fontId="18" fillId="0" borderId="1" xfId="9" applyFont="1" applyBorder="1" applyAlignment="1">
      <alignment horizontal="centerContinuous"/>
    </xf>
    <xf numFmtId="0" fontId="18" fillId="0" borderId="5" xfId="9" applyFont="1" applyBorder="1" applyAlignment="1">
      <alignment vertical="center"/>
    </xf>
    <xf numFmtId="0" fontId="18" fillId="0" borderId="0" xfId="9" applyFont="1"/>
    <xf numFmtId="0" fontId="28" fillId="0" borderId="6" xfId="9" applyFont="1" applyBorder="1" applyAlignment="1">
      <alignment horizontal="center" vertical="center"/>
    </xf>
    <xf numFmtId="0" fontId="20" fillId="0" borderId="0" xfId="9" quotePrefix="1" applyFont="1" applyAlignment="1">
      <alignment horizontal="right"/>
    </xf>
    <xf numFmtId="0" fontId="18" fillId="0" borderId="10" xfId="9" applyFont="1" applyBorder="1"/>
    <xf numFmtId="0" fontId="18" fillId="0" borderId="1" xfId="9" applyFont="1" applyBorder="1"/>
    <xf numFmtId="0" fontId="18" fillId="0" borderId="1" xfId="9" applyFont="1" applyBorder="1" applyAlignment="1">
      <alignment horizontal="center"/>
    </xf>
    <xf numFmtId="0" fontId="18" fillId="0" borderId="11" xfId="9" applyFont="1" applyBorder="1" applyAlignment="1">
      <alignment horizontal="center"/>
    </xf>
    <xf numFmtId="0" fontId="20" fillId="0" borderId="0" xfId="9" applyFont="1" applyAlignment="1">
      <alignment horizontal="right"/>
    </xf>
    <xf numFmtId="0" fontId="18" fillId="0" borderId="0" xfId="9" applyFont="1" applyAlignment="1">
      <alignment horizontal="center"/>
    </xf>
    <xf numFmtId="0" fontId="29" fillId="0" borderId="0" xfId="9" quotePrefix="1" applyFont="1" applyAlignment="1">
      <alignment horizontal="left"/>
    </xf>
    <xf numFmtId="0" fontId="30" fillId="0" borderId="0" xfId="9" applyFont="1" applyAlignment="1">
      <alignment horizontal="left"/>
    </xf>
    <xf numFmtId="0" fontId="3" fillId="0" borderId="0" xfId="9" applyFont="1" applyAlignment="1">
      <alignment horizontal="center"/>
    </xf>
    <xf numFmtId="0" fontId="18" fillId="0" borderId="0" xfId="9" applyFont="1" applyAlignment="1">
      <alignment horizontal="left" vertical="center"/>
    </xf>
    <xf numFmtId="0" fontId="28" fillId="0" borderId="0" xfId="9" applyFont="1" applyAlignment="1">
      <alignment horizontal="center"/>
    </xf>
    <xf numFmtId="0" fontId="18" fillId="0" borderId="0" xfId="9" quotePrefix="1" applyFont="1" applyAlignment="1">
      <alignment horizontal="left"/>
    </xf>
    <xf numFmtId="166" fontId="19" fillId="0" borderId="0" xfId="0" applyNumberFormat="1" applyFont="1"/>
    <xf numFmtId="166" fontId="3" fillId="0" borderId="0" xfId="0" applyNumberFormat="1" applyFont="1"/>
    <xf numFmtId="166" fontId="31" fillId="0" borderId="16" xfId="0" applyNumberFormat="1" applyFont="1" applyBorder="1"/>
    <xf numFmtId="166" fontId="31" fillId="0" borderId="17" xfId="0" applyNumberFormat="1" applyFont="1" applyBorder="1"/>
    <xf numFmtId="166" fontId="31" fillId="0" borderId="18" xfId="0" applyNumberFormat="1" applyFont="1" applyBorder="1"/>
    <xf numFmtId="166" fontId="31" fillId="0" borderId="19" xfId="0" applyNumberFormat="1" applyFont="1" applyBorder="1"/>
    <xf numFmtId="166" fontId="31" fillId="0" borderId="0" xfId="0" applyNumberFormat="1" applyFont="1"/>
    <xf numFmtId="166" fontId="31" fillId="0" borderId="20" xfId="0" applyNumberFormat="1" applyFont="1" applyBorder="1"/>
    <xf numFmtId="166" fontId="31" fillId="0" borderId="21" xfId="0" applyNumberFormat="1" applyFont="1" applyBorder="1"/>
    <xf numFmtId="166" fontId="31" fillId="0" borderId="22" xfId="0" applyNumberFormat="1" applyFont="1" applyBorder="1"/>
    <xf numFmtId="166" fontId="31" fillId="0" borderId="23" xfId="0" applyNumberFormat="1" applyFont="1" applyBorder="1"/>
    <xf numFmtId="0" fontId="3" fillId="0" borderId="0" xfId="9" applyFont="1" applyAlignment="1">
      <alignment horizontal="left"/>
    </xf>
    <xf numFmtId="0" fontId="32" fillId="0" borderId="0" xfId="9" applyFont="1" applyAlignment="1">
      <alignment horizontal="center"/>
    </xf>
    <xf numFmtId="171" fontId="31" fillId="0" borderId="0" xfId="4" applyNumberFormat="1" applyFont="1" applyBorder="1" applyAlignment="1" applyProtection="1">
      <alignment horizontal="right"/>
    </xf>
    <xf numFmtId="171" fontId="33" fillId="0" borderId="0" xfId="4" applyNumberFormat="1" applyFont="1" applyBorder="1" applyAlignment="1" applyProtection="1">
      <alignment horizontal="right"/>
    </xf>
    <xf numFmtId="0" fontId="3" fillId="0" borderId="22" xfId="9" applyFont="1" applyBorder="1"/>
    <xf numFmtId="0" fontId="3" fillId="0" borderId="22" xfId="9" applyFont="1" applyBorder="1" applyAlignment="1">
      <alignment horizontal="center"/>
    </xf>
    <xf numFmtId="0" fontId="3" fillId="0" borderId="0" xfId="9" applyFont="1" applyAlignment="1">
      <alignment vertical="center"/>
    </xf>
    <xf numFmtId="0" fontId="28" fillId="0" borderId="0" xfId="9" applyFont="1" applyAlignment="1">
      <alignment horizontal="center" vertical="center"/>
    </xf>
    <xf numFmtId="0" fontId="18" fillId="0" borderId="0" xfId="9" applyFont="1" applyAlignment="1">
      <alignment horizontal="left"/>
    </xf>
    <xf numFmtId="179" fontId="34" fillId="0" borderId="0" xfId="0" applyNumberFormat="1" applyFont="1"/>
    <xf numFmtId="177" fontId="3" fillId="0" borderId="0" xfId="9" applyNumberFormat="1" applyFont="1"/>
    <xf numFmtId="37" fontId="3" fillId="0" borderId="0" xfId="9" applyNumberFormat="1" applyFont="1"/>
    <xf numFmtId="0" fontId="3" fillId="0" borderId="0" xfId="9" quotePrefix="1" applyFont="1" applyAlignment="1">
      <alignment horizontal="left"/>
    </xf>
    <xf numFmtId="37" fontId="31" fillId="0" borderId="0" xfId="0" applyNumberFormat="1" applyFont="1"/>
    <xf numFmtId="37" fontId="32" fillId="0" borderId="0" xfId="0" applyNumberFormat="1" applyFont="1"/>
    <xf numFmtId="0" fontId="3" fillId="0" borderId="1" xfId="9" applyFont="1" applyBorder="1"/>
    <xf numFmtId="0" fontId="3" fillId="0" borderId="1" xfId="9" applyFont="1" applyBorder="1" applyAlignment="1">
      <alignment horizontal="center"/>
    </xf>
    <xf numFmtId="0" fontId="19" fillId="0" borderId="0" xfId="9" applyFont="1"/>
    <xf numFmtId="0" fontId="16" fillId="0" borderId="0" xfId="0" applyFont="1" applyAlignment="1">
      <alignment horizontal="left"/>
    </xf>
    <xf numFmtId="0" fontId="32" fillId="0" borderId="0" xfId="0" applyFont="1" applyAlignment="1">
      <alignment horizontal="centerContinuous"/>
    </xf>
    <xf numFmtId="0" fontId="15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centerContinuous"/>
    </xf>
    <xf numFmtId="0" fontId="36" fillId="0" borderId="0" xfId="0" applyFont="1" applyAlignment="1">
      <alignment horizontal="centerContinuous"/>
    </xf>
    <xf numFmtId="0" fontId="37" fillId="0" borderId="0" xfId="0" applyFont="1" applyAlignment="1">
      <alignment horizontal="centerContinuous"/>
    </xf>
    <xf numFmtId="0" fontId="32" fillId="0" borderId="0" xfId="0" applyFont="1"/>
    <xf numFmtId="0" fontId="18" fillId="0" borderId="0" xfId="0" applyFont="1" applyAlignment="1">
      <alignment horizontal="centerContinuous"/>
    </xf>
    <xf numFmtId="0" fontId="38" fillId="0" borderId="1" xfId="0" applyFont="1" applyBorder="1" applyAlignment="1">
      <alignment horizontal="centerContinuous"/>
    </xf>
    <xf numFmtId="0" fontId="39" fillId="0" borderId="0" xfId="0" applyFont="1"/>
    <xf numFmtId="0" fontId="18" fillId="0" borderId="0" xfId="0" quotePrefix="1" applyFont="1" applyAlignment="1">
      <alignment horizontal="left"/>
    </xf>
    <xf numFmtId="0" fontId="5" fillId="0" borderId="0" xfId="0" applyFont="1"/>
    <xf numFmtId="0" fontId="5" fillId="0" borderId="0" xfId="0" quotePrefix="1" applyFont="1" applyAlignment="1">
      <alignment horizontal="left"/>
    </xf>
    <xf numFmtId="164" fontId="40" fillId="0" borderId="0" xfId="4" applyNumberFormat="1" applyFont="1" applyFill="1" applyBorder="1" applyProtection="1"/>
    <xf numFmtId="164" fontId="40" fillId="0" borderId="0" xfId="4" applyNumberFormat="1" applyFont="1" applyFill="1" applyProtection="1"/>
    <xf numFmtId="166" fontId="42" fillId="0" borderId="0" xfId="0" applyNumberFormat="1" applyFont="1"/>
    <xf numFmtId="166" fontId="27" fillId="0" borderId="0" xfId="0" applyNumberFormat="1" applyFont="1"/>
    <xf numFmtId="0" fontId="18" fillId="0" borderId="0" xfId="0" applyFont="1" applyAlignment="1">
      <alignment horizontal="left"/>
    </xf>
    <xf numFmtId="0" fontId="35" fillId="0" borderId="0" xfId="0" quotePrefix="1" applyFont="1" applyAlignment="1">
      <alignment horizontal="left"/>
    </xf>
    <xf numFmtId="0" fontId="0" fillId="0" borderId="22" xfId="0" applyBorder="1"/>
    <xf numFmtId="0" fontId="18" fillId="0" borderId="22" xfId="0" quotePrefix="1" applyFont="1" applyBorder="1" applyAlignment="1">
      <alignment horizontal="left"/>
    </xf>
    <xf numFmtId="165" fontId="18" fillId="0" borderId="0" xfId="4" applyNumberFormat="1" applyFont="1" applyFill="1" applyProtection="1"/>
    <xf numFmtId="0" fontId="18" fillId="0" borderId="0" xfId="0" applyFont="1"/>
    <xf numFmtId="0" fontId="35" fillId="0" borderId="0" xfId="0" applyFont="1"/>
    <xf numFmtId="0" fontId="5" fillId="0" borderId="22" xfId="0" applyFont="1" applyBorder="1"/>
    <xf numFmtId="0" fontId="19" fillId="0" borderId="0" xfId="0" applyFont="1" applyAlignment="1">
      <alignment horizontal="center"/>
    </xf>
    <xf numFmtId="168" fontId="18" fillId="0" borderId="0" xfId="4" applyNumberFormat="1" applyFont="1" applyFill="1" applyBorder="1" applyProtection="1"/>
    <xf numFmtId="0" fontId="32" fillId="0" borderId="1" xfId="0" applyFont="1" applyBorder="1"/>
    <xf numFmtId="0" fontId="35" fillId="0" borderId="0" xfId="0" applyFont="1" applyAlignment="1">
      <alignment horizontal="right" vertical="center"/>
    </xf>
    <xf numFmtId="0" fontId="20" fillId="0" borderId="0" xfId="0" quotePrefix="1" applyFont="1" applyAlignment="1">
      <alignment horizontal="right"/>
    </xf>
    <xf numFmtId="0" fontId="0" fillId="0" borderId="16" xfId="0" applyBorder="1"/>
    <xf numFmtId="0" fontId="0" fillId="0" borderId="17" xfId="0" applyBorder="1"/>
    <xf numFmtId="0" fontId="5" fillId="0" borderId="17" xfId="0" applyFont="1" applyBorder="1"/>
    <xf numFmtId="0" fontId="20" fillId="0" borderId="17" xfId="0" applyFont="1" applyBorder="1"/>
    <xf numFmtId="167" fontId="0" fillId="0" borderId="17" xfId="0" applyNumberFormat="1" applyBorder="1"/>
    <xf numFmtId="0" fontId="0" fillId="0" borderId="21" xfId="0" applyBorder="1"/>
    <xf numFmtId="0" fontId="20" fillId="0" borderId="22" xfId="0" applyFont="1" applyBorder="1"/>
    <xf numFmtId="166" fontId="0" fillId="0" borderId="22" xfId="0" applyNumberFormat="1" applyBorder="1" applyAlignment="1">
      <alignment horizontal="right"/>
    </xf>
    <xf numFmtId="0" fontId="38" fillId="0" borderId="0" xfId="0" applyFont="1"/>
    <xf numFmtId="0" fontId="38" fillId="0" borderId="0" xfId="0" applyFont="1" applyAlignment="1">
      <alignment horizontal="left"/>
    </xf>
    <xf numFmtId="167" fontId="19" fillId="0" borderId="0" xfId="4" applyNumberFormat="1" applyFont="1" applyBorder="1" applyProtection="1"/>
    <xf numFmtId="167" fontId="0" fillId="0" borderId="0" xfId="4" applyNumberFormat="1" applyFont="1" applyBorder="1" applyProtection="1"/>
    <xf numFmtId="0" fontId="43" fillId="0" borderId="0" xfId="0" applyFont="1"/>
    <xf numFmtId="167" fontId="18" fillId="0" borderId="0" xfId="4" applyNumberFormat="1" applyFont="1" applyBorder="1" applyProtection="1"/>
    <xf numFmtId="37" fontId="0" fillId="0" borderId="0" xfId="4" applyNumberFormat="1" applyFont="1" applyBorder="1" applyProtection="1"/>
    <xf numFmtId="37" fontId="0" fillId="0" borderId="0" xfId="0" applyNumberFormat="1"/>
    <xf numFmtId="37" fontId="18" fillId="0" borderId="0" xfId="4" applyNumberFormat="1" applyFont="1" applyBorder="1" applyProtection="1"/>
    <xf numFmtId="0" fontId="18" fillId="0" borderId="22" xfId="0" applyFont="1" applyBorder="1"/>
    <xf numFmtId="0" fontId="43" fillId="0" borderId="22" xfId="0" applyFont="1" applyBorder="1"/>
    <xf numFmtId="37" fontId="18" fillId="0" borderId="22" xfId="4" applyNumberFormat="1" applyFont="1" applyBorder="1" applyProtection="1"/>
    <xf numFmtId="0" fontId="18" fillId="0" borderId="1" xfId="0" quotePrefix="1" applyFont="1" applyBorder="1" applyAlignment="1">
      <alignment horizontal="left"/>
    </xf>
    <xf numFmtId="0" fontId="18" fillId="0" borderId="1" xfId="0" applyFont="1" applyBorder="1"/>
    <xf numFmtId="0" fontId="43" fillId="0" borderId="1" xfId="0" applyFont="1" applyBorder="1"/>
    <xf numFmtId="37" fontId="18" fillId="0" borderId="1" xfId="4" applyNumberFormat="1" applyFont="1" applyBorder="1" applyProtection="1"/>
    <xf numFmtId="165" fontId="0" fillId="0" borderId="0" xfId="4" applyNumberFormat="1" applyFont="1" applyBorder="1" applyProtection="1"/>
    <xf numFmtId="0" fontId="27" fillId="0" borderId="0" xfId="0" quotePrefix="1" applyFont="1"/>
    <xf numFmtId="0" fontId="0" fillId="0" borderId="24" xfId="0" applyBorder="1"/>
    <xf numFmtId="0" fontId="0" fillId="0" borderId="25" xfId="0" applyBorder="1"/>
    <xf numFmtId="0" fontId="20" fillId="0" borderId="25" xfId="0" applyFont="1" applyBorder="1"/>
    <xf numFmtId="167" fontId="0" fillId="0" borderId="25" xfId="4" applyNumberFormat="1" applyFont="1" applyBorder="1" applyAlignment="1" applyProtection="1">
      <alignment horizontal="right"/>
    </xf>
    <xf numFmtId="167" fontId="19" fillId="0" borderId="1" xfId="4" applyNumberFormat="1" applyFont="1" applyBorder="1" applyProtection="1"/>
    <xf numFmtId="167" fontId="18" fillId="0" borderId="0" xfId="4" applyNumberFormat="1" applyFont="1" applyBorder="1" applyAlignment="1" applyProtection="1">
      <alignment horizontal="right"/>
    </xf>
    <xf numFmtId="37" fontId="20" fillId="0" borderId="0" xfId="0" applyNumberFormat="1" applyFont="1"/>
    <xf numFmtId="37" fontId="19" fillId="0" borderId="0" xfId="0" applyNumberFormat="1" applyFont="1"/>
    <xf numFmtId="167" fontId="19" fillId="0" borderId="0" xfId="4" applyNumberFormat="1" applyFont="1" applyFill="1" applyBorder="1" applyAlignment="1" applyProtection="1">
      <alignment horizontal="right"/>
      <protection locked="0"/>
    </xf>
    <xf numFmtId="167" fontId="19" fillId="0" borderId="1" xfId="4" applyNumberFormat="1" applyFont="1" applyBorder="1" applyAlignment="1" applyProtection="1">
      <alignment horizontal="right"/>
    </xf>
    <xf numFmtId="167" fontId="19" fillId="0" borderId="1" xfId="4" applyNumberFormat="1" applyFont="1" applyFill="1" applyBorder="1" applyAlignment="1" applyProtection="1">
      <alignment horizontal="right"/>
    </xf>
    <xf numFmtId="167" fontId="18" fillId="0" borderId="0" xfId="4" applyNumberFormat="1" applyFont="1" applyFill="1" applyBorder="1" applyProtection="1"/>
    <xf numFmtId="167" fontId="19" fillId="0" borderId="1" xfId="4" applyNumberFormat="1" applyFont="1" applyFill="1" applyBorder="1" applyProtection="1">
      <protection locked="0"/>
    </xf>
    <xf numFmtId="167" fontId="19" fillId="0" borderId="1" xfId="4" applyNumberFormat="1" applyFont="1" applyFill="1" applyBorder="1" applyProtection="1"/>
    <xf numFmtId="39" fontId="18" fillId="0" borderId="0" xfId="4" applyNumberFormat="1" applyFont="1" applyBorder="1" applyProtection="1"/>
    <xf numFmtId="167" fontId="0" fillId="0" borderId="0" xfId="0" applyNumberFormat="1"/>
    <xf numFmtId="6" fontId="18" fillId="0" borderId="0" xfId="0" quotePrefix="1" applyNumberFormat="1" applyFont="1" applyAlignment="1">
      <alignment horizontal="left"/>
    </xf>
    <xf numFmtId="6" fontId="18" fillId="0" borderId="0" xfId="0" applyNumberFormat="1" applyFont="1" applyAlignment="1">
      <alignment horizontal="left"/>
    </xf>
    <xf numFmtId="0" fontId="18" fillId="0" borderId="7" xfId="0" applyFont="1" applyBorder="1"/>
    <xf numFmtId="0" fontId="32" fillId="0" borderId="8" xfId="0" applyFont="1" applyBorder="1"/>
    <xf numFmtId="165" fontId="0" fillId="0" borderId="8" xfId="4" applyNumberFormat="1" applyFont="1" applyBorder="1" applyProtection="1"/>
    <xf numFmtId="189" fontId="27" fillId="0" borderId="0" xfId="0" applyNumberFormat="1" applyFont="1"/>
    <xf numFmtId="0" fontId="32" fillId="0" borderId="0" xfId="0" quotePrefix="1" applyFont="1"/>
    <xf numFmtId="0" fontId="32" fillId="0" borderId="1" xfId="0" quotePrefix="1" applyFont="1" applyBorder="1"/>
    <xf numFmtId="189" fontId="27" fillId="0" borderId="1" xfId="0" applyNumberFormat="1" applyFont="1" applyBorder="1"/>
    <xf numFmtId="0" fontId="44" fillId="0" borderId="8" xfId="0" quotePrefix="1" applyFont="1" applyBorder="1"/>
    <xf numFmtId="43" fontId="27" fillId="0" borderId="0" xfId="4" applyFont="1" applyBorder="1" applyProtection="1"/>
    <xf numFmtId="0" fontId="27" fillId="0" borderId="0" xfId="0" quotePrefix="1" applyFont="1" applyAlignment="1">
      <alignment horizontal="left"/>
    </xf>
    <xf numFmtId="0" fontId="0" fillId="0" borderId="0" xfId="0" applyAlignment="1">
      <alignment horizontal="right"/>
    </xf>
    <xf numFmtId="173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right"/>
    </xf>
    <xf numFmtId="37" fontId="0" fillId="0" borderId="0" xfId="4" applyNumberFormat="1" applyFont="1" applyProtection="1"/>
    <xf numFmtId="167" fontId="40" fillId="0" borderId="0" xfId="4" applyNumberFormat="1" applyFont="1" applyFill="1" applyProtection="1">
      <protection locked="0"/>
    </xf>
    <xf numFmtId="167" fontId="0" fillId="0" borderId="0" xfId="4" applyNumberFormat="1" applyFont="1" applyProtection="1"/>
    <xf numFmtId="37" fontId="0" fillId="0" borderId="0" xfId="4" applyNumberFormat="1" applyFont="1" applyFill="1" applyProtection="1"/>
    <xf numFmtId="167" fontId="0" fillId="0" borderId="0" xfId="4" applyNumberFormat="1" applyFont="1" applyFill="1" applyProtection="1"/>
    <xf numFmtId="37" fontId="19" fillId="0" borderId="0" xfId="4" applyNumberFormat="1" applyFont="1" applyBorder="1" applyProtection="1"/>
    <xf numFmtId="167" fontId="40" fillId="0" borderId="1" xfId="4" applyNumberFormat="1" applyFont="1" applyFill="1" applyBorder="1" applyAlignment="1" applyProtection="1">
      <alignment horizontal="right"/>
      <protection locked="0"/>
    </xf>
    <xf numFmtId="167" fontId="19" fillId="0" borderId="1" xfId="4" applyNumberFormat="1" applyFont="1" applyFill="1" applyBorder="1" applyAlignment="1" applyProtection="1">
      <alignment horizontal="right"/>
      <protection locked="0"/>
    </xf>
    <xf numFmtId="167" fontId="18" fillId="0" borderId="0" xfId="4" applyNumberFormat="1" applyFont="1" applyProtection="1"/>
    <xf numFmtId="165" fontId="0" fillId="0" borderId="0" xfId="4" applyNumberFormat="1" applyFont="1" applyProtection="1"/>
    <xf numFmtId="165" fontId="0" fillId="0" borderId="0" xfId="4" applyNumberFormat="1" applyFont="1" applyFill="1" applyBorder="1" applyProtection="1"/>
    <xf numFmtId="37" fontId="19" fillId="0" borderId="0" xfId="4" applyNumberFormat="1" applyFont="1" applyFill="1" applyProtection="1"/>
    <xf numFmtId="167" fontId="19" fillId="0" borderId="0" xfId="4" applyNumberFormat="1" applyFont="1" applyFill="1" applyProtection="1">
      <protection locked="0"/>
    </xf>
    <xf numFmtId="167" fontId="18" fillId="0" borderId="8" xfId="4" applyNumberFormat="1" applyFont="1" applyBorder="1" applyProtection="1"/>
    <xf numFmtId="5" fontId="18" fillId="0" borderId="0" xfId="4" applyNumberFormat="1" applyFont="1" applyProtection="1"/>
    <xf numFmtId="186" fontId="18" fillId="0" borderId="0" xfId="4" applyNumberFormat="1" applyFont="1" applyProtection="1"/>
    <xf numFmtId="37" fontId="18" fillId="0" borderId="0" xfId="4" applyNumberFormat="1" applyFont="1" applyProtection="1"/>
    <xf numFmtId="0" fontId="18" fillId="0" borderId="8" xfId="0" quotePrefix="1" applyFont="1" applyBorder="1" applyAlignment="1">
      <alignment horizontal="left"/>
    </xf>
    <xf numFmtId="37" fontId="18" fillId="0" borderId="8" xfId="4" applyNumberFormat="1" applyFont="1" applyBorder="1" applyProtection="1"/>
    <xf numFmtId="167" fontId="0" fillId="0" borderId="8" xfId="4" applyNumberFormat="1" applyFont="1" applyBorder="1" applyProtection="1"/>
    <xf numFmtId="167" fontId="46" fillId="0" borderId="0" xfId="4" applyNumberFormat="1" applyFont="1" applyBorder="1" applyProtection="1"/>
    <xf numFmtId="167" fontId="21" fillId="0" borderId="0" xfId="4" applyNumberFormat="1" applyFont="1" applyBorder="1" applyProtection="1"/>
    <xf numFmtId="0" fontId="0" fillId="0" borderId="10" xfId="0" applyBorder="1" applyAlignment="1">
      <alignment horizontal="left"/>
    </xf>
    <xf numFmtId="190" fontId="0" fillId="0" borderId="1" xfId="4" applyNumberFormat="1" applyFont="1" applyBorder="1" applyProtection="1"/>
    <xf numFmtId="0" fontId="38" fillId="0" borderId="0" xfId="0" applyFont="1" applyAlignment="1">
      <alignment horizontal="centerContinuous"/>
    </xf>
    <xf numFmtId="0" fontId="27" fillId="0" borderId="0" xfId="0" applyFont="1" applyAlignment="1">
      <alignment horizontal="left"/>
    </xf>
    <xf numFmtId="37" fontId="19" fillId="0" borderId="0" xfId="4" applyNumberFormat="1" applyFont="1" applyFill="1" applyBorder="1" applyProtection="1"/>
    <xf numFmtId="167" fontId="0" fillId="0" borderId="0" xfId="4" applyNumberFormat="1" applyFont="1" applyFill="1" applyProtection="1">
      <protection locked="0"/>
    </xf>
    <xf numFmtId="167" fontId="19" fillId="0" borderId="0" xfId="4" applyNumberFormat="1" applyFont="1" applyFill="1" applyBorder="1" applyProtection="1">
      <protection locked="0"/>
    </xf>
    <xf numFmtId="37" fontId="0" fillId="0" borderId="0" xfId="4" applyNumberFormat="1" applyFont="1" applyFill="1" applyBorder="1" applyProtection="1"/>
    <xf numFmtId="0" fontId="27" fillId="0" borderId="0" xfId="0" applyFont="1"/>
    <xf numFmtId="172" fontId="27" fillId="0" borderId="0" xfId="4" applyNumberFormat="1" applyFont="1" applyBorder="1" applyProtection="1"/>
    <xf numFmtId="172" fontId="27" fillId="0" borderId="0" xfId="4" applyNumberFormat="1" applyFont="1" applyProtection="1"/>
    <xf numFmtId="0" fontId="47" fillId="0" borderId="0" xfId="0" applyFont="1" applyAlignment="1">
      <alignment horizontal="centerContinuous"/>
    </xf>
    <xf numFmtId="0" fontId="48" fillId="0" borderId="0" xfId="0" applyFont="1" applyAlignment="1">
      <alignment horizontal="centerContinuous"/>
    </xf>
    <xf numFmtId="0" fontId="49" fillId="0" borderId="0" xfId="0" applyFont="1" applyAlignment="1">
      <alignment horizontal="centerContinuous"/>
    </xf>
    <xf numFmtId="0" fontId="50" fillId="0" borderId="0" xfId="0" applyFont="1" applyAlignment="1">
      <alignment horizontal="centerContinuous"/>
    </xf>
    <xf numFmtId="0" fontId="43" fillId="0" borderId="0" xfId="0" applyFont="1" applyAlignment="1">
      <alignment horizontal="centerContinuous"/>
    </xf>
    <xf numFmtId="0" fontId="18" fillId="0" borderId="1" xfId="0" applyFont="1" applyBorder="1" applyAlignment="1">
      <alignment horizontal="centerContinuous"/>
    </xf>
    <xf numFmtId="0" fontId="51" fillId="0" borderId="0" xfId="0" applyFont="1" applyAlignment="1">
      <alignment horizontal="right"/>
    </xf>
    <xf numFmtId="0" fontId="52" fillId="0" borderId="0" xfId="0" applyFont="1"/>
    <xf numFmtId="0" fontId="52" fillId="0" borderId="7" xfId="0" applyFont="1" applyBorder="1" applyAlignment="1">
      <alignment horizontal="left" vertical="center"/>
    </xf>
    <xf numFmtId="185" fontId="53" fillId="0" borderId="0" xfId="0" applyNumberFormat="1" applyFont="1"/>
    <xf numFmtId="37" fontId="52" fillId="0" borderId="0" xfId="0" applyNumberFormat="1" applyFont="1"/>
    <xf numFmtId="0" fontId="54" fillId="0" borderId="0" xfId="0" applyFont="1"/>
    <xf numFmtId="0" fontId="52" fillId="0" borderId="10" xfId="0" applyFont="1" applyBorder="1" applyAlignment="1">
      <alignment horizontal="left" vertical="center"/>
    </xf>
    <xf numFmtId="0" fontId="52" fillId="0" borderId="1" xfId="0" quotePrefix="1" applyFont="1" applyBorder="1" applyAlignment="1">
      <alignment horizontal="left" vertical="center"/>
    </xf>
    <xf numFmtId="0" fontId="52" fillId="0" borderId="1" xfId="0" applyFont="1" applyBorder="1" applyAlignment="1">
      <alignment vertical="center"/>
    </xf>
    <xf numFmtId="179" fontId="0" fillId="0" borderId="0" xfId="0" applyNumberFormat="1"/>
    <xf numFmtId="0" fontId="34" fillId="0" borderId="0" xfId="0" applyFont="1" applyAlignment="1">
      <alignment vertical="center"/>
    </xf>
    <xf numFmtId="37" fontId="0" fillId="0" borderId="1" xfId="4" applyNumberFormat="1" applyFont="1" applyBorder="1" applyProtection="1"/>
    <xf numFmtId="0" fontId="58" fillId="0" borderId="0" xfId="0" applyFont="1"/>
    <xf numFmtId="37" fontId="31" fillId="0" borderId="1" xfId="0" applyNumberFormat="1" applyFont="1" applyBorder="1"/>
    <xf numFmtId="37" fontId="19" fillId="0" borderId="1" xfId="0" applyNumberFormat="1" applyFont="1" applyBorder="1"/>
    <xf numFmtId="0" fontId="5" fillId="0" borderId="25" xfId="0" applyFont="1" applyBorder="1"/>
    <xf numFmtId="4" fontId="18" fillId="0" borderId="0" xfId="0" applyNumberFormat="1" applyFont="1"/>
    <xf numFmtId="4" fontId="0" fillId="0" borderId="0" xfId="4" applyNumberFormat="1" applyFont="1" applyFill="1" applyBorder="1" applyProtection="1"/>
    <xf numFmtId="4" fontId="0" fillId="0" borderId="0" xfId="0" applyNumberFormat="1"/>
    <xf numFmtId="43" fontId="52" fillId="0" borderId="0" xfId="4" applyFont="1" applyProtection="1"/>
    <xf numFmtId="4" fontId="0" fillId="0" borderId="0" xfId="4" applyNumberFormat="1" applyFont="1" applyFill="1" applyBorder="1" applyAlignment="1" applyProtection="1">
      <alignment horizontal="left"/>
    </xf>
    <xf numFmtId="43" fontId="52" fillId="0" borderId="0" xfId="4" applyFont="1" applyFill="1" applyProtection="1"/>
    <xf numFmtId="4" fontId="18" fillId="0" borderId="0" xfId="4" applyNumberFormat="1" applyFont="1" applyFill="1" applyBorder="1" applyProtection="1"/>
    <xf numFmtId="164" fontId="0" fillId="0" borderId="1" xfId="4" applyNumberFormat="1" applyFont="1" applyBorder="1" applyProtection="1"/>
    <xf numFmtId="173" fontId="20" fillId="0" borderId="0" xfId="0" quotePrefix="1" applyNumberFormat="1" applyFont="1" applyAlignment="1">
      <alignment horizontal="right"/>
    </xf>
    <xf numFmtId="176" fontId="62" fillId="0" borderId="0" xfId="9" applyNumberFormat="1" applyFont="1"/>
    <xf numFmtId="0" fontId="15" fillId="0" borderId="0" xfId="7" applyFont="1" applyAlignment="1">
      <alignment horizontal="centerContinuous"/>
    </xf>
    <xf numFmtId="0" fontId="63" fillId="0" borderId="0" xfId="7" applyFont="1" applyAlignment="1">
      <alignment horizontal="centerContinuous"/>
    </xf>
    <xf numFmtId="0" fontId="50" fillId="0" borderId="0" xfId="7" applyFont="1" applyAlignment="1">
      <alignment horizontal="centerContinuous"/>
    </xf>
    <xf numFmtId="0" fontId="3" fillId="0" borderId="0" xfId="7"/>
    <xf numFmtId="0" fontId="26" fillId="0" borderId="0" xfId="7" applyFont="1" applyAlignment="1">
      <alignment horizontal="centerContinuous"/>
    </xf>
    <xf numFmtId="0" fontId="64" fillId="0" borderId="0" xfId="7" applyFont="1" applyAlignment="1">
      <alignment horizontal="centerContinuous"/>
    </xf>
    <xf numFmtId="0" fontId="18" fillId="0" borderId="0" xfId="7" applyFont="1" applyAlignment="1">
      <alignment horizontal="centerContinuous"/>
    </xf>
    <xf numFmtId="0" fontId="65" fillId="0" borderId="0" xfId="7" applyFont="1" applyAlignment="1">
      <alignment horizontal="centerContinuous"/>
    </xf>
    <xf numFmtId="0" fontId="3" fillId="0" borderId="5" xfId="7" applyBorder="1"/>
    <xf numFmtId="0" fontId="3" fillId="0" borderId="1" xfId="7" applyBorder="1"/>
    <xf numFmtId="0" fontId="3" fillId="0" borderId="6" xfId="7" applyBorder="1"/>
    <xf numFmtId="173" fontId="20" fillId="0" borderId="0" xfId="0" applyNumberFormat="1" applyFont="1"/>
    <xf numFmtId="187" fontId="20" fillId="0" borderId="0" xfId="0" quotePrefix="1" applyNumberFormat="1" applyFont="1" applyAlignment="1">
      <alignment horizontal="right"/>
    </xf>
    <xf numFmtId="0" fontId="18" fillId="0" borderId="0" xfId="7" applyFont="1"/>
    <xf numFmtId="0" fontId="5" fillId="0" borderId="0" xfId="7" applyFont="1"/>
    <xf numFmtId="5" fontId="3" fillId="0" borderId="0" xfId="4" applyNumberFormat="1" applyFont="1" applyBorder="1"/>
    <xf numFmtId="0" fontId="58" fillId="0" borderId="0" xfId="7" applyFont="1"/>
    <xf numFmtId="0" fontId="32" fillId="0" borderId="0" xfId="7" applyFont="1"/>
    <xf numFmtId="0" fontId="3" fillId="0" borderId="10" xfId="7" applyBorder="1"/>
    <xf numFmtId="0" fontId="3" fillId="0" borderId="11" xfId="7" applyBorder="1"/>
    <xf numFmtId="0" fontId="27" fillId="0" borderId="0" xfId="7" applyFont="1"/>
    <xf numFmtId="0" fontId="3" fillId="0" borderId="0" xfId="7" applyAlignment="1">
      <alignment horizontal="right"/>
    </xf>
    <xf numFmtId="0" fontId="3" fillId="0" borderId="0" xfId="7" applyAlignment="1">
      <alignment vertical="center"/>
    </xf>
    <xf numFmtId="0" fontId="3" fillId="0" borderId="7" xfId="7" applyBorder="1" applyAlignment="1">
      <alignment vertical="center"/>
    </xf>
    <xf numFmtId="0" fontId="3" fillId="0" borderId="8" xfId="7" applyBorder="1" applyAlignment="1">
      <alignment vertical="center"/>
    </xf>
    <xf numFmtId="0" fontId="38" fillId="0" borderId="14" xfId="7" applyFont="1" applyBorder="1" applyAlignment="1">
      <alignment horizontal="centerContinuous" vertical="center"/>
    </xf>
    <xf numFmtId="0" fontId="27" fillId="0" borderId="14" xfId="7" applyFont="1" applyBorder="1" applyAlignment="1">
      <alignment horizontal="centerContinuous" vertical="center"/>
    </xf>
    <xf numFmtId="0" fontId="3" fillId="0" borderId="9" xfId="7" applyBorder="1" applyAlignment="1">
      <alignment vertical="center"/>
    </xf>
    <xf numFmtId="0" fontId="3" fillId="0" borderId="5" xfId="7" applyBorder="1" applyAlignment="1">
      <alignment vertical="center"/>
    </xf>
    <xf numFmtId="0" fontId="3" fillId="0" borderId="1" xfId="7" applyBorder="1" applyAlignment="1">
      <alignment vertical="center"/>
    </xf>
    <xf numFmtId="173" fontId="18" fillId="0" borderId="1" xfId="0" applyNumberFormat="1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3" fillId="0" borderId="6" xfId="7" applyBorder="1" applyAlignment="1">
      <alignment vertical="center"/>
    </xf>
    <xf numFmtId="39" fontId="19" fillId="0" borderId="0" xfId="0" applyNumberFormat="1" applyFont="1" applyAlignment="1">
      <alignment horizontal="right"/>
    </xf>
    <xf numFmtId="0" fontId="23" fillId="0" borderId="0" xfId="0" applyFont="1" applyAlignment="1">
      <alignment vertical="center"/>
    </xf>
    <xf numFmtId="173" fontId="18" fillId="0" borderId="0" xfId="0" quotePrefix="1" applyNumberFormat="1" applyFont="1" applyAlignment="1">
      <alignment horizontal="right"/>
    </xf>
    <xf numFmtId="0" fontId="18" fillId="0" borderId="0" xfId="0" quotePrefix="1" applyFont="1" applyAlignment="1">
      <alignment horizontal="right"/>
    </xf>
    <xf numFmtId="0" fontId="18" fillId="0" borderId="0" xfId="0" applyFont="1" applyAlignment="1">
      <alignment horizontal="right"/>
    </xf>
    <xf numFmtId="0" fontId="18" fillId="0" borderId="8" xfId="0" quotePrefix="1" applyFont="1" applyBorder="1" applyAlignment="1">
      <alignment horizontal="right"/>
    </xf>
    <xf numFmtId="0" fontId="18" fillId="0" borderId="0" xfId="9" quotePrefix="1" applyFont="1" applyAlignment="1">
      <alignment horizontal="right"/>
    </xf>
    <xf numFmtId="0" fontId="70" fillId="0" borderId="0" xfId="7" applyFont="1"/>
    <xf numFmtId="0" fontId="3" fillId="0" borderId="12" xfId="7" applyBorder="1"/>
    <xf numFmtId="0" fontId="35" fillId="0" borderId="0" xfId="7" applyFont="1"/>
    <xf numFmtId="0" fontId="26" fillId="0" borderId="12" xfId="0" applyFont="1" applyBorder="1" applyAlignment="1">
      <alignment horizontal="centerContinuous"/>
    </xf>
    <xf numFmtId="0" fontId="36" fillId="0" borderId="12" xfId="0" applyFont="1" applyBorder="1" applyAlignment="1">
      <alignment horizontal="centerContinuous"/>
    </xf>
    <xf numFmtId="0" fontId="37" fillId="0" borderId="12" xfId="0" applyFont="1" applyBorder="1" applyAlignment="1">
      <alignment horizontal="centerContinuous"/>
    </xf>
    <xf numFmtId="0" fontId="3" fillId="0" borderId="12" xfId="9" applyFont="1" applyBorder="1"/>
    <xf numFmtId="0" fontId="3" fillId="0" borderId="12" xfId="9" applyFont="1" applyBorder="1" applyAlignment="1">
      <alignment horizontal="center"/>
    </xf>
    <xf numFmtId="0" fontId="17" fillId="0" borderId="12" xfId="0" applyFont="1" applyBorder="1"/>
    <xf numFmtId="0" fontId="0" fillId="0" borderId="12" xfId="0" applyBorder="1"/>
    <xf numFmtId="0" fontId="69" fillId="3" borderId="0" xfId="7" applyFont="1" applyFill="1" applyAlignment="1">
      <alignment vertical="center"/>
    </xf>
    <xf numFmtId="0" fontId="3" fillId="3" borderId="0" xfId="7" applyFill="1" applyAlignment="1">
      <alignment vertical="center"/>
    </xf>
    <xf numFmtId="173" fontId="69" fillId="3" borderId="0" xfId="0" applyNumberFormat="1" applyFont="1" applyFill="1" applyAlignment="1">
      <alignment vertical="center"/>
    </xf>
    <xf numFmtId="0" fontId="69" fillId="3" borderId="0" xfId="0" applyFont="1" applyFill="1" applyAlignment="1">
      <alignment vertical="center"/>
    </xf>
    <xf numFmtId="0" fontId="71" fillId="0" borderId="0" xfId="7" applyFont="1"/>
    <xf numFmtId="0" fontId="3" fillId="3" borderId="32" xfId="7" applyFill="1" applyBorder="1" applyAlignment="1">
      <alignment vertical="center"/>
    </xf>
    <xf numFmtId="0" fontId="3" fillId="3" borderId="33" xfId="7" applyFill="1" applyBorder="1" applyAlignment="1">
      <alignment vertical="center"/>
    </xf>
    <xf numFmtId="0" fontId="66" fillId="3" borderId="33" xfId="7" applyFont="1" applyFill="1" applyBorder="1" applyAlignment="1">
      <alignment vertical="center"/>
    </xf>
    <xf numFmtId="0" fontId="67" fillId="3" borderId="34" xfId="7" applyFont="1" applyFill="1" applyBorder="1" applyAlignment="1">
      <alignment horizontal="centerContinuous" vertical="center"/>
    </xf>
    <xf numFmtId="0" fontId="68" fillId="3" borderId="34" xfId="7" applyFont="1" applyFill="1" applyBorder="1" applyAlignment="1">
      <alignment horizontal="centerContinuous" vertical="center"/>
    </xf>
    <xf numFmtId="0" fontId="66" fillId="3" borderId="35" xfId="7" applyFont="1" applyFill="1" applyBorder="1" applyAlignment="1">
      <alignment vertical="center"/>
    </xf>
    <xf numFmtId="0" fontId="3" fillId="3" borderId="36" xfId="7" applyFill="1" applyBorder="1" applyAlignment="1">
      <alignment vertical="center"/>
    </xf>
    <xf numFmtId="0" fontId="66" fillId="3" borderId="37" xfId="7" applyFont="1" applyFill="1" applyBorder="1" applyAlignment="1">
      <alignment vertical="center"/>
    </xf>
    <xf numFmtId="0" fontId="3" fillId="0" borderId="36" xfId="7" applyBorder="1"/>
    <xf numFmtId="0" fontId="3" fillId="0" borderId="37" xfId="7" applyBorder="1"/>
    <xf numFmtId="5" fontId="3" fillId="0" borderId="37" xfId="4" applyNumberFormat="1" applyFont="1" applyBorder="1"/>
    <xf numFmtId="189" fontId="27" fillId="0" borderId="37" xfId="0" applyNumberFormat="1" applyFont="1" applyBorder="1"/>
    <xf numFmtId="0" fontId="3" fillId="0" borderId="38" xfId="7" applyBorder="1"/>
    <xf numFmtId="0" fontId="3" fillId="0" borderId="39" xfId="7" applyBorder="1"/>
    <xf numFmtId="0" fontId="3" fillId="0" borderId="39" xfId="7" applyBorder="1" applyAlignment="1">
      <alignment horizontal="left"/>
    </xf>
    <xf numFmtId="0" fontId="3" fillId="0" borderId="40" xfId="7" applyBorder="1"/>
    <xf numFmtId="0" fontId="3" fillId="3" borderId="35" xfId="7" applyFill="1" applyBorder="1" applyAlignment="1">
      <alignment vertical="center"/>
    </xf>
    <xf numFmtId="0" fontId="3" fillId="3" borderId="37" xfId="7" applyFill="1" applyBorder="1" applyAlignment="1">
      <alignment vertical="center"/>
    </xf>
    <xf numFmtId="0" fontId="8" fillId="2" borderId="31" xfId="13" applyFont="1" applyFill="1" applyBorder="1" applyProtection="1">
      <protection locked="0"/>
    </xf>
    <xf numFmtId="0" fontId="8" fillId="2" borderId="0" xfId="13" applyFont="1" applyFill="1" applyProtection="1">
      <protection locked="0"/>
    </xf>
    <xf numFmtId="0" fontId="9" fillId="2" borderId="0" xfId="13" applyFont="1" applyFill="1" applyProtection="1">
      <protection locked="0"/>
    </xf>
    <xf numFmtId="0" fontId="10" fillId="2" borderId="0" xfId="13" applyFont="1" applyFill="1" applyProtection="1">
      <protection locked="0"/>
    </xf>
    <xf numFmtId="0" fontId="11" fillId="2" borderId="0" xfId="13" applyFont="1" applyFill="1" applyProtection="1">
      <protection locked="0"/>
    </xf>
    <xf numFmtId="181" fontId="12" fillId="2" borderId="0" xfId="8" applyNumberFormat="1" applyFont="1" applyFill="1" applyAlignment="1" applyProtection="1">
      <alignment horizontal="left" wrapText="1"/>
      <protection locked="0"/>
    </xf>
    <xf numFmtId="0" fontId="8" fillId="2" borderId="12" xfId="13" applyFont="1" applyFill="1" applyBorder="1" applyProtection="1">
      <protection locked="0"/>
    </xf>
    <xf numFmtId="0" fontId="14" fillId="2" borderId="0" xfId="13" applyFont="1" applyFill="1"/>
    <xf numFmtId="191" fontId="18" fillId="0" borderId="26" xfId="4" applyNumberFormat="1" applyFont="1" applyBorder="1" applyProtection="1"/>
    <xf numFmtId="0" fontId="3" fillId="4" borderId="36" xfId="7" applyFill="1" applyBorder="1"/>
    <xf numFmtId="0" fontId="3" fillId="4" borderId="0" xfId="7" applyFill="1"/>
    <xf numFmtId="173" fontId="20" fillId="4" borderId="0" xfId="0" applyNumberFormat="1" applyFont="1" applyFill="1"/>
    <xf numFmtId="187" fontId="20" fillId="4" borderId="0" xfId="0" quotePrefix="1" applyNumberFormat="1" applyFont="1" applyFill="1" applyAlignment="1">
      <alignment horizontal="right"/>
    </xf>
    <xf numFmtId="0" fontId="20" fillId="4" borderId="0" xfId="0" applyFont="1" applyFill="1"/>
    <xf numFmtId="0" fontId="20" fillId="4" borderId="37" xfId="0" applyFont="1" applyFill="1" applyBorder="1"/>
    <xf numFmtId="2" fontId="0" fillId="0" borderId="0" xfId="0" applyNumberFormat="1"/>
    <xf numFmtId="175" fontId="0" fillId="0" borderId="0" xfId="0" quotePrefix="1" applyNumberFormat="1" applyBorder="1" applyAlignment="1">
      <alignment horizontal="left"/>
    </xf>
    <xf numFmtId="0" fontId="0" fillId="0" borderId="0" xfId="0" applyBorder="1"/>
    <xf numFmtId="0" fontId="19" fillId="0" borderId="0" xfId="0" applyFont="1" applyFill="1" applyBorder="1" applyAlignment="1">
      <alignment horizontal="left"/>
    </xf>
    <xf numFmtId="9" fontId="0" fillId="0" borderId="0" xfId="14" applyFont="1"/>
    <xf numFmtId="0" fontId="0" fillId="0" borderId="0" xfId="9" quotePrefix="1" applyFont="1" applyFill="1" applyAlignment="1">
      <alignment horizontal="left"/>
    </xf>
    <xf numFmtId="0" fontId="0" fillId="0" borderId="0" xfId="9" applyFont="1" applyFill="1" applyAlignment="1">
      <alignment horizontal="left"/>
    </xf>
    <xf numFmtId="0" fontId="3" fillId="0" borderId="0" xfId="9" applyFont="1" applyFill="1"/>
    <xf numFmtId="166" fontId="31" fillId="0" borderId="16" xfId="0" applyNumberFormat="1" applyFont="1" applyFill="1" applyBorder="1"/>
    <xf numFmtId="166" fontId="31" fillId="0" borderId="17" xfId="0" applyNumberFormat="1" applyFont="1" applyFill="1" applyBorder="1"/>
    <xf numFmtId="166" fontId="31" fillId="0" borderId="18" xfId="0" applyNumberFormat="1" applyFont="1" applyFill="1" applyBorder="1"/>
    <xf numFmtId="166" fontId="31" fillId="0" borderId="19" xfId="0" applyNumberFormat="1" applyFont="1" applyFill="1" applyBorder="1"/>
    <xf numFmtId="166" fontId="31" fillId="0" borderId="0" xfId="0" applyNumberFormat="1" applyFont="1" applyFill="1"/>
    <xf numFmtId="166" fontId="31" fillId="0" borderId="20" xfId="0" applyNumberFormat="1" applyFont="1" applyFill="1" applyBorder="1"/>
    <xf numFmtId="166" fontId="31" fillId="0" borderId="21" xfId="0" applyNumberFormat="1" applyFont="1" applyFill="1" applyBorder="1"/>
    <xf numFmtId="166" fontId="31" fillId="0" borderId="22" xfId="0" applyNumberFormat="1" applyFont="1" applyFill="1" applyBorder="1"/>
    <xf numFmtId="166" fontId="31" fillId="0" borderId="23" xfId="0" applyNumberFormat="1" applyFont="1" applyFill="1" applyBorder="1"/>
    <xf numFmtId="10" fontId="0" fillId="0" borderId="0" xfId="14" applyNumberFormat="1" applyFont="1"/>
    <xf numFmtId="0" fontId="28" fillId="0" borderId="0" xfId="9" applyFont="1" applyFill="1" applyAlignment="1">
      <alignment horizontal="center" vertical="center"/>
    </xf>
    <xf numFmtId="170" fontId="31" fillId="0" borderId="16" xfId="4" applyNumberFormat="1" applyFont="1" applyFill="1" applyBorder="1" applyProtection="1"/>
    <xf numFmtId="170" fontId="31" fillId="0" borderId="17" xfId="4" applyNumberFormat="1" applyFont="1" applyFill="1" applyBorder="1" applyProtection="1"/>
    <xf numFmtId="170" fontId="31" fillId="0" borderId="18" xfId="0" applyNumberFormat="1" applyFont="1" applyFill="1" applyBorder="1"/>
    <xf numFmtId="170" fontId="32" fillId="0" borderId="19" xfId="4" applyNumberFormat="1" applyFont="1" applyFill="1" applyBorder="1" applyProtection="1"/>
    <xf numFmtId="170" fontId="32" fillId="0" borderId="0" xfId="4" applyNumberFormat="1" applyFont="1" applyFill="1" applyBorder="1" applyProtection="1"/>
    <xf numFmtId="170" fontId="32" fillId="0" borderId="20" xfId="4" applyNumberFormat="1" applyFont="1" applyFill="1" applyBorder="1" applyProtection="1"/>
    <xf numFmtId="170" fontId="32" fillId="0" borderId="21" xfId="4" applyNumberFormat="1" applyFont="1" applyFill="1" applyBorder="1" applyProtection="1"/>
    <xf numFmtId="170" fontId="32" fillId="0" borderId="22" xfId="4" applyNumberFormat="1" applyFont="1" applyFill="1" applyBorder="1" applyProtection="1"/>
    <xf numFmtId="170" fontId="32" fillId="0" borderId="23" xfId="4" applyNumberFormat="1" applyFont="1" applyFill="1" applyBorder="1" applyProtection="1"/>
    <xf numFmtId="167" fontId="0" fillId="0" borderId="1" xfId="0" applyNumberFormat="1" applyBorder="1"/>
    <xf numFmtId="170" fontId="3" fillId="0" borderId="0" xfId="4" applyNumberFormat="1" applyFont="1" applyProtection="1"/>
    <xf numFmtId="170" fontId="3" fillId="0" borderId="0" xfId="4" applyNumberFormat="1" applyFont="1" applyFill="1" applyProtection="1"/>
    <xf numFmtId="179" fontId="19" fillId="0" borderId="25" xfId="0" applyNumberFormat="1" applyFont="1" applyFill="1" applyBorder="1"/>
    <xf numFmtId="0" fontId="0" fillId="0" borderId="0" xfId="0" applyFill="1"/>
    <xf numFmtId="166" fontId="18" fillId="0" borderId="42" xfId="0" applyNumberFormat="1" applyFont="1" applyFill="1" applyBorder="1" applyAlignment="1">
      <alignment vertical="center"/>
    </xf>
    <xf numFmtId="166" fontId="18" fillId="0" borderId="41" xfId="0" applyNumberFormat="1" applyFont="1" applyFill="1" applyBorder="1" applyAlignment="1">
      <alignment vertical="center"/>
    </xf>
    <xf numFmtId="166" fontId="18" fillId="0" borderId="43" xfId="0" applyNumberFormat="1" applyFont="1" applyFill="1" applyBorder="1" applyAlignment="1">
      <alignment vertical="center"/>
    </xf>
    <xf numFmtId="170" fontId="34" fillId="0" borderId="42" xfId="0" applyNumberFormat="1" applyFont="1" applyFill="1" applyBorder="1" applyAlignment="1">
      <alignment vertical="center"/>
    </xf>
    <xf numFmtId="170" fontId="34" fillId="0" borderId="41" xfId="0" applyNumberFormat="1" applyFont="1" applyFill="1" applyBorder="1" applyAlignment="1">
      <alignment vertical="center"/>
    </xf>
    <xf numFmtId="170" fontId="34" fillId="0" borderId="43" xfId="0" applyNumberFormat="1" applyFont="1" applyFill="1" applyBorder="1" applyAlignment="1">
      <alignment vertical="center"/>
    </xf>
    <xf numFmtId="193" fontId="62" fillId="0" borderId="0" xfId="9" applyNumberFormat="1" applyFont="1"/>
    <xf numFmtId="0" fontId="0" fillId="0" borderId="0" xfId="0" applyFont="1"/>
    <xf numFmtId="166" fontId="27" fillId="0" borderId="0" xfId="0" applyNumberFormat="1" applyFont="1" applyBorder="1"/>
    <xf numFmtId="39" fontId="0" fillId="0" borderId="17" xfId="0" applyNumberFormat="1" applyBorder="1"/>
    <xf numFmtId="39" fontId="0" fillId="0" borderId="18" xfId="0" applyNumberFormat="1" applyBorder="1"/>
    <xf numFmtId="166" fontId="0" fillId="0" borderId="0" xfId="0" applyNumberFormat="1" applyFill="1"/>
    <xf numFmtId="164" fontId="59" fillId="0" borderId="0" xfId="4" applyNumberFormat="1" applyFont="1" applyFill="1" applyProtection="1"/>
    <xf numFmtId="166" fontId="60" fillId="0" borderId="0" xfId="0" applyNumberFormat="1" applyFont="1" applyFill="1" applyBorder="1"/>
    <xf numFmtId="43" fontId="3" fillId="0" borderId="0" xfId="4" applyNumberFormat="1" applyFont="1" applyFill="1" applyProtection="1"/>
    <xf numFmtId="43" fontId="59" fillId="0" borderId="0" xfId="4" applyNumberFormat="1" applyFont="1" applyFill="1" applyProtection="1"/>
    <xf numFmtId="166" fontId="60" fillId="0" borderId="22" xfId="0" applyNumberFormat="1" applyFont="1" applyFill="1" applyBorder="1"/>
    <xf numFmtId="191" fontId="18" fillId="0" borderId="0" xfId="4" applyNumberFormat="1" applyFont="1" applyFill="1" applyBorder="1" applyProtection="1"/>
    <xf numFmtId="10" fontId="23" fillId="0" borderId="0" xfId="14" applyNumberFormat="1" applyFont="1" applyFill="1" applyBorder="1" applyProtection="1"/>
    <xf numFmtId="191" fontId="18" fillId="0" borderId="26" xfId="4" applyNumberFormat="1" applyFont="1" applyFill="1" applyBorder="1" applyProtection="1"/>
    <xf numFmtId="10" fontId="59" fillId="0" borderId="0" xfId="0" applyNumberFormat="1" applyFont="1"/>
    <xf numFmtId="9" fontId="59" fillId="0" borderId="0" xfId="0" applyNumberFormat="1" applyFont="1"/>
    <xf numFmtId="39" fontId="18" fillId="0" borderId="26" xfId="4" applyNumberFormat="1" applyFont="1" applyBorder="1" applyProtection="1"/>
    <xf numFmtId="167" fontId="59" fillId="0" borderId="0" xfId="4" applyNumberFormat="1" applyFont="1" applyFill="1" applyBorder="1" applyProtection="1"/>
    <xf numFmtId="167" fontId="0" fillId="0" borderId="0" xfId="4" applyNumberFormat="1" applyFont="1" applyFill="1" applyBorder="1" applyProtection="1"/>
    <xf numFmtId="167" fontId="59" fillId="0" borderId="1" xfId="4" applyNumberFormat="1" applyFont="1" applyFill="1" applyBorder="1" applyProtection="1"/>
    <xf numFmtId="167" fontId="0" fillId="0" borderId="1" xfId="4" applyNumberFormat="1" applyFont="1" applyFill="1" applyBorder="1" applyProtection="1"/>
    <xf numFmtId="167" fontId="18" fillId="0" borderId="26" xfId="4" applyNumberFormat="1" applyFont="1" applyFill="1" applyBorder="1" applyProtection="1"/>
    <xf numFmtId="10" fontId="76" fillId="0" borderId="0" xfId="14" applyNumberFormat="1" applyFont="1"/>
    <xf numFmtId="10" fontId="77" fillId="0" borderId="0" xfId="14" applyNumberFormat="1" applyFont="1"/>
    <xf numFmtId="10" fontId="0" fillId="0" borderId="0" xfId="0" applyNumberFormat="1" applyAlignment="1">
      <alignment vertical="center"/>
    </xf>
    <xf numFmtId="10" fontId="61" fillId="0" borderId="0" xfId="0" applyNumberFormat="1" applyFont="1"/>
    <xf numFmtId="167" fontId="18" fillId="0" borderId="8" xfId="4" applyNumberFormat="1" applyFont="1" applyFill="1" applyBorder="1" applyProtection="1"/>
    <xf numFmtId="9" fontId="23" fillId="0" borderId="0" xfId="14" applyFont="1" applyBorder="1" applyAlignment="1" applyProtection="1">
      <alignment horizontal="right"/>
    </xf>
    <xf numFmtId="0" fontId="0" fillId="0" borderId="19" xfId="0" applyBorder="1"/>
    <xf numFmtId="0" fontId="5" fillId="0" borderId="0" xfId="0" applyFont="1" applyBorder="1"/>
    <xf numFmtId="0" fontId="20" fillId="0" borderId="0" xfId="0" applyFont="1" applyBorder="1"/>
    <xf numFmtId="167" fontId="0" fillId="0" borderId="0" xfId="0" applyNumberFormat="1" applyBorder="1"/>
    <xf numFmtId="39" fontId="0" fillId="0" borderId="0" xfId="0" applyNumberFormat="1" applyBorder="1"/>
    <xf numFmtId="166" fontId="60" fillId="0" borderId="20" xfId="0" applyNumberFormat="1" applyFont="1" applyFill="1" applyBorder="1"/>
    <xf numFmtId="166" fontId="27" fillId="0" borderId="22" xfId="0" applyNumberFormat="1" applyFont="1" applyFill="1" applyBorder="1"/>
    <xf numFmtId="166" fontId="27" fillId="0" borderId="23" xfId="0" applyNumberFormat="1" applyFont="1" applyFill="1" applyBorder="1"/>
    <xf numFmtId="0" fontId="55" fillId="0" borderId="0" xfId="0" applyFont="1" applyAlignment="1">
      <alignment horizontal="center"/>
    </xf>
    <xf numFmtId="194" fontId="0" fillId="0" borderId="0" xfId="0" applyNumberFormat="1"/>
    <xf numFmtId="185" fontId="53" fillId="0" borderId="0" xfId="0" applyNumberFormat="1" applyFont="1" applyFill="1"/>
    <xf numFmtId="37" fontId="52" fillId="0" borderId="0" xfId="0" applyNumberFormat="1" applyFont="1" applyFill="1"/>
    <xf numFmtId="188" fontId="0" fillId="0" borderId="0" xfId="0" applyNumberFormat="1" applyFill="1"/>
    <xf numFmtId="167" fontId="52" fillId="0" borderId="0" xfId="0" applyNumberFormat="1" applyFont="1" applyFill="1"/>
    <xf numFmtId="167" fontId="0" fillId="0" borderId="0" xfId="0" applyNumberFormat="1" applyFill="1"/>
    <xf numFmtId="194" fontId="18" fillId="0" borderId="26" xfId="0" applyNumberFormat="1" applyFont="1" applyFill="1" applyBorder="1" applyAlignment="1">
      <alignment vertical="center"/>
    </xf>
    <xf numFmtId="0" fontId="32" fillId="0" borderId="0" xfId="0" applyFont="1" applyBorder="1"/>
    <xf numFmtId="195" fontId="59" fillId="0" borderId="0" xfId="0" applyNumberFormat="1" applyFont="1" applyFill="1" applyBorder="1"/>
    <xf numFmtId="195" fontId="59" fillId="0" borderId="27" xfId="0" applyNumberFormat="1" applyFont="1" applyFill="1" applyBorder="1"/>
    <xf numFmtId="195" fontId="59" fillId="0" borderId="28" xfId="0" applyNumberFormat="1" applyFont="1" applyFill="1" applyBorder="1"/>
    <xf numFmtId="195" fontId="59" fillId="0" borderId="29" xfId="0" applyNumberFormat="1" applyFont="1" applyFill="1" applyBorder="1"/>
    <xf numFmtId="194" fontId="18" fillId="0" borderId="8" xfId="0" applyNumberFormat="1" applyFont="1" applyFill="1" applyBorder="1"/>
    <xf numFmtId="179" fontId="0" fillId="0" borderId="25" xfId="0" applyNumberFormat="1" applyFill="1" applyBorder="1"/>
    <xf numFmtId="179" fontId="0" fillId="0" borderId="30" xfId="0" applyNumberFormat="1" applyFill="1" applyBorder="1"/>
    <xf numFmtId="170" fontId="0" fillId="0" borderId="0" xfId="4" applyNumberFormat="1" applyFont="1" applyFill="1" applyProtection="1"/>
    <xf numFmtId="170" fontId="59" fillId="0" borderId="0" xfId="4" applyNumberFormat="1" applyFont="1" applyFill="1" applyProtection="1"/>
    <xf numFmtId="179" fontId="0" fillId="0" borderId="0" xfId="0" applyNumberFormat="1" applyFill="1"/>
    <xf numFmtId="167" fontId="0" fillId="0" borderId="1" xfId="0" applyNumberFormat="1" applyFill="1" applyBorder="1"/>
    <xf numFmtId="170" fontId="0" fillId="0" borderId="1" xfId="4" applyNumberFormat="1" applyFont="1" applyFill="1" applyBorder="1" applyProtection="1"/>
    <xf numFmtId="194" fontId="18" fillId="0" borderId="26" xfId="4" applyNumberFormat="1" applyFont="1" applyFill="1" applyBorder="1" applyProtection="1"/>
    <xf numFmtId="0" fontId="0" fillId="0" borderId="1" xfId="0" applyFill="1" applyBorder="1"/>
    <xf numFmtId="0" fontId="18" fillId="0" borderId="0" xfId="0" quotePrefix="1" applyFont="1" applyBorder="1" applyAlignment="1">
      <alignment horizontal="right"/>
    </xf>
    <xf numFmtId="0" fontId="43" fillId="0" borderId="0" xfId="0" applyFont="1" applyAlignment="1"/>
    <xf numFmtId="167" fontId="59" fillId="0" borderId="0" xfId="0" applyNumberFormat="1" applyFont="1"/>
    <xf numFmtId="192" fontId="0" fillId="0" borderId="0" xfId="0" applyNumberFormat="1"/>
    <xf numFmtId="192" fontId="59" fillId="0" borderId="9" xfId="0" applyNumberFormat="1" applyFont="1" applyBorder="1" applyAlignment="1">
      <alignment horizontal="right"/>
    </xf>
    <xf numFmtId="0" fontId="0" fillId="0" borderId="10" xfId="0" applyFont="1" applyBorder="1"/>
    <xf numFmtId="166" fontId="59" fillId="0" borderId="11" xfId="14" applyNumberFormat="1" applyFont="1" applyBorder="1" applyAlignment="1">
      <alignment horizontal="right"/>
    </xf>
    <xf numFmtId="192" fontId="59" fillId="0" borderId="9" xfId="0" applyNumberFormat="1" applyFont="1" applyFill="1" applyBorder="1" applyAlignment="1">
      <alignment vertical="center"/>
    </xf>
    <xf numFmtId="192" fontId="59" fillId="0" borderId="11" xfId="0" applyNumberFormat="1" applyFont="1" applyFill="1" applyBorder="1" applyAlignment="1">
      <alignment vertical="center"/>
    </xf>
    <xf numFmtId="167" fontId="59" fillId="0" borderId="1" xfId="0" applyNumberFormat="1" applyFont="1" applyBorder="1"/>
    <xf numFmtId="167" fontId="18" fillId="0" borderId="26" xfId="0" applyNumberFormat="1" applyFont="1" applyBorder="1"/>
    <xf numFmtId="0" fontId="18" fillId="0" borderId="0" xfId="0" applyFont="1" applyBorder="1"/>
    <xf numFmtId="0" fontId="18" fillId="0" borderId="0" xfId="0" applyFont="1" applyFill="1"/>
    <xf numFmtId="0" fontId="38" fillId="0" borderId="0" xfId="0" applyFont="1" applyFill="1" applyAlignment="1">
      <alignment horizontal="centerContinuous"/>
    </xf>
    <xf numFmtId="0" fontId="38" fillId="0" borderId="1" xfId="0" applyFont="1" applyFill="1" applyBorder="1" applyAlignment="1">
      <alignment horizontal="centerContinuous"/>
    </xf>
    <xf numFmtId="0" fontId="0" fillId="0" borderId="1" xfId="0" applyFill="1" applyBorder="1" applyAlignment="1">
      <alignment horizontal="centerContinuous"/>
    </xf>
    <xf numFmtId="0" fontId="55" fillId="0" borderId="0" xfId="0" applyFont="1" applyFill="1"/>
    <xf numFmtId="0" fontId="18" fillId="0" borderId="7" xfId="0" applyFont="1" applyFill="1" applyBorder="1"/>
    <xf numFmtId="0" fontId="20" fillId="0" borderId="0" xfId="0" quotePrefix="1" applyFont="1" applyFill="1" applyAlignment="1">
      <alignment horizontal="right"/>
    </xf>
    <xf numFmtId="0" fontId="18" fillId="0" borderId="0" xfId="0" applyFont="1" applyFill="1" applyAlignment="1">
      <alignment horizontal="right"/>
    </xf>
    <xf numFmtId="0" fontId="18" fillId="0" borderId="10" xfId="0" applyFont="1" applyFill="1" applyBorder="1"/>
    <xf numFmtId="0" fontId="18" fillId="0" borderId="0" xfId="0" quotePrefix="1" applyFont="1" applyFill="1" applyAlignment="1">
      <alignment horizontal="left"/>
    </xf>
    <xf numFmtId="37" fontId="56" fillId="0" borderId="0" xfId="0" applyNumberFormat="1" applyFont="1" applyFill="1"/>
    <xf numFmtId="194" fontId="34" fillId="0" borderId="0" xfId="0" applyNumberFormat="1" applyFont="1" applyFill="1"/>
    <xf numFmtId="37" fontId="31" fillId="0" borderId="0" xfId="0" applyNumberFormat="1" applyFont="1" applyFill="1"/>
    <xf numFmtId="37" fontId="19" fillId="0" borderId="0" xfId="0" applyNumberFormat="1" applyFont="1" applyFill="1"/>
    <xf numFmtId="170" fontId="59" fillId="0" borderId="1" xfId="4" applyNumberFormat="1" applyFont="1" applyFill="1" applyBorder="1" applyProtection="1"/>
    <xf numFmtId="37" fontId="34" fillId="0" borderId="0" xfId="0" applyNumberFormat="1" applyFont="1" applyFill="1"/>
    <xf numFmtId="0" fontId="0" fillId="0" borderId="0" xfId="0" applyFill="1" applyAlignment="1">
      <alignment horizontal="left"/>
    </xf>
    <xf numFmtId="166" fontId="41" fillId="0" borderId="0" xfId="0" applyNumberFormat="1" applyFont="1" applyFill="1"/>
    <xf numFmtId="37" fontId="31" fillId="0" borderId="8" xfId="0" applyNumberFormat="1" applyFont="1" applyFill="1" applyBorder="1"/>
    <xf numFmtId="37" fontId="19" fillId="0" borderId="8" xfId="0" applyNumberFormat="1" applyFont="1" applyFill="1" applyBorder="1"/>
    <xf numFmtId="37" fontId="19" fillId="0" borderId="9" xfId="0" applyNumberFormat="1" applyFont="1" applyFill="1" applyBorder="1"/>
    <xf numFmtId="0" fontId="0" fillId="0" borderId="5" xfId="0" applyFill="1" applyBorder="1" applyAlignment="1">
      <alignment horizontal="left"/>
    </xf>
    <xf numFmtId="37" fontId="28" fillId="0" borderId="0" xfId="0" applyNumberFormat="1" applyFont="1" applyFill="1"/>
    <xf numFmtId="167" fontId="52" fillId="0" borderId="6" xfId="0" applyNumberFormat="1" applyFont="1" applyFill="1" applyBorder="1"/>
    <xf numFmtId="0" fontId="0" fillId="0" borderId="5" xfId="0" applyFill="1" applyBorder="1"/>
    <xf numFmtId="167" fontId="52" fillId="0" borderId="1" xfId="0" applyNumberFormat="1" applyFont="1" applyFill="1" applyBorder="1"/>
    <xf numFmtId="167" fontId="52" fillId="0" borderId="11" xfId="0" applyNumberFormat="1" applyFont="1" applyFill="1" applyBorder="1"/>
    <xf numFmtId="37" fontId="49" fillId="0" borderId="1" xfId="0" applyNumberFormat="1" applyFont="1" applyFill="1" applyBorder="1"/>
    <xf numFmtId="37" fontId="28" fillId="0" borderId="1" xfId="0" applyNumberFormat="1" applyFont="1" applyFill="1" applyBorder="1"/>
    <xf numFmtId="37" fontId="34" fillId="0" borderId="1" xfId="0" applyNumberFormat="1" applyFont="1" applyFill="1" applyBorder="1"/>
    <xf numFmtId="167" fontId="34" fillId="0" borderId="1" xfId="0" applyNumberFormat="1" applyFont="1" applyFill="1" applyBorder="1"/>
    <xf numFmtId="167" fontId="34" fillId="0" borderId="15" xfId="0" applyNumberFormat="1" applyFont="1" applyFill="1" applyBorder="1"/>
    <xf numFmtId="0" fontId="18" fillId="0" borderId="0" xfId="0" applyFont="1" applyFill="1" applyBorder="1"/>
    <xf numFmtId="37" fontId="49" fillId="0" borderId="0" xfId="0" applyNumberFormat="1" applyFont="1" applyFill="1" applyBorder="1"/>
    <xf numFmtId="37" fontId="28" fillId="0" borderId="0" xfId="0" applyNumberFormat="1" applyFont="1" applyFill="1" applyBorder="1"/>
    <xf numFmtId="37" fontId="34" fillId="0" borderId="0" xfId="0" applyNumberFormat="1" applyFont="1" applyFill="1" applyBorder="1"/>
    <xf numFmtId="167" fontId="34" fillId="0" borderId="0" xfId="0" applyNumberFormat="1" applyFont="1" applyFill="1" applyBorder="1"/>
    <xf numFmtId="0" fontId="0" fillId="0" borderId="0" xfId="0" applyFont="1" applyFill="1" applyBorder="1"/>
    <xf numFmtId="167" fontId="52" fillId="0" borderId="0" xfId="0" applyNumberFormat="1" applyFont="1" applyFill="1" applyBorder="1"/>
    <xf numFmtId="10" fontId="23" fillId="0" borderId="0" xfId="14" applyNumberFormat="1" applyFont="1"/>
    <xf numFmtId="168" fontId="18" fillId="0" borderId="0" xfId="0" applyNumberFormat="1" applyFont="1" applyBorder="1" applyAlignment="1">
      <alignment vertical="center"/>
    </xf>
    <xf numFmtId="167" fontId="59" fillId="0" borderId="1" xfId="0" applyNumberFormat="1" applyFont="1" applyFill="1" applyBorder="1"/>
    <xf numFmtId="194" fontId="18" fillId="0" borderId="0" xfId="0" applyNumberFormat="1" applyFont="1" applyFill="1"/>
    <xf numFmtId="180" fontId="59" fillId="0" borderId="0" xfId="0" applyNumberFormat="1" applyFont="1" applyFill="1"/>
    <xf numFmtId="180" fontId="0" fillId="0" borderId="0" xfId="0" applyNumberFormat="1" applyFill="1"/>
    <xf numFmtId="168" fontId="18" fillId="0" borderId="0" xfId="0" applyNumberFormat="1" applyFont="1" applyFill="1"/>
    <xf numFmtId="167" fontId="59" fillId="0" borderId="0" xfId="0" applyNumberFormat="1" applyFont="1" applyFill="1"/>
    <xf numFmtId="0" fontId="20" fillId="0" borderId="0" xfId="0" applyFont="1" applyFill="1"/>
    <xf numFmtId="5" fontId="19" fillId="0" borderId="0" xfId="0" applyNumberFormat="1" applyFont="1" applyFill="1"/>
    <xf numFmtId="166" fontId="19" fillId="0" borderId="0" xfId="0" applyNumberFormat="1" applyFont="1" applyFill="1"/>
    <xf numFmtId="39" fontId="0" fillId="0" borderId="25" xfId="4" applyNumberFormat="1" applyFont="1" applyFill="1" applyBorder="1" applyAlignment="1" applyProtection="1">
      <alignment horizontal="right"/>
    </xf>
    <xf numFmtId="39" fontId="0" fillId="0" borderId="30" xfId="4" applyNumberFormat="1" applyFont="1" applyFill="1" applyBorder="1" applyAlignment="1" applyProtection="1">
      <alignment horizontal="right"/>
    </xf>
    <xf numFmtId="167" fontId="19" fillId="0" borderId="0" xfId="4" applyNumberFormat="1" applyFont="1" applyFill="1" applyBorder="1" applyProtection="1"/>
    <xf numFmtId="167" fontId="0" fillId="0" borderId="0" xfId="4" applyNumberFormat="1" applyFont="1" applyFill="1" applyBorder="1" applyAlignment="1" applyProtection="1">
      <alignment horizontal="right"/>
    </xf>
    <xf numFmtId="167" fontId="59" fillId="0" borderId="1" xfId="4" applyNumberFormat="1" applyFont="1" applyFill="1" applyBorder="1" applyAlignment="1" applyProtection="1">
      <alignment horizontal="right"/>
    </xf>
    <xf numFmtId="167" fontId="18" fillId="0" borderId="0" xfId="4" applyNumberFormat="1" applyFont="1" applyFill="1" applyBorder="1" applyAlignment="1" applyProtection="1">
      <alignment horizontal="right"/>
    </xf>
    <xf numFmtId="10" fontId="76" fillId="0" borderId="0" xfId="14" applyNumberFormat="1" applyFont="1" applyFill="1"/>
    <xf numFmtId="9" fontId="23" fillId="0" borderId="0" xfId="14" applyFont="1" applyFill="1" applyBorder="1" applyAlignment="1" applyProtection="1">
      <alignment horizontal="right"/>
    </xf>
    <xf numFmtId="184" fontId="0" fillId="0" borderId="0" xfId="4" applyNumberFormat="1" applyFont="1" applyFill="1" applyBorder="1" applyProtection="1"/>
    <xf numFmtId="37" fontId="18" fillId="0" borderId="0" xfId="4" applyNumberFormat="1" applyFont="1" applyFill="1" applyBorder="1" applyProtection="1"/>
    <xf numFmtId="39" fontId="18" fillId="0" borderId="0" xfId="4" applyNumberFormat="1" applyFont="1" applyFill="1" applyBorder="1" applyProtection="1"/>
    <xf numFmtId="9" fontId="0" fillId="0" borderId="0" xfId="14" applyFont="1" applyFill="1"/>
    <xf numFmtId="10" fontId="23" fillId="0" borderId="0" xfId="14" applyNumberFormat="1" applyFont="1" applyFill="1"/>
    <xf numFmtId="43" fontId="0" fillId="0" borderId="0" xfId="4" applyFont="1" applyFill="1" applyBorder="1" applyProtection="1"/>
    <xf numFmtId="165" fontId="0" fillId="0" borderId="8" xfId="4" applyNumberFormat="1" applyFont="1" applyFill="1" applyBorder="1" applyProtection="1"/>
    <xf numFmtId="165" fontId="0" fillId="0" borderId="9" xfId="4" applyNumberFormat="1" applyFont="1" applyFill="1" applyBorder="1" applyProtection="1"/>
    <xf numFmtId="189" fontId="27" fillId="0" borderId="0" xfId="0" applyNumberFormat="1" applyFont="1" applyFill="1"/>
    <xf numFmtId="189" fontId="27" fillId="0" borderId="6" xfId="0" applyNumberFormat="1" applyFont="1" applyFill="1" applyBorder="1"/>
    <xf numFmtId="9" fontId="18" fillId="0" borderId="0" xfId="0" applyNumberFormat="1" applyFont="1" applyFill="1"/>
    <xf numFmtId="189" fontId="27" fillId="0" borderId="1" xfId="0" applyNumberFormat="1" applyFont="1" applyFill="1" applyBorder="1"/>
    <xf numFmtId="189" fontId="27" fillId="0" borderId="11" xfId="0" applyNumberFormat="1" applyFont="1" applyFill="1" applyBorder="1"/>
    <xf numFmtId="0" fontId="0" fillId="0" borderId="0" xfId="0" applyFill="1" applyBorder="1"/>
    <xf numFmtId="194" fontId="19" fillId="0" borderId="0" xfId="0" applyNumberFormat="1" applyFont="1" applyFill="1" applyBorder="1" applyAlignment="1">
      <alignment horizontal="right"/>
    </xf>
    <xf numFmtId="194" fontId="19" fillId="0" borderId="8" xfId="0" applyNumberFormat="1" applyFont="1" applyFill="1" applyBorder="1" applyAlignment="1">
      <alignment horizontal="right"/>
    </xf>
    <xf numFmtId="194" fontId="18" fillId="0" borderId="1" xfId="0" applyNumberFormat="1" applyFont="1" applyFill="1" applyBorder="1"/>
    <xf numFmtId="9" fontId="18" fillId="0" borderId="0" xfId="14" quotePrefix="1" applyNumberFormat="1" applyFont="1" applyAlignment="1">
      <alignment horizontal="right"/>
    </xf>
    <xf numFmtId="173" fontId="21" fillId="0" borderId="0" xfId="0" applyNumberFormat="1" applyFont="1" applyAlignment="1">
      <alignment horizontal="right"/>
    </xf>
    <xf numFmtId="173" fontId="21" fillId="0" borderId="0" xfId="0" quotePrefix="1" applyNumberFormat="1" applyFont="1" applyAlignment="1">
      <alignment horizontal="right"/>
    </xf>
    <xf numFmtId="173" fontId="0" fillId="0" borderId="0" xfId="0" quotePrefix="1" applyNumberFormat="1" applyFont="1" applyAlignment="1">
      <alignment horizontal="right"/>
    </xf>
    <xf numFmtId="167" fontId="0" fillId="0" borderId="0" xfId="0" applyNumberFormat="1" applyFont="1" applyAlignment="1">
      <alignment horizontal="right"/>
    </xf>
    <xf numFmtId="194" fontId="18" fillId="0" borderId="0" xfId="0" applyNumberFormat="1" applyFont="1" applyFill="1" applyBorder="1"/>
    <xf numFmtId="167" fontId="0" fillId="0" borderId="1" xfId="0" applyNumberFormat="1" applyFont="1" applyFill="1" applyBorder="1"/>
    <xf numFmtId="0" fontId="18" fillId="0" borderId="1" xfId="0" applyFont="1" applyFill="1" applyBorder="1"/>
    <xf numFmtId="194" fontId="19" fillId="0" borderId="1" xfId="0" applyNumberFormat="1" applyFont="1" applyFill="1" applyBorder="1" applyAlignment="1">
      <alignment horizontal="right"/>
    </xf>
    <xf numFmtId="167" fontId="0" fillId="0" borderId="9" xfId="4" applyNumberFormat="1" applyFont="1" applyBorder="1" applyProtection="1"/>
    <xf numFmtId="167" fontId="21" fillId="0" borderId="6" xfId="4" applyNumberFormat="1" applyFont="1" applyBorder="1" applyProtection="1"/>
    <xf numFmtId="190" fontId="0" fillId="0" borderId="11" xfId="4" applyNumberFormat="1" applyFont="1" applyBorder="1" applyProtection="1"/>
    <xf numFmtId="172" fontId="0" fillId="0" borderId="0" xfId="0" applyNumberFormat="1"/>
    <xf numFmtId="165" fontId="78" fillId="0" borderId="0" xfId="4" applyNumberFormat="1" applyFont="1" applyProtection="1"/>
    <xf numFmtId="0" fontId="78" fillId="0" borderId="0" xfId="0" applyFont="1"/>
    <xf numFmtId="8" fontId="78" fillId="0" borderId="0" xfId="0" applyNumberFormat="1" applyFont="1"/>
    <xf numFmtId="9" fontId="78" fillId="0" borderId="0" xfId="0" applyNumberFormat="1" applyFont="1"/>
    <xf numFmtId="167" fontId="18" fillId="0" borderId="0" xfId="4" applyNumberFormat="1" applyFont="1" applyFill="1" applyProtection="1"/>
    <xf numFmtId="167" fontId="3" fillId="0" borderId="0" xfId="4" applyNumberFormat="1" applyFont="1" applyFill="1" applyBorder="1" applyProtection="1"/>
    <xf numFmtId="10" fontId="45" fillId="0" borderId="0" xfId="14" applyNumberFormat="1" applyFont="1" applyFill="1" applyProtection="1"/>
    <xf numFmtId="5" fontId="45" fillId="0" borderId="0" xfId="4" applyNumberFormat="1" applyFont="1" applyFill="1" applyProtection="1"/>
    <xf numFmtId="169" fontId="18" fillId="0" borderId="0" xfId="4" applyNumberFormat="1" applyFont="1" applyFill="1" applyProtection="1"/>
    <xf numFmtId="167" fontId="59" fillId="0" borderId="0" xfId="4" applyNumberFormat="1" applyFont="1" applyFill="1" applyProtection="1"/>
    <xf numFmtId="167" fontId="3" fillId="0" borderId="0" xfId="4" applyNumberFormat="1" applyFont="1" applyFill="1" applyProtection="1"/>
    <xf numFmtId="37" fontId="18" fillId="0" borderId="0" xfId="4" applyNumberFormat="1" applyFont="1" applyFill="1" applyProtection="1"/>
    <xf numFmtId="0" fontId="35" fillId="0" borderId="0" xfId="7" quotePrefix="1" applyFont="1" applyFill="1" applyAlignment="1">
      <alignment horizontal="right" vertical="center"/>
    </xf>
    <xf numFmtId="190" fontId="0" fillId="0" borderId="0" xfId="4" applyNumberFormat="1" applyFont="1" applyFill="1" applyBorder="1" applyProtection="1"/>
    <xf numFmtId="167" fontId="0" fillId="0" borderId="8" xfId="4" applyNumberFormat="1" applyFont="1" applyFill="1" applyBorder="1" applyProtection="1"/>
    <xf numFmtId="0" fontId="69" fillId="3" borderId="0" xfId="7" quotePrefix="1" applyFont="1" applyFill="1" applyAlignment="1">
      <alignment vertical="center"/>
    </xf>
    <xf numFmtId="0" fontId="3" fillId="0" borderId="0" xfId="7" applyFill="1"/>
    <xf numFmtId="197" fontId="3" fillId="0" borderId="0" xfId="4" applyNumberFormat="1" applyFont="1" applyFill="1" applyBorder="1"/>
    <xf numFmtId="189" fontId="58" fillId="0" borderId="0" xfId="0" applyNumberFormat="1" applyFont="1" applyFill="1"/>
    <xf numFmtId="22" fontId="8" fillId="2" borderId="0" xfId="13" applyNumberFormat="1" applyFont="1" applyFill="1" applyProtection="1">
      <protection locked="0"/>
    </xf>
    <xf numFmtId="14" fontId="8" fillId="2" borderId="0" xfId="13" applyNumberFormat="1" applyFont="1" applyFill="1" applyProtection="1">
      <protection locked="0"/>
    </xf>
    <xf numFmtId="0" fontId="8" fillId="2" borderId="0" xfId="13" applyFont="1" applyFill="1" applyAlignment="1" applyProtection="1">
      <alignment horizontal="centerContinuous"/>
      <protection locked="0"/>
    </xf>
    <xf numFmtId="181" fontId="80" fillId="2" borderId="0" xfId="8" applyNumberFormat="1" applyFont="1" applyFill="1" applyAlignment="1" applyProtection="1">
      <alignment horizontal="centerContinuous" wrapText="1"/>
      <protection locked="0"/>
    </xf>
    <xf numFmtId="0" fontId="79" fillId="2" borderId="0" xfId="13" applyFont="1" applyFill="1" applyAlignment="1" applyProtection="1">
      <alignment horizontal="centerContinuous"/>
      <protection locked="0"/>
    </xf>
    <xf numFmtId="0" fontId="75" fillId="2" borderId="0" xfId="13" applyFont="1" applyFill="1" applyAlignment="1" applyProtection="1">
      <alignment horizontal="centerContinuous"/>
      <protection locked="0"/>
    </xf>
    <xf numFmtId="0" fontId="82" fillId="2" borderId="0" xfId="13" applyFont="1" applyFill="1" applyAlignment="1" applyProtection="1">
      <alignment horizontal="centerContinuous"/>
      <protection locked="0"/>
    </xf>
    <xf numFmtId="0" fontId="81" fillId="0" borderId="0" xfId="13" applyFont="1" applyFill="1" applyAlignment="1" applyProtection="1">
      <alignment horizontal="centerContinuous"/>
      <protection locked="0"/>
    </xf>
    <xf numFmtId="0" fontId="82" fillId="2" borderId="0" xfId="13" applyFont="1" applyFill="1" applyAlignment="1">
      <alignment horizontal="centerContinuous"/>
    </xf>
    <xf numFmtId="0" fontId="13" fillId="2" borderId="0" xfId="13" applyFont="1" applyFill="1" applyAlignment="1" applyProtection="1">
      <alignment horizontal="centerContinuous"/>
      <protection locked="0"/>
    </xf>
    <xf numFmtId="0" fontId="8" fillId="2" borderId="0" xfId="13" applyFont="1" applyFill="1" applyAlignment="1">
      <alignment horizontal="centerContinuous"/>
    </xf>
    <xf numFmtId="0" fontId="83" fillId="2" borderId="0" xfId="13" applyFont="1" applyFill="1" applyAlignment="1" applyProtection="1">
      <alignment horizontal="centerContinuous"/>
      <protection locked="0"/>
    </xf>
    <xf numFmtId="0" fontId="14" fillId="2" borderId="0" xfId="13" applyFont="1" applyFill="1" applyAlignment="1" applyProtection="1">
      <alignment horizontal="centerContinuous"/>
      <protection locked="0"/>
    </xf>
    <xf numFmtId="0" fontId="15" fillId="0" borderId="0" xfId="0" applyFont="1" applyFill="1" applyAlignment="1">
      <alignment horizontal="centerContinuous"/>
    </xf>
    <xf numFmtId="9" fontId="59" fillId="0" borderId="9" xfId="14" applyFont="1" applyBorder="1"/>
    <xf numFmtId="171" fontId="0" fillId="0" borderId="0" xfId="0" applyNumberFormat="1"/>
    <xf numFmtId="171" fontId="0" fillId="0" borderId="1" xfId="0" applyNumberFormat="1" applyBorder="1"/>
    <xf numFmtId="2" fontId="18" fillId="0" borderId="0" xfId="0" applyNumberFormat="1" applyFont="1"/>
    <xf numFmtId="171" fontId="0" fillId="0" borderId="0" xfId="0" applyNumberFormat="1" applyBorder="1"/>
    <xf numFmtId="171" fontId="18" fillId="0" borderId="8" xfId="0" applyNumberFormat="1" applyFont="1" applyBorder="1"/>
    <xf numFmtId="37" fontId="19" fillId="0" borderId="0" xfId="0" applyNumberFormat="1" applyFont="1" applyBorder="1" applyAlignment="1">
      <alignment horizontal="right"/>
    </xf>
    <xf numFmtId="166" fontId="59" fillId="0" borderId="11" xfId="14" applyNumberFormat="1" applyFont="1" applyBorder="1"/>
    <xf numFmtId="0" fontId="18" fillId="0" borderId="13" xfId="0" applyFont="1" applyBorder="1"/>
    <xf numFmtId="0" fontId="18" fillId="0" borderId="14" xfId="0" applyFont="1" applyBorder="1"/>
    <xf numFmtId="199" fontId="18" fillId="0" borderId="26" xfId="0" applyNumberFormat="1" applyFont="1" applyBorder="1"/>
    <xf numFmtId="199" fontId="18" fillId="0" borderId="15" xfId="0" applyNumberFormat="1" applyFont="1" applyBorder="1"/>
    <xf numFmtId="0" fontId="0" fillId="0" borderId="0" xfId="0" applyBorder="1" applyAlignment="1">
      <alignment horizontal="centerContinuous"/>
    </xf>
    <xf numFmtId="0" fontId="0" fillId="4" borderId="0" xfId="0" applyFill="1" applyBorder="1" applyAlignment="1">
      <alignment horizontal="centerContinuous"/>
    </xf>
    <xf numFmtId="0" fontId="69" fillId="3" borderId="32" xfId="0" applyFont="1" applyFill="1" applyBorder="1" applyAlignment="1">
      <alignment horizontal="centerContinuous"/>
    </xf>
    <xf numFmtId="0" fontId="66" fillId="3" borderId="33" xfId="0" applyFont="1" applyFill="1" applyBorder="1" applyAlignment="1">
      <alignment horizontal="centerContinuous"/>
    </xf>
    <xf numFmtId="0" fontId="66" fillId="3" borderId="35" xfId="0" applyFont="1" applyFill="1" applyBorder="1" applyAlignment="1">
      <alignment horizontal="centerContinuous"/>
    </xf>
    <xf numFmtId="0" fontId="18" fillId="4" borderId="36" xfId="0" applyFont="1" applyFill="1" applyBorder="1" applyAlignment="1">
      <alignment horizontal="centerContinuous"/>
    </xf>
    <xf numFmtId="0" fontId="0" fillId="4" borderId="37" xfId="0" applyFill="1" applyBorder="1" applyAlignment="1">
      <alignment horizontal="centerContinuous"/>
    </xf>
    <xf numFmtId="0" fontId="0" fillId="0" borderId="36" xfId="0" applyBorder="1"/>
    <xf numFmtId="199" fontId="0" fillId="0" borderId="37" xfId="0" applyNumberFormat="1" applyBorder="1"/>
    <xf numFmtId="198" fontId="59" fillId="0" borderId="37" xfId="0" applyNumberFormat="1" applyFont="1" applyBorder="1"/>
    <xf numFmtId="199" fontId="0" fillId="0" borderId="44" xfId="0" applyNumberFormat="1" applyBorder="1"/>
    <xf numFmtId="0" fontId="0" fillId="0" borderId="38" xfId="0" applyBorder="1"/>
    <xf numFmtId="0" fontId="0" fillId="0" borderId="39" xfId="0" applyBorder="1"/>
    <xf numFmtId="0" fontId="18" fillId="0" borderId="36" xfId="0" applyFont="1" applyBorder="1"/>
    <xf numFmtId="199" fontId="18" fillId="0" borderId="45" xfId="0" applyNumberFormat="1" applyFont="1" applyBorder="1"/>
    <xf numFmtId="39" fontId="0" fillId="0" borderId="37" xfId="0" applyNumberFormat="1" applyBorder="1"/>
    <xf numFmtId="2" fontId="59" fillId="0" borderId="37" xfId="0" applyNumberFormat="1" applyFont="1" applyBorder="1"/>
    <xf numFmtId="200" fontId="18" fillId="0" borderId="0" xfId="0" applyNumberFormat="1" applyFont="1"/>
    <xf numFmtId="2" fontId="59" fillId="0" borderId="40" xfId="0" applyNumberFormat="1" applyFont="1" applyBorder="1"/>
    <xf numFmtId="0" fontId="58" fillId="0" borderId="0" xfId="0" applyFont="1" applyBorder="1"/>
    <xf numFmtId="0" fontId="0" fillId="0" borderId="6" xfId="0" applyBorder="1"/>
    <xf numFmtId="0" fontId="18" fillId="0" borderId="6" xfId="0" applyFont="1" applyBorder="1"/>
    <xf numFmtId="0" fontId="18" fillId="0" borderId="12" xfId="0" applyFont="1" applyBorder="1" applyAlignment="1">
      <alignment horizontal="centerContinuous"/>
    </xf>
    <xf numFmtId="0" fontId="0" fillId="0" borderId="12" xfId="0" applyBorder="1" applyAlignment="1">
      <alignment horizontal="centerContinuous"/>
    </xf>
    <xf numFmtId="0" fontId="0" fillId="0" borderId="31" xfId="0" applyBorder="1" applyAlignment="1">
      <alignment horizontal="centerContinuous"/>
    </xf>
    <xf numFmtId="0" fontId="0" fillId="0" borderId="0" xfId="0" applyBorder="1" applyAlignment="1"/>
    <xf numFmtId="0" fontId="0" fillId="2" borderId="0" xfId="0" applyFill="1" applyBorder="1" applyAlignment="1">
      <alignment horizontal="centerContinuous"/>
    </xf>
    <xf numFmtId="0" fontId="18" fillId="2" borderId="0" xfId="0" applyFont="1" applyFill="1" applyBorder="1" applyAlignment="1">
      <alignment horizontal="centerContinuous"/>
    </xf>
    <xf numFmtId="0" fontId="18" fillId="0" borderId="0" xfId="0" applyFont="1" applyBorder="1" applyAlignment="1">
      <alignment horizontal="centerContinuous"/>
    </xf>
    <xf numFmtId="0" fontId="66" fillId="2" borderId="0" xfId="0" applyFont="1" applyFill="1" applyBorder="1" applyAlignment="1">
      <alignment horizontal="centerContinuous"/>
    </xf>
    <xf numFmtId="166" fontId="84" fillId="0" borderId="11" xfId="14" applyNumberFormat="1" applyFont="1" applyBorder="1"/>
    <xf numFmtId="0" fontId="0" fillId="0" borderId="7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201" fontId="84" fillId="0" borderId="6" xfId="0" applyNumberFormat="1" applyFont="1" applyBorder="1"/>
    <xf numFmtId="0" fontId="0" fillId="4" borderId="36" xfId="0" applyFill="1" applyBorder="1" applyAlignment="1">
      <alignment horizontal="centerContinuous"/>
    </xf>
    <xf numFmtId="0" fontId="18" fillId="0" borderId="36" xfId="0" applyFont="1" applyBorder="1" applyAlignment="1">
      <alignment horizontal="centerContinuous"/>
    </xf>
    <xf numFmtId="0" fontId="18" fillId="0" borderId="37" xfId="0" applyFont="1" applyBorder="1" applyAlignment="1">
      <alignment horizontal="centerContinuous"/>
    </xf>
    <xf numFmtId="0" fontId="0" fillId="0" borderId="46" xfId="0" applyBorder="1" applyAlignment="1">
      <alignment horizontal="centerContinuous"/>
    </xf>
    <xf numFmtId="0" fontId="0" fillId="0" borderId="47" xfId="0" applyBorder="1" applyAlignment="1">
      <alignment horizontal="centerContinuous"/>
    </xf>
    <xf numFmtId="0" fontId="0" fillId="0" borderId="37" xfId="0" applyBorder="1"/>
    <xf numFmtId="199" fontId="0" fillId="0" borderId="0" xfId="0" applyNumberFormat="1" applyBorder="1"/>
    <xf numFmtId="198" fontId="0" fillId="0" borderId="0" xfId="0" applyNumberFormat="1" applyBorder="1"/>
    <xf numFmtId="198" fontId="59" fillId="0" borderId="0" xfId="0" applyNumberFormat="1" applyFont="1" applyBorder="1"/>
    <xf numFmtId="166" fontId="0" fillId="0" borderId="0" xfId="14" applyNumberFormat="1" applyFont="1" applyBorder="1"/>
    <xf numFmtId="166" fontId="59" fillId="0" borderId="0" xfId="14" applyNumberFormat="1" applyFont="1" applyBorder="1"/>
    <xf numFmtId="0" fontId="0" fillId="0" borderId="40" xfId="0" applyBorder="1"/>
    <xf numFmtId="202" fontId="0" fillId="0" borderId="7" xfId="0" applyNumberFormat="1" applyBorder="1"/>
    <xf numFmtId="202" fontId="0" fillId="0" borderId="8" xfId="0" applyNumberFormat="1" applyBorder="1"/>
    <xf numFmtId="202" fontId="0" fillId="0" borderId="5" xfId="0" applyNumberFormat="1" applyBorder="1"/>
    <xf numFmtId="202" fontId="0" fillId="0" borderId="0" xfId="0" applyNumberFormat="1" applyBorder="1"/>
    <xf numFmtId="0" fontId="0" fillId="0" borderId="0" xfId="7" applyFont="1"/>
    <xf numFmtId="0" fontId="32" fillId="0" borderId="0" xfId="7" applyFont="1" applyBorder="1"/>
    <xf numFmtId="189" fontId="0" fillId="0" borderId="0" xfId="0" applyNumberFormat="1" applyFont="1" applyFill="1"/>
    <xf numFmtId="189" fontId="0" fillId="0" borderId="13" xfId="0" applyNumberFormat="1" applyFont="1" applyFill="1" applyBorder="1"/>
    <xf numFmtId="189" fontId="0" fillId="0" borderId="14" xfId="0" applyNumberFormat="1" applyFont="1" applyFill="1" applyBorder="1"/>
    <xf numFmtId="189" fontId="0" fillId="0" borderId="0" xfId="0" applyNumberFormat="1" applyFont="1" applyFill="1" applyBorder="1"/>
    <xf numFmtId="0" fontId="18" fillId="0" borderId="13" xfId="7" applyFont="1" applyBorder="1"/>
    <xf numFmtId="0" fontId="43" fillId="0" borderId="0" xfId="7" applyFont="1" applyBorder="1"/>
    <xf numFmtId="189" fontId="18" fillId="0" borderId="13" xfId="0" applyNumberFormat="1" applyFont="1" applyFill="1" applyBorder="1"/>
    <xf numFmtId="189" fontId="18" fillId="0" borderId="14" xfId="0" applyNumberFormat="1" applyFont="1" applyFill="1" applyBorder="1"/>
    <xf numFmtId="189" fontId="18" fillId="0" borderId="0" xfId="0" applyNumberFormat="1" applyFont="1" applyFill="1" applyBorder="1"/>
    <xf numFmtId="0" fontId="3" fillId="0" borderId="13" xfId="7" applyFont="1" applyBorder="1"/>
    <xf numFmtId="9" fontId="32" fillId="0" borderId="0" xfId="14" applyFont="1" applyFill="1"/>
    <xf numFmtId="0" fontId="70" fillId="0" borderId="0" xfId="7" applyFont="1" applyBorder="1"/>
    <xf numFmtId="0" fontId="3" fillId="0" borderId="0" xfId="7" applyFont="1" applyBorder="1"/>
    <xf numFmtId="203" fontId="43" fillId="0" borderId="15" xfId="7" applyNumberFormat="1" applyFont="1" applyBorder="1" applyAlignment="1">
      <alignment horizontal="center"/>
    </xf>
    <xf numFmtId="203" fontId="32" fillId="0" borderId="15" xfId="7" applyNumberFormat="1" applyFont="1" applyBorder="1" applyAlignment="1">
      <alignment horizontal="center"/>
    </xf>
    <xf numFmtId="170" fontId="86" fillId="0" borderId="16" xfId="4" applyNumberFormat="1" applyFont="1" applyFill="1" applyBorder="1" applyProtection="1"/>
    <xf numFmtId="170" fontId="86" fillId="0" borderId="17" xfId="4" applyNumberFormat="1" applyFont="1" applyFill="1" applyBorder="1" applyProtection="1"/>
    <xf numFmtId="170" fontId="86" fillId="0" borderId="18" xfId="0" applyNumberFormat="1" applyFont="1" applyFill="1" applyBorder="1"/>
    <xf numFmtId="170" fontId="86" fillId="0" borderId="19" xfId="4" applyNumberFormat="1" applyFont="1" applyFill="1" applyBorder="1" applyProtection="1"/>
    <xf numFmtId="170" fontId="86" fillId="0" borderId="0" xfId="4" applyNumberFormat="1" applyFont="1" applyFill="1" applyBorder="1" applyProtection="1"/>
    <xf numFmtId="170" fontId="86" fillId="0" borderId="20" xfId="4" applyNumberFormat="1" applyFont="1" applyFill="1" applyBorder="1" applyProtection="1"/>
    <xf numFmtId="170" fontId="86" fillId="0" borderId="21" xfId="4" applyNumberFormat="1" applyFont="1" applyFill="1" applyBorder="1" applyProtection="1"/>
    <xf numFmtId="170" fontId="86" fillId="0" borderId="22" xfId="4" applyNumberFormat="1" applyFont="1" applyFill="1" applyBorder="1" applyProtection="1"/>
    <xf numFmtId="170" fontId="86" fillId="0" borderId="23" xfId="4" applyNumberFormat="1" applyFont="1" applyFill="1" applyBorder="1" applyProtection="1"/>
    <xf numFmtId="0" fontId="0" fillId="0" borderId="0" xfId="0" applyFont="1" applyBorder="1"/>
    <xf numFmtId="204" fontId="0" fillId="0" borderId="0" xfId="0" applyNumberFormat="1"/>
    <xf numFmtId="0" fontId="72" fillId="0" borderId="0" xfId="7" applyFont="1" applyFill="1"/>
    <xf numFmtId="189" fontId="73" fillId="0" borderId="0" xfId="0" applyNumberFormat="1" applyFont="1" applyFill="1"/>
    <xf numFmtId="0" fontId="72" fillId="0" borderId="0" xfId="7" applyFont="1" applyFill="1" applyBorder="1"/>
    <xf numFmtId="0" fontId="74" fillId="0" borderId="0" xfId="7" applyFont="1" applyFill="1"/>
    <xf numFmtId="174" fontId="0" fillId="0" borderId="0" xfId="0" applyNumberFormat="1" applyBorder="1" applyAlignment="1">
      <alignment horizontal="left"/>
    </xf>
    <xf numFmtId="0" fontId="27" fillId="0" borderId="8" xfId="0" quotePrefix="1" applyFont="1" applyBorder="1" applyAlignment="1">
      <alignment horizontal="left"/>
    </xf>
    <xf numFmtId="172" fontId="0" fillId="0" borderId="8" xfId="0" applyNumberFormat="1" applyBorder="1"/>
    <xf numFmtId="0" fontId="67" fillId="3" borderId="33" xfId="7" applyFont="1" applyFill="1" applyBorder="1" applyAlignment="1">
      <alignment horizontal="centerContinuous" vertical="center"/>
    </xf>
    <xf numFmtId="0" fontId="68" fillId="3" borderId="33" xfId="7" applyFont="1" applyFill="1" applyBorder="1" applyAlignment="1">
      <alignment horizontal="centerContinuous" vertical="center"/>
    </xf>
    <xf numFmtId="0" fontId="69" fillId="3" borderId="0" xfId="7" quotePrefix="1" applyFont="1" applyFill="1" applyBorder="1" applyAlignment="1">
      <alignment vertical="center"/>
    </xf>
    <xf numFmtId="0" fontId="3" fillId="3" borderId="0" xfId="7" applyFill="1" applyBorder="1" applyAlignment="1">
      <alignment vertical="center"/>
    </xf>
    <xf numFmtId="0" fontId="69" fillId="3" borderId="0" xfId="7" applyFont="1" applyFill="1" applyBorder="1" applyAlignment="1">
      <alignment vertical="center"/>
    </xf>
    <xf numFmtId="173" fontId="69" fillId="3" borderId="0" xfId="0" applyNumberFormat="1" applyFont="1" applyFill="1" applyBorder="1" applyAlignment="1">
      <alignment vertical="center"/>
    </xf>
    <xf numFmtId="167" fontId="3" fillId="0" borderId="1" xfId="4" applyNumberFormat="1" applyFont="1" applyFill="1" applyBorder="1" applyAlignment="1" applyProtection="1">
      <alignment horizontal="right"/>
    </xf>
    <xf numFmtId="0" fontId="0" fillId="0" borderId="7" xfId="0" applyFont="1" applyFill="1" applyBorder="1"/>
    <xf numFmtId="0" fontId="0" fillId="0" borderId="8" xfId="0" applyFont="1" applyFill="1" applyBorder="1"/>
    <xf numFmtId="166" fontId="59" fillId="0" borderId="9" xfId="0" applyNumberFormat="1" applyFont="1" applyFill="1" applyBorder="1"/>
    <xf numFmtId="0" fontId="0" fillId="0" borderId="10" xfId="0" applyFont="1" applyFill="1" applyBorder="1"/>
    <xf numFmtId="0" fontId="0" fillId="0" borderId="1" xfId="0" applyFont="1" applyFill="1" applyBorder="1"/>
    <xf numFmtId="166" fontId="59" fillId="0" borderId="1" xfId="0" applyNumberFormat="1" applyFont="1" applyFill="1" applyBorder="1"/>
    <xf numFmtId="166" fontId="59" fillId="0" borderId="11" xfId="0" applyNumberFormat="1" applyFont="1" applyFill="1" applyBorder="1"/>
    <xf numFmtId="0" fontId="0" fillId="0" borderId="7" xfId="0" applyFont="1" applyBorder="1"/>
    <xf numFmtId="0" fontId="0" fillId="0" borderId="8" xfId="0" applyFont="1" applyBorder="1"/>
    <xf numFmtId="9" fontId="59" fillId="0" borderId="9" xfId="14" quotePrefix="1" applyNumberFormat="1" applyFont="1" applyBorder="1" applyAlignment="1">
      <alignment horizontal="right"/>
    </xf>
    <xf numFmtId="0" fontId="0" fillId="0" borderId="1" xfId="0" applyFont="1" applyBorder="1"/>
    <xf numFmtId="9" fontId="59" fillId="0" borderId="11" xfId="14" quotePrefix="1" applyNumberFormat="1" applyFont="1" applyBorder="1" applyAlignment="1">
      <alignment horizontal="right"/>
    </xf>
    <xf numFmtId="194" fontId="18" fillId="0" borderId="8" xfId="0" applyNumberFormat="1" applyFont="1" applyFill="1" applyBorder="1" applyAlignment="1">
      <alignment horizontal="right"/>
    </xf>
    <xf numFmtId="0" fontId="69" fillId="3" borderId="48" xfId="0" applyFont="1" applyFill="1" applyBorder="1" applyAlignment="1">
      <alignment vertical="center"/>
    </xf>
    <xf numFmtId="0" fontId="69" fillId="3" borderId="32" xfId="0" applyFont="1" applyFill="1" applyBorder="1" applyAlignment="1">
      <alignment vertical="center"/>
    </xf>
    <xf numFmtId="0" fontId="0" fillId="3" borderId="33" xfId="0" applyFill="1" applyBorder="1"/>
    <xf numFmtId="0" fontId="0" fillId="3" borderId="35" xfId="0" applyFill="1" applyBorder="1"/>
    <xf numFmtId="0" fontId="18" fillId="4" borderId="36" xfId="0" applyFont="1" applyFill="1" applyBorder="1" applyAlignment="1">
      <alignment vertical="center"/>
    </xf>
    <xf numFmtId="0" fontId="0" fillId="4" borderId="0" xfId="0" applyFill="1" applyBorder="1"/>
    <xf numFmtId="0" fontId="0" fillId="4" borderId="37" xfId="0" applyFill="1" applyBorder="1"/>
    <xf numFmtId="0" fontId="0" fillId="0" borderId="36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quotePrefix="1" applyBorder="1" applyAlignment="1">
      <alignment horizontal="left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left"/>
    </xf>
    <xf numFmtId="166" fontId="19" fillId="0" borderId="37" xfId="0" quotePrefix="1" applyNumberFormat="1" applyFont="1" applyFill="1" applyBorder="1" applyAlignment="1">
      <alignment horizontal="right"/>
    </xf>
    <xf numFmtId="39" fontId="19" fillId="0" borderId="37" xfId="0" applyNumberFormat="1" applyFont="1" applyFill="1" applyBorder="1" applyAlignment="1">
      <alignment horizontal="right"/>
    </xf>
    <xf numFmtId="198" fontId="40" fillId="0" borderId="37" xfId="0" applyNumberFormat="1" applyFont="1" applyBorder="1"/>
    <xf numFmtId="37" fontId="19" fillId="0" borderId="39" xfId="0" applyNumberFormat="1" applyFont="1" applyBorder="1" applyAlignment="1">
      <alignment horizontal="right"/>
    </xf>
    <xf numFmtId="166" fontId="19" fillId="0" borderId="40" xfId="14" applyNumberFormat="1" applyFont="1" applyBorder="1" applyAlignment="1">
      <alignment horizontal="right"/>
    </xf>
    <xf numFmtId="0" fontId="20" fillId="0" borderId="36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20" fillId="0" borderId="0" xfId="0" applyFont="1" applyBorder="1" applyAlignment="1">
      <alignment horizontal="centerContinuous" vertical="center"/>
    </xf>
    <xf numFmtId="0" fontId="21" fillId="0" borderId="0" xfId="0" applyFont="1" applyBorder="1" applyAlignment="1">
      <alignment horizontal="centerContinuous" vertical="center"/>
    </xf>
    <xf numFmtId="0" fontId="21" fillId="0" borderId="37" xfId="0" applyFont="1" applyBorder="1" applyAlignment="1">
      <alignment horizontal="centerContinuous" vertical="center"/>
    </xf>
    <xf numFmtId="0" fontId="19" fillId="0" borderId="36" xfId="0" applyFont="1" applyBorder="1"/>
    <xf numFmtId="0" fontId="0" fillId="0" borderId="37" xfId="0" applyBorder="1" applyAlignment="1">
      <alignment horizontal="centerContinuous"/>
    </xf>
    <xf numFmtId="182" fontId="19" fillId="0" borderId="0" xfId="0" quotePrefix="1" applyNumberFormat="1" applyFont="1" applyFill="1" applyBorder="1" applyAlignment="1">
      <alignment horizontal="centerContinuous"/>
    </xf>
    <xf numFmtId="0" fontId="19" fillId="0" borderId="38" xfId="0" applyFont="1" applyBorder="1" applyAlignment="1">
      <alignment horizontal="left"/>
    </xf>
    <xf numFmtId="182" fontId="19" fillId="0" borderId="39" xfId="0" quotePrefix="1" applyNumberFormat="1" applyFont="1" applyFill="1" applyBorder="1" applyAlignment="1">
      <alignment horizontal="centerContinuous"/>
    </xf>
    <xf numFmtId="0" fontId="0" fillId="0" borderId="39" xfId="0" applyBorder="1" applyAlignment="1">
      <alignment horizontal="centerContinuous"/>
    </xf>
    <xf numFmtId="0" fontId="0" fillId="0" borderId="40" xfId="0" applyBorder="1" applyAlignment="1">
      <alignment horizontal="centerContinuous"/>
    </xf>
    <xf numFmtId="0" fontId="0" fillId="0" borderId="36" xfId="0" quotePrefix="1" applyBorder="1" applyAlignment="1">
      <alignment horizontal="left"/>
    </xf>
    <xf numFmtId="37" fontId="19" fillId="0" borderId="37" xfId="0" applyNumberFormat="1" applyFont="1" applyFill="1" applyBorder="1" applyAlignment="1">
      <alignment horizontal="right"/>
    </xf>
    <xf numFmtId="9" fontId="40" fillId="0" borderId="37" xfId="0" applyNumberFormat="1" applyFont="1" applyBorder="1" applyAlignment="1">
      <alignment horizontal="right"/>
    </xf>
    <xf numFmtId="9" fontId="40" fillId="0" borderId="40" xfId="0" applyNumberFormat="1" applyFont="1" applyBorder="1" applyAlignment="1">
      <alignment horizontal="right"/>
    </xf>
    <xf numFmtId="0" fontId="0" fillId="0" borderId="36" xfId="0" applyBorder="1" applyAlignment="1">
      <alignment horizontal="left" vertical="center"/>
    </xf>
    <xf numFmtId="191" fontId="19" fillId="0" borderId="0" xfId="0" applyNumberFormat="1" applyFont="1" applyFill="1" applyBorder="1"/>
    <xf numFmtId="10" fontId="19" fillId="0" borderId="0" xfId="14" applyNumberFormat="1" applyFont="1" applyFill="1" applyBorder="1"/>
    <xf numFmtId="9" fontId="19" fillId="0" borderId="0" xfId="14" applyNumberFormat="1" applyFont="1" applyFill="1" applyBorder="1"/>
    <xf numFmtId="0" fontId="27" fillId="0" borderId="38" xfId="0" applyFont="1" applyBorder="1" applyAlignment="1">
      <alignment horizontal="left" vertical="center"/>
    </xf>
    <xf numFmtId="9" fontId="19" fillId="0" borderId="39" xfId="14" applyFont="1" applyFill="1" applyBorder="1"/>
    <xf numFmtId="0" fontId="0" fillId="0" borderId="36" xfId="0" applyBorder="1" applyAlignment="1">
      <alignment horizontal="left"/>
    </xf>
    <xf numFmtId="0" fontId="19" fillId="0" borderId="0" xfId="0" applyFont="1" applyBorder="1"/>
    <xf numFmtId="194" fontId="19" fillId="0" borderId="37" xfId="0" applyNumberFormat="1" applyFont="1" applyFill="1" applyBorder="1" applyAlignment="1">
      <alignment horizontal="right"/>
    </xf>
    <xf numFmtId="175" fontId="0" fillId="0" borderId="36" xfId="0" applyNumberFormat="1" applyBorder="1" applyAlignment="1">
      <alignment horizontal="left"/>
    </xf>
    <xf numFmtId="192" fontId="19" fillId="0" borderId="37" xfId="0" applyNumberFormat="1" applyFont="1" applyFill="1" applyBorder="1" applyAlignment="1">
      <alignment horizontal="right"/>
    </xf>
    <xf numFmtId="166" fontId="19" fillId="0" borderId="37" xfId="0" applyNumberFormat="1" applyFont="1" applyFill="1" applyBorder="1" applyAlignment="1">
      <alignment horizontal="right"/>
    </xf>
    <xf numFmtId="194" fontId="19" fillId="0" borderId="40" xfId="0" applyNumberFormat="1" applyFont="1" applyFill="1" applyBorder="1" applyAlignment="1">
      <alignment horizontal="right"/>
    </xf>
    <xf numFmtId="0" fontId="0" fillId="3" borderId="33" xfId="0" applyFill="1" applyBorder="1" applyAlignment="1">
      <alignment vertical="center"/>
    </xf>
    <xf numFmtId="0" fontId="0" fillId="3" borderId="35" xfId="0" applyFill="1" applyBorder="1" applyAlignment="1">
      <alignment vertical="center"/>
    </xf>
    <xf numFmtId="0" fontId="19" fillId="0" borderId="37" xfId="0" applyFont="1" applyBorder="1" applyAlignment="1">
      <alignment horizontal="right"/>
    </xf>
    <xf numFmtId="175" fontId="0" fillId="0" borderId="39" xfId="0" quotePrefix="1" applyNumberFormat="1" applyBorder="1" applyAlignment="1">
      <alignment horizontal="left"/>
    </xf>
    <xf numFmtId="192" fontId="19" fillId="0" borderId="40" xfId="0" applyNumberFormat="1" applyFont="1" applyFill="1" applyBorder="1" applyAlignment="1">
      <alignment horizontal="right"/>
    </xf>
    <xf numFmtId="0" fontId="0" fillId="0" borderId="36" xfId="0" applyFont="1" applyFill="1" applyBorder="1" applyAlignment="1">
      <alignment vertical="center"/>
    </xf>
    <xf numFmtId="168" fontId="19" fillId="0" borderId="37" xfId="0" applyNumberFormat="1" applyFont="1" applyBorder="1" applyAlignment="1">
      <alignment horizontal="right"/>
    </xf>
    <xf numFmtId="0" fontId="0" fillId="0" borderId="37" xfId="0" applyFill="1" applyBorder="1"/>
    <xf numFmtId="0" fontId="69" fillId="3" borderId="33" xfId="0" applyFont="1" applyFill="1" applyBorder="1" applyAlignment="1">
      <alignment vertical="center"/>
    </xf>
    <xf numFmtId="0" fontId="69" fillId="3" borderId="35" xfId="0" applyFont="1" applyFill="1" applyBorder="1" applyAlignment="1">
      <alignment vertical="center"/>
    </xf>
    <xf numFmtId="0" fontId="0" fillId="0" borderId="0" xfId="0" quotePrefix="1" applyBorder="1"/>
    <xf numFmtId="168" fontId="19" fillId="0" borderId="0" xfId="0" applyNumberFormat="1" applyFont="1" applyBorder="1"/>
    <xf numFmtId="10" fontId="19" fillId="0" borderId="0" xfId="14" applyNumberFormat="1" applyFont="1" applyBorder="1"/>
    <xf numFmtId="10" fontId="19" fillId="0" borderId="37" xfId="14" applyNumberFormat="1" applyFont="1" applyBorder="1"/>
    <xf numFmtId="196" fontId="19" fillId="0" borderId="0" xfId="0" applyNumberFormat="1" applyFont="1" applyBorder="1"/>
    <xf numFmtId="196" fontId="19" fillId="0" borderId="37" xfId="0" applyNumberFormat="1" applyFont="1" applyBorder="1"/>
    <xf numFmtId="196" fontId="19" fillId="0" borderId="0" xfId="0" applyNumberFormat="1" applyFont="1" applyFill="1" applyBorder="1"/>
    <xf numFmtId="196" fontId="19" fillId="0" borderId="37" xfId="0" applyNumberFormat="1" applyFont="1" applyFill="1" applyBorder="1"/>
    <xf numFmtId="196" fontId="0" fillId="0" borderId="0" xfId="0" applyNumberFormat="1" applyBorder="1"/>
    <xf numFmtId="196" fontId="0" fillId="0" borderId="0" xfId="0" quotePrefix="1" applyNumberFormat="1" applyBorder="1"/>
    <xf numFmtId="196" fontId="0" fillId="0" borderId="37" xfId="0" applyNumberFormat="1" applyBorder="1"/>
    <xf numFmtId="196" fontId="0" fillId="0" borderId="0" xfId="0" applyNumberFormat="1" applyFill="1" applyBorder="1"/>
    <xf numFmtId="196" fontId="0" fillId="0" borderId="0" xfId="0" quotePrefix="1" applyNumberFormat="1" applyFill="1" applyBorder="1"/>
    <xf numFmtId="196" fontId="0" fillId="0" borderId="37" xfId="0" applyNumberFormat="1" applyFill="1" applyBorder="1"/>
    <xf numFmtId="0" fontId="20" fillId="0" borderId="36" xfId="0" applyFont="1" applyBorder="1"/>
    <xf numFmtId="0" fontId="18" fillId="0" borderId="36" xfId="0" applyFont="1" applyBorder="1" applyAlignment="1">
      <alignment horizontal="left" vertical="center"/>
    </xf>
    <xf numFmtId="170" fontId="19" fillId="0" borderId="39" xfId="0" applyNumberFormat="1" applyFont="1" applyBorder="1"/>
    <xf numFmtId="170" fontId="19" fillId="0" borderId="40" xfId="0" applyNumberFormat="1" applyFont="1" applyBorder="1"/>
    <xf numFmtId="195" fontId="18" fillId="0" borderId="26" xfId="4" applyNumberFormat="1" applyFont="1" applyFill="1" applyBorder="1" applyProtection="1"/>
    <xf numFmtId="169" fontId="3" fillId="0" borderId="0" xfId="9" applyNumberFormat="1" applyFont="1"/>
  </cellXfs>
  <cellStyles count="15">
    <cellStyle name="Across" xfId="1"/>
    <cellStyle name="Bottom" xfId="2"/>
    <cellStyle name="Center" xfId="3"/>
    <cellStyle name="Comma" xfId="4" builtinId="3"/>
    <cellStyle name="Currency [2]" xfId="5"/>
    <cellStyle name="Double" xfId="6"/>
    <cellStyle name="Normal" xfId="0" builtinId="0"/>
    <cellStyle name="Normal 2" xfId="13"/>
    <cellStyle name="Normal_DrydenNewDCF3" xfId="7"/>
    <cellStyle name="Normal_Inverness Drive Model 4-26-02" xfId="8"/>
    <cellStyle name="Normal_TrainingDCF1" xfId="9"/>
    <cellStyle name="Numbers" xfId="10"/>
    <cellStyle name="Numbers - Bold - Italic" xfId="11"/>
    <cellStyle name="Outline" xfId="12"/>
    <cellStyle name="Percent" xfId="14" builtinId="5"/>
  </cellStyles>
  <dxfs count="2"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</dxfs>
  <tableStyles count="0" defaultTableStyle="TableStyleMedium9" defaultPivotStyle="PivotStyleLight16"/>
  <colors>
    <mruColors>
      <color rgb="FF002F6C"/>
      <color rgb="FF4586BB"/>
      <color rgb="FF0000FF"/>
      <color rgb="FF009B73"/>
      <color rgb="FFFFFF99"/>
      <color rgb="FF5B77CC"/>
      <color rgb="FF009966"/>
      <color rgb="FF008ED6"/>
      <color rgb="FF6B72A9"/>
      <color rgb="FF6B72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20" fmlaLink="$D$6" fmlaRange="$C$14:$C$16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108473</xdr:colOff>
      <xdr:row>2</xdr:row>
      <xdr:rowOff>103478</xdr:rowOff>
    </xdr:from>
    <xdr:to>
      <xdr:col>9</xdr:col>
      <xdr:colOff>672930</xdr:colOff>
      <xdr:row>5</xdr:row>
      <xdr:rowOff>261257</xdr:rowOff>
    </xdr:to>
    <xdr:pic>
      <xdr:nvPicPr>
        <xdr:cNvPr id="10" name="Picture 9" descr="DR. LAL PATHLABS LIMI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1133" y="484478"/>
          <a:ext cx="3002857" cy="9197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1196340</xdr:colOff>
          <xdr:row>4</xdr:row>
          <xdr:rowOff>30480</xdr:rowOff>
        </xdr:from>
        <xdr:to>
          <xdr:col>4</xdr:col>
          <xdr:colOff>655320</xdr:colOff>
          <xdr:row>6</xdr:row>
          <xdr:rowOff>53340</xdr:rowOff>
        </xdr:to>
        <xdr:sp macro="" textlink="">
          <xdr:nvSpPr>
            <xdr:cNvPr id="13316" name="Drop Down 4" hidden="1">
              <a:extLst>
                <a:ext uri="{63B3BB69-23CF-44E3-9099-C40C66FF867C}">
                  <a14:compatExt spid="_x0000_s13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showGridLines="0" zoomScaleNormal="100" workbookViewId="0">
      <selection activeCell="G9" sqref="G9"/>
    </sheetView>
  </sheetViews>
  <sheetFormatPr defaultRowHeight="13.2"/>
  <cols>
    <col min="1" max="1" width="3" customWidth="1"/>
    <col min="3" max="3" width="12" customWidth="1"/>
    <col min="4" max="4" width="8.6640625" customWidth="1"/>
    <col min="5" max="5" width="4.88671875" customWidth="1"/>
    <col min="8" max="8" width="8.88671875" customWidth="1"/>
    <col min="9" max="9" width="4" customWidth="1"/>
    <col min="10" max="10" width="41.5546875" customWidth="1"/>
  </cols>
  <sheetData>
    <row r="1" spans="1:13" ht="15">
      <c r="A1" s="310"/>
      <c r="B1" s="310"/>
      <c r="C1" s="310"/>
      <c r="D1" s="310"/>
      <c r="E1" s="310"/>
      <c r="F1" s="310"/>
      <c r="G1" s="310"/>
      <c r="H1" s="310"/>
      <c r="I1" s="310"/>
      <c r="J1" s="310"/>
      <c r="K1" s="311"/>
      <c r="L1" s="311"/>
      <c r="M1" s="311"/>
    </row>
    <row r="2" spans="1:13" ht="15">
      <c r="A2" s="311"/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</row>
    <row r="3" spans="1:13" ht="15">
      <c r="A3" s="311"/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</row>
    <row r="4" spans="1:13" ht="30">
      <c r="A4" s="311"/>
      <c r="B4" s="311"/>
      <c r="C4" s="311"/>
      <c r="D4" s="312"/>
      <c r="E4" s="311"/>
      <c r="F4" s="311"/>
      <c r="G4" s="311"/>
      <c r="H4" s="311"/>
      <c r="I4" s="311"/>
      <c r="J4" s="311"/>
      <c r="K4" s="311"/>
      <c r="L4" s="311"/>
      <c r="M4" s="311"/>
    </row>
    <row r="5" spans="1:13" ht="15">
      <c r="A5" s="311"/>
      <c r="B5" s="311"/>
      <c r="C5" s="311"/>
      <c r="D5" s="311"/>
      <c r="E5" s="311"/>
      <c r="F5" s="311"/>
      <c r="G5" s="311"/>
      <c r="H5" s="311"/>
      <c r="I5" s="311"/>
      <c r="J5" s="311"/>
      <c r="K5" s="311"/>
      <c r="L5" s="311"/>
      <c r="M5" s="311"/>
    </row>
    <row r="6" spans="1:13" ht="22.8">
      <c r="A6" s="311"/>
      <c r="B6" s="317"/>
      <c r="C6" s="311"/>
      <c r="D6" s="313"/>
      <c r="E6" s="311"/>
      <c r="F6" s="311"/>
      <c r="G6" s="311"/>
      <c r="H6" s="311"/>
      <c r="I6" s="311"/>
      <c r="J6" s="311"/>
      <c r="K6" s="311"/>
      <c r="L6" s="311"/>
      <c r="M6" s="311" t="s">
        <v>90</v>
      </c>
    </row>
    <row r="7" spans="1:13" ht="15.6">
      <c r="A7" s="311"/>
      <c r="B7" s="548" t="s">
        <v>223</v>
      </c>
      <c r="C7" s="544"/>
      <c r="D7" s="3"/>
      <c r="E7" s="544"/>
      <c r="F7" s="544"/>
      <c r="G7" s="547"/>
      <c r="H7" s="544"/>
      <c r="I7" s="544"/>
      <c r="J7" s="544"/>
      <c r="K7" s="311"/>
      <c r="L7" s="311"/>
      <c r="M7" s="311"/>
    </row>
    <row r="8" spans="1:13" ht="15.6">
      <c r="A8" s="311"/>
      <c r="B8" s="548"/>
      <c r="C8" s="544"/>
      <c r="D8" s="3"/>
      <c r="E8" s="544"/>
      <c r="F8" s="544"/>
      <c r="G8" s="547"/>
      <c r="H8" s="544"/>
      <c r="I8" s="544"/>
      <c r="J8" s="544"/>
      <c r="K8" s="311"/>
      <c r="L8" s="311"/>
      <c r="M8" s="311"/>
    </row>
    <row r="9" spans="1:13" ht="15.6">
      <c r="A9" s="311"/>
      <c r="B9" s="548"/>
      <c r="C9" s="544"/>
      <c r="D9" s="3"/>
      <c r="E9" s="544"/>
      <c r="F9" s="544"/>
      <c r="G9" s="547"/>
      <c r="H9" s="544"/>
      <c r="I9" s="544"/>
      <c r="J9" s="544"/>
      <c r="K9" s="311"/>
      <c r="L9" s="311"/>
      <c r="M9" s="311"/>
    </row>
    <row r="10" spans="1:13" ht="15.6">
      <c r="A10" s="311"/>
      <c r="B10" s="548"/>
      <c r="C10" s="544"/>
      <c r="D10" s="3"/>
      <c r="E10" s="544"/>
      <c r="F10" s="544"/>
      <c r="G10" s="547"/>
      <c r="H10" s="544"/>
      <c r="I10" s="544"/>
      <c r="J10" s="544"/>
      <c r="K10" s="311"/>
      <c r="L10" s="311"/>
      <c r="M10" s="311"/>
    </row>
    <row r="11" spans="1:13" ht="15">
      <c r="A11" s="311"/>
      <c r="B11" s="311"/>
      <c r="C11" s="311"/>
      <c r="D11" s="311"/>
      <c r="E11" s="311"/>
      <c r="F11" s="311"/>
      <c r="G11" s="311"/>
      <c r="H11" s="311"/>
      <c r="I11" s="311"/>
      <c r="J11" s="311"/>
      <c r="K11" s="311"/>
      <c r="L11" s="311"/>
      <c r="M11" s="311"/>
    </row>
    <row r="12" spans="1:13" ht="15">
      <c r="A12" s="311"/>
      <c r="B12" s="311"/>
      <c r="C12" s="311"/>
      <c r="D12" s="311"/>
      <c r="E12" s="311"/>
      <c r="F12" s="311"/>
      <c r="G12" s="311"/>
      <c r="H12" s="311"/>
      <c r="I12" s="311"/>
      <c r="J12" s="311"/>
      <c r="K12" s="311"/>
      <c r="L12" s="311"/>
      <c r="M12" s="311"/>
    </row>
    <row r="13" spans="1:13" ht="30">
      <c r="A13" s="311"/>
      <c r="B13" s="314"/>
      <c r="C13" s="311"/>
      <c r="D13" s="311"/>
      <c r="E13" s="311"/>
      <c r="F13" s="311"/>
      <c r="G13" s="311"/>
      <c r="H13" s="311"/>
      <c r="I13" s="311"/>
      <c r="J13" s="311"/>
      <c r="K13" s="311"/>
      <c r="L13" s="311"/>
      <c r="M13" s="311"/>
    </row>
    <row r="14" spans="1:13" ht="17.399999999999999">
      <c r="A14" s="311"/>
      <c r="B14" s="315"/>
      <c r="C14" s="315"/>
      <c r="D14" s="315"/>
      <c r="E14" s="311"/>
      <c r="F14" s="311"/>
      <c r="G14" s="311"/>
      <c r="H14" s="311"/>
      <c r="I14" s="311"/>
      <c r="J14" s="311"/>
      <c r="K14" s="311"/>
      <c r="L14" s="311"/>
      <c r="M14" s="311"/>
    </row>
    <row r="15" spans="1:13" ht="34.799999999999997">
      <c r="A15" s="311"/>
      <c r="B15" s="549" t="s">
        <v>221</v>
      </c>
      <c r="C15" s="546"/>
      <c r="D15" s="546"/>
      <c r="E15" s="546"/>
      <c r="F15" s="546"/>
      <c r="G15" s="546"/>
      <c r="H15" s="546"/>
      <c r="I15" s="544"/>
      <c r="J15" s="544"/>
      <c r="K15" s="311"/>
      <c r="L15" s="311"/>
      <c r="M15" s="311"/>
    </row>
    <row r="16" spans="1:13" ht="34.799999999999997">
      <c r="A16" s="311"/>
      <c r="B16" s="549" t="s">
        <v>222</v>
      </c>
      <c r="C16" s="545"/>
      <c r="D16" s="545"/>
      <c r="E16" s="546"/>
      <c r="F16" s="546"/>
      <c r="G16" s="546"/>
      <c r="H16" s="546"/>
      <c r="I16" s="544"/>
      <c r="J16" s="544"/>
      <c r="K16" s="311"/>
      <c r="L16" s="311"/>
      <c r="M16" s="311"/>
    </row>
    <row r="17" spans="1:13" ht="15">
      <c r="A17" s="311"/>
      <c r="B17" s="542"/>
      <c r="C17" s="543"/>
      <c r="E17" s="311"/>
      <c r="F17" s="311"/>
      <c r="G17" s="311"/>
      <c r="H17" s="311"/>
      <c r="I17" s="311"/>
      <c r="J17" s="311"/>
      <c r="K17" s="311"/>
      <c r="L17" s="311"/>
      <c r="M17" s="311"/>
    </row>
    <row r="18" spans="1:13" ht="15">
      <c r="A18" s="311"/>
      <c r="B18" s="543"/>
      <c r="C18" s="311"/>
      <c r="D18" s="311"/>
      <c r="E18" s="311"/>
      <c r="F18" s="311"/>
      <c r="G18" s="311"/>
      <c r="H18" s="311"/>
      <c r="I18" s="311"/>
      <c r="J18" s="311"/>
      <c r="K18" s="311"/>
      <c r="L18" s="311"/>
      <c r="M18" s="311"/>
    </row>
    <row r="19" spans="1:13" ht="15">
      <c r="A19" s="311"/>
      <c r="B19" s="543"/>
      <c r="C19" s="311"/>
      <c r="D19" s="311"/>
      <c r="E19" s="311"/>
      <c r="F19" s="311"/>
      <c r="G19" s="311"/>
      <c r="H19" s="311"/>
      <c r="I19" s="311"/>
      <c r="J19" s="311"/>
      <c r="K19" s="311"/>
      <c r="L19" s="311"/>
      <c r="M19" s="311"/>
    </row>
    <row r="20" spans="1:13" ht="15">
      <c r="A20" s="311"/>
      <c r="B20" s="543"/>
      <c r="C20" s="311"/>
      <c r="D20" s="311"/>
      <c r="E20" s="311"/>
      <c r="F20" s="311"/>
      <c r="G20" s="311"/>
      <c r="H20" s="311"/>
      <c r="I20" s="311"/>
      <c r="J20" s="311"/>
      <c r="K20" s="311"/>
      <c r="L20" s="311"/>
      <c r="M20" s="311"/>
    </row>
    <row r="21" spans="1:13" ht="15">
      <c r="A21" s="311"/>
      <c r="B21" s="543"/>
      <c r="C21" s="311"/>
      <c r="D21" s="311"/>
      <c r="E21" s="311"/>
      <c r="F21" s="311"/>
      <c r="G21" s="311"/>
      <c r="H21" s="311"/>
      <c r="I21" s="311"/>
      <c r="J21" s="311"/>
      <c r="K21" s="311"/>
      <c r="L21" s="311"/>
      <c r="M21" s="311"/>
    </row>
    <row r="22" spans="1:13" ht="15">
      <c r="A22" s="311"/>
      <c r="B22" s="311"/>
      <c r="C22" s="311"/>
      <c r="D22" s="311"/>
      <c r="E22" s="311"/>
      <c r="F22" s="311"/>
      <c r="G22" s="311"/>
      <c r="H22" s="311"/>
      <c r="I22" s="311"/>
      <c r="J22" s="311"/>
      <c r="K22" s="311"/>
      <c r="L22" s="311"/>
      <c r="M22" s="311"/>
    </row>
    <row r="23" spans="1:13" ht="15">
      <c r="A23" s="311"/>
      <c r="B23" s="311"/>
      <c r="C23" s="311"/>
      <c r="D23" s="311"/>
      <c r="E23" s="311"/>
      <c r="F23" s="311"/>
      <c r="G23" s="311"/>
      <c r="H23" s="311"/>
      <c r="I23" s="311"/>
      <c r="J23" s="311"/>
      <c r="K23" s="311"/>
      <c r="L23" s="311"/>
      <c r="M23" s="311"/>
    </row>
    <row r="24" spans="1:13" ht="15">
      <c r="A24" s="311"/>
      <c r="B24" s="311"/>
      <c r="C24" s="311"/>
      <c r="D24" s="311"/>
      <c r="E24" s="311"/>
      <c r="F24" s="311"/>
      <c r="G24" s="311"/>
      <c r="H24" s="311"/>
      <c r="I24" s="311"/>
      <c r="J24" s="311"/>
      <c r="K24" s="311"/>
      <c r="L24" s="311"/>
      <c r="M24" s="311"/>
    </row>
    <row r="25" spans="1:13" ht="15">
      <c r="A25" s="311"/>
      <c r="B25" s="311"/>
      <c r="C25" s="311"/>
      <c r="D25" s="311"/>
      <c r="E25" s="311"/>
      <c r="F25" s="311"/>
      <c r="G25" s="311"/>
      <c r="H25" s="311"/>
      <c r="I25" s="311"/>
      <c r="J25" s="311"/>
      <c r="K25" s="311"/>
      <c r="L25" s="311"/>
      <c r="M25" s="311"/>
    </row>
    <row r="26" spans="1:13" ht="15">
      <c r="A26" s="311"/>
      <c r="B26" s="311"/>
      <c r="C26" s="311"/>
      <c r="D26" s="311"/>
      <c r="E26" s="311"/>
      <c r="F26" s="543"/>
      <c r="G26" s="311"/>
      <c r="H26" s="311"/>
      <c r="I26" s="311"/>
      <c r="J26" s="311"/>
      <c r="K26" s="311"/>
      <c r="L26" s="311"/>
      <c r="M26" s="311"/>
    </row>
    <row r="27" spans="1:13" ht="15">
      <c r="A27" s="311"/>
      <c r="B27" s="311"/>
      <c r="C27" s="311"/>
      <c r="D27" s="311"/>
      <c r="E27" s="311"/>
      <c r="F27" s="311"/>
      <c r="G27" s="311"/>
      <c r="H27" s="311"/>
      <c r="I27" s="311"/>
      <c r="J27" s="311"/>
      <c r="K27" s="311"/>
      <c r="L27" s="311"/>
      <c r="M27" s="311"/>
    </row>
    <row r="28" spans="1:13" ht="15.6">
      <c r="A28" s="311"/>
      <c r="B28" s="550" t="s">
        <v>224</v>
      </c>
      <c r="C28" s="544"/>
      <c r="D28" s="551"/>
      <c r="E28" s="544"/>
      <c r="F28" s="544"/>
      <c r="G28" s="544"/>
      <c r="H28" s="552"/>
      <c r="I28" s="544"/>
      <c r="J28" s="544"/>
      <c r="K28" s="311"/>
      <c r="L28" s="311"/>
      <c r="M28" s="311"/>
    </row>
    <row r="29" spans="1:13" ht="20.399999999999999">
      <c r="A29" s="311"/>
      <c r="B29" s="553" t="s">
        <v>225</v>
      </c>
      <c r="C29" s="544"/>
      <c r="D29" s="554"/>
      <c r="E29" s="544"/>
      <c r="F29" s="544"/>
      <c r="G29" s="544"/>
      <c r="H29" s="544"/>
      <c r="I29" s="544"/>
      <c r="J29" s="544"/>
      <c r="K29" s="311"/>
      <c r="L29" s="311"/>
      <c r="M29" s="311"/>
    </row>
    <row r="30" spans="1:13" ht="15">
      <c r="A30" s="311"/>
      <c r="B30" s="311"/>
      <c r="C30" s="311"/>
      <c r="D30" s="311"/>
      <c r="E30" s="311"/>
      <c r="F30" s="311"/>
      <c r="G30" s="311"/>
      <c r="H30" s="311"/>
      <c r="I30" s="311"/>
      <c r="J30" s="311"/>
      <c r="K30" s="311"/>
      <c r="L30" s="311"/>
      <c r="M30" s="311"/>
    </row>
    <row r="31" spans="1:13" ht="15">
      <c r="A31" s="311"/>
      <c r="B31" s="311"/>
      <c r="C31" s="311"/>
      <c r="D31" s="311"/>
      <c r="E31" s="311"/>
      <c r="F31" s="311"/>
      <c r="G31" s="311"/>
      <c r="H31" s="311"/>
      <c r="I31" s="311"/>
      <c r="J31" s="311"/>
      <c r="K31" s="311"/>
      <c r="L31" s="311"/>
      <c r="M31" s="311"/>
    </row>
    <row r="32" spans="1:13" ht="15.6" thickBot="1">
      <c r="A32" s="316"/>
      <c r="B32" s="316"/>
      <c r="C32" s="316"/>
      <c r="D32" s="316"/>
      <c r="E32" s="316"/>
      <c r="F32" s="316"/>
      <c r="G32" s="316"/>
      <c r="H32" s="316"/>
      <c r="I32" s="316"/>
      <c r="J32" s="316"/>
      <c r="K32" s="311"/>
      <c r="L32" s="311"/>
      <c r="M32" s="311"/>
    </row>
    <row r="33" spans="1:13" ht="15">
      <c r="A33" s="311"/>
      <c r="B33" s="311"/>
      <c r="C33" s="311"/>
      <c r="D33" s="311"/>
      <c r="E33" s="311"/>
      <c r="F33" s="311"/>
      <c r="G33" s="311"/>
      <c r="H33" s="311"/>
      <c r="I33" s="311"/>
      <c r="J33" s="311"/>
      <c r="K33" s="311"/>
      <c r="L33" s="311"/>
      <c r="M33" s="311"/>
    </row>
    <row r="34" spans="1:13" ht="15">
      <c r="A34" s="311"/>
      <c r="B34" s="311"/>
      <c r="C34" s="311"/>
      <c r="D34" s="311"/>
      <c r="E34" s="311"/>
      <c r="F34" s="311"/>
      <c r="G34" s="311"/>
      <c r="H34" s="311"/>
      <c r="I34" s="311"/>
      <c r="J34" s="311"/>
      <c r="K34" s="311"/>
      <c r="L34" s="311"/>
      <c r="M34" s="311"/>
    </row>
    <row r="35" spans="1:13" ht="15">
      <c r="A35" s="311"/>
      <c r="B35" s="311"/>
      <c r="C35" s="311"/>
      <c r="D35" s="311"/>
      <c r="E35" s="311"/>
      <c r="F35" s="311"/>
      <c r="G35" s="311"/>
      <c r="H35" s="311"/>
      <c r="I35" s="311"/>
      <c r="J35" s="311"/>
      <c r="K35" s="311"/>
      <c r="L35" s="311"/>
      <c r="M35" s="311"/>
    </row>
    <row r="36" spans="1:13" ht="15">
      <c r="A36" s="311"/>
      <c r="B36" s="311"/>
      <c r="C36" s="311"/>
      <c r="D36" s="311"/>
      <c r="E36" s="311"/>
      <c r="F36" s="311"/>
      <c r="G36" s="311"/>
      <c r="H36" s="311"/>
      <c r="I36" s="311"/>
      <c r="J36" s="311"/>
      <c r="K36" s="311"/>
      <c r="L36" s="311"/>
      <c r="M36" s="311"/>
    </row>
  </sheetData>
  <sheetProtection algorithmName="SHA-512" hashValue="0qisD4+EHhPNdj6vsn5Qy1xG2+7th6KyaPPxlF8Bn5xmWzg9HRaI20Rt1B7q5j8VYt4R1O6oYFvrv2er0uCygA==" saltValue="fGXN/4Az0S9eKl/458Smew==" spinCount="100000" sheet="1" objects="1" scenarios="1" selectLockedCells="1" selectUnlockedCells="1"/>
  <printOptions horizontalCentered="1"/>
  <pageMargins left="0.25" right="0.25" top="0.25" bottom="0.25" header="0.25" footer="0.25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AI58"/>
  <sheetViews>
    <sheetView showGridLines="0" tabSelected="1" topLeftCell="A19" zoomScaleNormal="100" workbookViewId="0">
      <selection activeCell="W29" sqref="W29"/>
    </sheetView>
  </sheetViews>
  <sheetFormatPr defaultColWidth="10.6640625" defaultRowHeight="13.2"/>
  <cols>
    <col min="1" max="1" width="2.5546875" style="240" customWidth="1"/>
    <col min="2" max="2" width="4.6640625" style="240" customWidth="1"/>
    <col min="3" max="4" width="1.6640625" style="240" customWidth="1"/>
    <col min="5" max="5" width="20.6640625" style="240" customWidth="1"/>
    <col min="6" max="6" width="9.33203125" style="240" customWidth="1"/>
    <col min="7" max="7" width="0.44140625" style="240" customWidth="1"/>
    <col min="8" max="10" width="9.33203125" style="240" customWidth="1"/>
    <col min="11" max="11" width="0.5546875" style="240" customWidth="1"/>
    <col min="12" max="16" width="9.33203125" style="240" customWidth="1"/>
    <col min="17" max="17" width="1.6640625" style="240" customWidth="1"/>
    <col min="18" max="18" width="4.6640625" style="240" customWidth="1"/>
    <col min="19" max="20" width="2.6640625" style="240" customWidth="1"/>
    <col min="21" max="22" width="1.6640625" style="240" customWidth="1"/>
    <col min="23" max="23" width="20.6640625" style="240" customWidth="1"/>
    <col min="24" max="24" width="9.33203125" style="240" customWidth="1"/>
    <col min="25" max="25" width="0.5546875" style="240" customWidth="1"/>
    <col min="26" max="28" width="9.33203125" style="240" customWidth="1"/>
    <col min="29" max="29" width="0.5546875" style="240" customWidth="1"/>
    <col min="30" max="34" width="9.33203125" style="240" customWidth="1"/>
    <col min="35" max="35" width="1.6640625" style="240" customWidth="1"/>
    <col min="36" max="16384" width="10.6640625" style="240"/>
  </cols>
  <sheetData>
    <row r="1" spans="2:35" ht="22.65" customHeight="1">
      <c r="B1" s="237" t="s">
        <v>226</v>
      </c>
      <c r="C1" s="238"/>
      <c r="D1" s="238"/>
      <c r="E1" s="238"/>
      <c r="F1" s="238"/>
      <c r="G1" s="238"/>
      <c r="H1" s="239"/>
      <c r="I1" s="239"/>
      <c r="J1" s="239"/>
      <c r="K1" s="239"/>
      <c r="L1" s="239"/>
      <c r="M1" s="239"/>
      <c r="N1" s="239"/>
      <c r="O1" s="239"/>
      <c r="P1" s="239"/>
      <c r="Q1" s="239"/>
      <c r="R1" s="239"/>
      <c r="U1" s="238"/>
      <c r="V1" s="238"/>
      <c r="W1" s="238"/>
      <c r="X1" s="238"/>
      <c r="Y1" s="238"/>
      <c r="Z1" s="239"/>
      <c r="AA1" s="239"/>
      <c r="AB1" s="239"/>
      <c r="AC1" s="239"/>
      <c r="AD1" s="239"/>
      <c r="AE1" s="239"/>
      <c r="AF1" s="239"/>
      <c r="AG1" s="239"/>
      <c r="AH1" s="239"/>
    </row>
    <row r="2" spans="2:35" ht="17.399999999999999">
      <c r="B2" s="241" t="s">
        <v>108</v>
      </c>
      <c r="C2" s="241"/>
      <c r="D2" s="241"/>
      <c r="E2" s="241"/>
      <c r="F2" s="241"/>
      <c r="G2" s="241"/>
      <c r="H2" s="241"/>
      <c r="I2" s="241"/>
      <c r="J2" s="241"/>
      <c r="K2" s="241"/>
      <c r="L2" s="241"/>
      <c r="M2" s="241"/>
      <c r="N2" s="241"/>
      <c r="O2" s="241"/>
      <c r="P2" s="241"/>
      <c r="Q2" s="241"/>
      <c r="R2" s="241"/>
      <c r="U2" s="241"/>
      <c r="V2" s="241"/>
      <c r="W2" s="241"/>
      <c r="X2" s="241"/>
      <c r="Y2" s="241"/>
      <c r="Z2" s="241"/>
      <c r="AA2" s="241"/>
      <c r="AB2" s="241"/>
      <c r="AC2" s="241"/>
      <c r="AD2" s="241"/>
      <c r="AE2" s="241"/>
      <c r="AF2" s="241"/>
      <c r="AG2" s="241"/>
      <c r="AH2" s="241"/>
    </row>
    <row r="3" spans="2:35" ht="3" customHeight="1" thickBot="1">
      <c r="B3" s="278"/>
      <c r="C3" s="278"/>
      <c r="D3" s="278"/>
      <c r="E3" s="278"/>
      <c r="F3" s="278"/>
      <c r="G3" s="278"/>
      <c r="H3" s="278"/>
      <c r="I3" s="278"/>
      <c r="J3" s="278"/>
      <c r="K3" s="278"/>
      <c r="L3" s="278"/>
      <c r="M3" s="278"/>
      <c r="N3" s="278"/>
      <c r="O3" s="278"/>
      <c r="P3" s="278"/>
      <c r="Q3" s="278"/>
      <c r="R3" s="278"/>
    </row>
    <row r="4" spans="2:35" ht="9.9" customHeight="1">
      <c r="C4" s="242"/>
      <c r="D4" s="242"/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  <c r="U4" s="242"/>
      <c r="V4" s="242"/>
      <c r="W4" s="242"/>
      <c r="X4" s="242"/>
      <c r="Y4" s="242"/>
      <c r="Z4" s="242"/>
      <c r="AA4" s="242"/>
      <c r="AB4" s="242"/>
      <c r="AC4" s="242"/>
      <c r="AD4" s="242"/>
      <c r="AE4" s="242"/>
      <c r="AF4" s="242"/>
      <c r="AG4" s="242"/>
      <c r="AH4" s="242"/>
    </row>
    <row r="5" spans="2:35" ht="15" customHeight="1">
      <c r="C5" s="243" t="s">
        <v>95</v>
      </c>
      <c r="D5" s="244"/>
      <c r="E5" s="244"/>
      <c r="F5" s="244"/>
      <c r="G5" s="244"/>
      <c r="H5" s="242"/>
      <c r="I5" s="242"/>
      <c r="J5" s="242"/>
      <c r="K5" s="242"/>
      <c r="L5" s="242"/>
      <c r="M5" s="242"/>
      <c r="N5" s="242"/>
      <c r="O5" s="242"/>
      <c r="P5" s="242"/>
      <c r="Q5" s="242"/>
      <c r="U5" s="243" t="str">
        <f>"SUMMMARY VALUES - "&amp;UPPER(CHOOSE(Scenarios!$D$6,Scenarios!C14,Scenarios!C15,Scenarios!C16))</f>
        <v>SUMMMARY VALUES - BASE CASE</v>
      </c>
      <c r="V5" s="244"/>
      <c r="W5" s="244"/>
      <c r="X5" s="244"/>
      <c r="Y5" s="244"/>
      <c r="Z5" s="242"/>
      <c r="AA5" s="242"/>
      <c r="AB5" s="242"/>
      <c r="AC5" s="242"/>
      <c r="AD5" s="242"/>
      <c r="AE5" s="242"/>
      <c r="AF5" s="242"/>
      <c r="AG5" s="242"/>
      <c r="AH5" s="242"/>
    </row>
    <row r="6" spans="2:35" s="259" customFormat="1" ht="15" customHeight="1">
      <c r="C6" s="292"/>
      <c r="D6" s="293"/>
      <c r="E6" s="293"/>
      <c r="F6" s="293"/>
      <c r="G6" s="293"/>
      <c r="H6" s="294"/>
      <c r="I6" s="294"/>
      <c r="J6" s="294"/>
      <c r="K6" s="294"/>
      <c r="L6" s="295" t="s">
        <v>1</v>
      </c>
      <c r="M6" s="296"/>
      <c r="N6" s="296"/>
      <c r="O6" s="296"/>
      <c r="P6" s="296"/>
      <c r="Q6" s="297"/>
      <c r="U6" s="260"/>
      <c r="V6" s="261"/>
      <c r="W6" s="261"/>
      <c r="X6" s="261"/>
      <c r="Y6" s="261"/>
      <c r="Z6" s="261"/>
      <c r="AA6" s="261"/>
      <c r="AB6" s="261"/>
      <c r="AC6" s="261"/>
      <c r="AD6" s="262" t="s">
        <v>1</v>
      </c>
      <c r="AE6" s="263"/>
      <c r="AF6" s="263"/>
      <c r="AG6" s="263"/>
      <c r="AH6" s="263"/>
      <c r="AI6" s="264"/>
    </row>
    <row r="7" spans="2:35" s="259" customFormat="1" ht="15" customHeight="1">
      <c r="C7" s="298"/>
      <c r="D7" s="538"/>
      <c r="E7" s="288"/>
      <c r="F7" s="287" t="s">
        <v>114</v>
      </c>
      <c r="G7" s="288"/>
      <c r="H7" s="289">
        <f>Z7</f>
        <v>2023</v>
      </c>
      <c r="I7" s="289">
        <f t="shared" ref="I7:J7" si="0">AA7</f>
        <v>2024</v>
      </c>
      <c r="J7" s="289">
        <f t="shared" si="0"/>
        <v>2025</v>
      </c>
      <c r="K7" s="289"/>
      <c r="L7" s="290">
        <f>AD7</f>
        <v>2026</v>
      </c>
      <c r="M7" s="290">
        <f>AE7</f>
        <v>2027</v>
      </c>
      <c r="N7" s="290">
        <f>AF7</f>
        <v>2028</v>
      </c>
      <c r="O7" s="290">
        <f>AG7</f>
        <v>2029</v>
      </c>
      <c r="P7" s="290">
        <f>AH7</f>
        <v>2030</v>
      </c>
      <c r="Q7" s="299"/>
      <c r="U7" s="265"/>
      <c r="V7" s="266"/>
      <c r="W7" s="266"/>
      <c r="X7" s="266"/>
      <c r="Y7" s="266"/>
      <c r="Z7" s="267">
        <f>Model!H7</f>
        <v>2023</v>
      </c>
      <c r="AA7" s="267">
        <f>Model!I7</f>
        <v>2024</v>
      </c>
      <c r="AB7" s="267">
        <f>Model!J7</f>
        <v>2025</v>
      </c>
      <c r="AC7" s="267"/>
      <c r="AD7" s="268">
        <f>Model!K7</f>
        <v>2026</v>
      </c>
      <c r="AE7" s="268">
        <f>Model!L7</f>
        <v>2027</v>
      </c>
      <c r="AF7" s="268">
        <f>Model!M7</f>
        <v>2028</v>
      </c>
      <c r="AG7" s="268">
        <f>Model!N7</f>
        <v>2029</v>
      </c>
      <c r="AH7" s="268">
        <f>Model!O7</f>
        <v>2030</v>
      </c>
      <c r="AI7" s="269"/>
    </row>
    <row r="8" spans="2:35" ht="3" customHeight="1">
      <c r="C8" s="319"/>
      <c r="D8" s="320"/>
      <c r="E8" s="320"/>
      <c r="F8" s="320"/>
      <c r="G8" s="320"/>
      <c r="H8" s="321"/>
      <c r="I8" s="321"/>
      <c r="J8" s="322"/>
      <c r="K8" s="322"/>
      <c r="L8" s="323"/>
      <c r="M8" s="323"/>
      <c r="N8" s="323"/>
      <c r="O8" s="323"/>
      <c r="P8" s="323"/>
      <c r="Q8" s="324"/>
      <c r="U8" s="245"/>
      <c r="Z8" s="248"/>
      <c r="AA8" s="248"/>
      <c r="AB8" s="249"/>
      <c r="AC8" s="249"/>
      <c r="AD8" s="17"/>
      <c r="AE8" s="17"/>
      <c r="AF8" s="17"/>
      <c r="AG8" s="17"/>
      <c r="AH8" s="17"/>
      <c r="AI8" s="247"/>
    </row>
    <row r="9" spans="2:35" ht="12.9" customHeight="1">
      <c r="C9" s="300"/>
      <c r="D9" s="250" t="s">
        <v>92</v>
      </c>
      <c r="Q9" s="301"/>
      <c r="U9" s="245"/>
      <c r="V9" s="250" t="s">
        <v>92</v>
      </c>
      <c r="AI9" s="247"/>
    </row>
    <row r="10" spans="2:35" ht="3" customHeight="1">
      <c r="C10" s="300"/>
      <c r="D10" s="250"/>
      <c r="Q10" s="301"/>
      <c r="U10" s="245"/>
      <c r="V10" s="250"/>
      <c r="Z10" s="539"/>
      <c r="AA10" s="539"/>
      <c r="AB10" s="539"/>
      <c r="AC10" s="539"/>
      <c r="AD10" s="539"/>
      <c r="AE10" s="539"/>
      <c r="AF10" s="539"/>
      <c r="AG10" s="539"/>
      <c r="AH10" s="539"/>
      <c r="AI10" s="247"/>
    </row>
    <row r="11" spans="2:35">
      <c r="C11" s="300"/>
      <c r="E11" s="618" t="s">
        <v>255</v>
      </c>
      <c r="F11" s="291"/>
      <c r="H11" s="540">
        <v>2058.59</v>
      </c>
      <c r="I11" s="540">
        <v>2295.7999999999997</v>
      </c>
      <c r="J11" s="540">
        <v>2554.8199999999997</v>
      </c>
      <c r="K11" s="540"/>
      <c r="L11" s="540">
        <v>2840.4992000000002</v>
      </c>
      <c r="M11" s="540">
        <v>3171.4027880000003</v>
      </c>
      <c r="N11" s="540">
        <v>3541.8952457264004</v>
      </c>
      <c r="O11" s="540">
        <v>3954.5795132477579</v>
      </c>
      <c r="P11" s="540">
        <v>4390.6765669514407</v>
      </c>
      <c r="Q11" s="301"/>
      <c r="U11" s="245"/>
      <c r="W11" s="618" t="s">
        <v>255</v>
      </c>
      <c r="X11" s="96"/>
      <c r="Y11" s="96"/>
      <c r="Z11" s="540">
        <f>Model!H61</f>
        <v>2058.59</v>
      </c>
      <c r="AA11" s="540">
        <f>Model!I61</f>
        <v>2295.7999999999997</v>
      </c>
      <c r="AB11" s="540">
        <f>Model!J61</f>
        <v>2554.8199999999997</v>
      </c>
      <c r="AC11" s="540"/>
      <c r="AD11" s="540">
        <f>Model!K61</f>
        <v>2840.4992000000002</v>
      </c>
      <c r="AE11" s="540">
        <f>Model!L61</f>
        <v>3171.4027880000003</v>
      </c>
      <c r="AF11" s="540">
        <f>Model!M61</f>
        <v>3541.8952457264004</v>
      </c>
      <c r="AG11" s="540">
        <f>Model!N61</f>
        <v>3954.5795132477579</v>
      </c>
      <c r="AH11" s="540">
        <f>Model!O61</f>
        <v>4390.6765669514407</v>
      </c>
      <c r="AI11" s="247"/>
    </row>
    <row r="12" spans="2:35">
      <c r="C12" s="300"/>
      <c r="E12" s="253" t="s">
        <v>256</v>
      </c>
      <c r="F12" s="254"/>
      <c r="G12" s="253"/>
      <c r="H12" s="646"/>
      <c r="I12" s="647">
        <v>0.11522935601552509</v>
      </c>
      <c r="J12" s="647">
        <v>0.11282341667392637</v>
      </c>
      <c r="K12" s="647"/>
      <c r="L12" s="647">
        <v>0.11181969766950339</v>
      </c>
      <c r="M12" s="647">
        <v>0.11649487104238587</v>
      </c>
      <c r="N12" s="647">
        <v>0.11682289588956496</v>
      </c>
      <c r="O12" s="647">
        <v>0.11651509683108108</v>
      </c>
      <c r="P12" s="647">
        <v>0.11027646611802</v>
      </c>
      <c r="Q12" s="301"/>
      <c r="U12" s="245"/>
      <c r="W12" s="253" t="s">
        <v>256</v>
      </c>
      <c r="X12" s="254"/>
      <c r="Y12" s="254"/>
      <c r="Z12" s="539"/>
      <c r="AA12" s="541">
        <f>AA11/Z11-1</f>
        <v>0.11522935601552509</v>
      </c>
      <c r="AB12" s="541">
        <f t="shared" ref="AB12:AH12" si="1">AB11/AA11-1</f>
        <v>0.11282341667392637</v>
      </c>
      <c r="AC12" s="541"/>
      <c r="AD12" s="541">
        <f>AD11/AB11-1</f>
        <v>0.11181969766950339</v>
      </c>
      <c r="AE12" s="541">
        <f t="shared" si="1"/>
        <v>0.11649487104238587</v>
      </c>
      <c r="AF12" s="541">
        <f t="shared" si="1"/>
        <v>0.11682289588956496</v>
      </c>
      <c r="AG12" s="541">
        <f t="shared" si="1"/>
        <v>0.11651509683108108</v>
      </c>
      <c r="AH12" s="541">
        <f t="shared" si="1"/>
        <v>0.11027646611802</v>
      </c>
      <c r="AI12" s="247"/>
    </row>
    <row r="13" spans="2:35" ht="3" customHeight="1">
      <c r="C13" s="300"/>
      <c r="F13" s="277"/>
      <c r="G13" s="277"/>
      <c r="H13" s="648"/>
      <c r="I13" s="648"/>
      <c r="J13" s="648"/>
      <c r="K13" s="648"/>
      <c r="L13" s="648"/>
      <c r="M13" s="648"/>
      <c r="N13" s="648"/>
      <c r="O13" s="648"/>
      <c r="P13" s="648"/>
      <c r="Q13" s="301"/>
      <c r="U13" s="245"/>
      <c r="Z13" s="539"/>
      <c r="AA13" s="539"/>
      <c r="AB13" s="539"/>
      <c r="AC13" s="539"/>
      <c r="AD13" s="539"/>
      <c r="AE13" s="539"/>
      <c r="AF13" s="539"/>
      <c r="AG13" s="539"/>
      <c r="AH13" s="539"/>
      <c r="AI13" s="247"/>
    </row>
    <row r="14" spans="2:35">
      <c r="C14" s="300"/>
      <c r="E14" s="618" t="s">
        <v>257</v>
      </c>
      <c r="F14" s="291"/>
      <c r="H14" s="540">
        <v>531.59000000000015</v>
      </c>
      <c r="I14" s="540">
        <v>678.39999999999964</v>
      </c>
      <c r="J14" s="540">
        <v>789.01999999999953</v>
      </c>
      <c r="K14" s="540"/>
      <c r="L14" s="540">
        <v>861.03964996000013</v>
      </c>
      <c r="M14" s="540">
        <v>968.939735317741</v>
      </c>
      <c r="N14" s="540">
        <v>1085.1070601899119</v>
      </c>
      <c r="O14" s="540">
        <v>1220.0989987954131</v>
      </c>
      <c r="P14" s="540">
        <v>1354.0792578787068</v>
      </c>
      <c r="Q14" s="302"/>
      <c r="U14" s="245"/>
      <c r="W14" s="618" t="s">
        <v>257</v>
      </c>
      <c r="X14" s="96"/>
      <c r="Y14" s="96"/>
      <c r="Z14" s="540">
        <f>Model!H68</f>
        <v>531.59000000000015</v>
      </c>
      <c r="AA14" s="540">
        <f>Model!I68</f>
        <v>678.39999999999964</v>
      </c>
      <c r="AB14" s="540">
        <f>Model!J68</f>
        <v>789.01999999999953</v>
      </c>
      <c r="AC14" s="540"/>
      <c r="AD14" s="540">
        <f>Model!K68</f>
        <v>861.03964996000013</v>
      </c>
      <c r="AE14" s="540">
        <f>Model!L68</f>
        <v>968.939735317741</v>
      </c>
      <c r="AF14" s="540">
        <f>Model!M68</f>
        <v>1085.1070601899119</v>
      </c>
      <c r="AG14" s="540">
        <f>Model!N68</f>
        <v>1220.0989987954131</v>
      </c>
      <c r="AH14" s="540">
        <f>Model!O68</f>
        <v>1354.0792578787068</v>
      </c>
      <c r="AI14" s="247"/>
    </row>
    <row r="15" spans="2:35">
      <c r="C15" s="300"/>
      <c r="E15" s="253" t="s">
        <v>258</v>
      </c>
      <c r="F15" s="254"/>
      <c r="G15" s="253"/>
      <c r="H15" s="647">
        <v>0.25823014781962417</v>
      </c>
      <c r="I15" s="647">
        <v>0.29549612335569286</v>
      </c>
      <c r="J15" s="647">
        <v>0.30883584753524695</v>
      </c>
      <c r="K15" s="647"/>
      <c r="L15" s="647">
        <v>0.30312969282300806</v>
      </c>
      <c r="M15" s="647">
        <v>0.30552402204602619</v>
      </c>
      <c r="N15" s="647">
        <v>0.30636339725156647</v>
      </c>
      <c r="O15" s="647">
        <v>0.30852812409210822</v>
      </c>
      <c r="P15" s="647">
        <v>0.30839877117591441</v>
      </c>
      <c r="Q15" s="303"/>
      <c r="U15" s="245"/>
      <c r="W15" s="253" t="s">
        <v>258</v>
      </c>
      <c r="X15" s="254"/>
      <c r="Y15" s="254"/>
      <c r="Z15" s="630">
        <f>Z14/Z11</f>
        <v>0.25823014781962417</v>
      </c>
      <c r="AA15" s="630">
        <f t="shared" ref="AA15:AB15" si="2">AA14/AA11</f>
        <v>0.29549612335569286</v>
      </c>
      <c r="AB15" s="630">
        <f t="shared" si="2"/>
        <v>0.30883584753524695</v>
      </c>
      <c r="AC15" s="541"/>
      <c r="AD15" s="630">
        <f t="shared" ref="AD15" si="3">AD14/AD11</f>
        <v>0.30312969282300806</v>
      </c>
      <c r="AE15" s="630">
        <f t="shared" ref="AE15" si="4">AE14/AE11</f>
        <v>0.30552402204602619</v>
      </c>
      <c r="AF15" s="630">
        <f t="shared" ref="AF15" si="5">AF14/AF11</f>
        <v>0.30636339725156647</v>
      </c>
      <c r="AG15" s="630">
        <f t="shared" ref="AG15" si="6">AG14/AG11</f>
        <v>0.30852812409210822</v>
      </c>
      <c r="AH15" s="630">
        <f t="shared" ref="AH15" si="7">AH14/AH11</f>
        <v>0.30839877117591441</v>
      </c>
      <c r="AI15" s="247"/>
    </row>
    <row r="16" spans="2:35" ht="2.4" customHeight="1">
      <c r="C16" s="300"/>
      <c r="F16" s="254"/>
      <c r="G16" s="253"/>
      <c r="H16" s="649"/>
      <c r="I16" s="647"/>
      <c r="J16" s="647"/>
      <c r="K16" s="647"/>
      <c r="L16" s="647"/>
      <c r="M16" s="647"/>
      <c r="N16" s="647"/>
      <c r="O16" s="647"/>
      <c r="P16" s="647"/>
      <c r="Q16" s="303"/>
      <c r="U16" s="245"/>
      <c r="Z16" s="539"/>
      <c r="AA16" s="539"/>
      <c r="AB16" s="539"/>
      <c r="AC16" s="539"/>
      <c r="AD16" s="539"/>
      <c r="AE16" s="539"/>
      <c r="AF16" s="539"/>
      <c r="AG16" s="539"/>
      <c r="AH16" s="539"/>
      <c r="AI16" s="247"/>
    </row>
    <row r="17" spans="3:35">
      <c r="C17" s="300"/>
      <c r="E17" s="618" t="s">
        <v>259</v>
      </c>
      <c r="F17" s="277"/>
      <c r="G17" s="631"/>
      <c r="H17" s="540">
        <v>241.12000000000012</v>
      </c>
      <c r="I17" s="540">
        <v>362.29999999999961</v>
      </c>
      <c r="J17" s="540">
        <v>492.24999999999966</v>
      </c>
      <c r="K17" s="540"/>
      <c r="L17" s="540">
        <v>528.81096474272738</v>
      </c>
      <c r="M17" s="540">
        <v>598.80477876103305</v>
      </c>
      <c r="N17" s="540">
        <v>673.49902241516122</v>
      </c>
      <c r="O17" s="540">
        <v>759.72422636928718</v>
      </c>
      <c r="P17" s="540">
        <v>867.643284318121</v>
      </c>
      <c r="Q17" s="301"/>
      <c r="U17" s="245"/>
      <c r="W17" s="618" t="s">
        <v>259</v>
      </c>
      <c r="Z17" s="540">
        <f>Model!H80</f>
        <v>241.12000000000012</v>
      </c>
      <c r="AA17" s="540">
        <f>Model!I80</f>
        <v>362.29999999999961</v>
      </c>
      <c r="AB17" s="540">
        <f>Model!J80</f>
        <v>492.24999999999966</v>
      </c>
      <c r="AC17" s="540"/>
      <c r="AD17" s="540">
        <f>Model!K80</f>
        <v>528.81096474272738</v>
      </c>
      <c r="AE17" s="540">
        <f>Model!L80</f>
        <v>598.80477876103305</v>
      </c>
      <c r="AF17" s="540">
        <f>Model!M80</f>
        <v>673.49902241516122</v>
      </c>
      <c r="AG17" s="540">
        <f>Model!N80</f>
        <v>759.55547636928702</v>
      </c>
      <c r="AH17" s="540">
        <f>Model!O80</f>
        <v>867.643284318121</v>
      </c>
      <c r="AI17" s="247"/>
    </row>
    <row r="18" spans="3:35">
      <c r="C18" s="300"/>
      <c r="E18" s="253" t="s">
        <v>258</v>
      </c>
      <c r="F18" s="291"/>
      <c r="H18" s="647">
        <v>0.11712871431416653</v>
      </c>
      <c r="I18" s="647">
        <v>0.15780991375555348</v>
      </c>
      <c r="J18" s="647">
        <v>0.19267502211506082</v>
      </c>
      <c r="K18" s="647"/>
      <c r="L18" s="647">
        <v>0.18616832025255536</v>
      </c>
      <c r="M18" s="647">
        <v>0.18881385266696468</v>
      </c>
      <c r="N18" s="647">
        <v>0.19015215744389827</v>
      </c>
      <c r="O18" s="647">
        <v>0.19211251760755527</v>
      </c>
      <c r="P18" s="647">
        <v>0.19806304815613598</v>
      </c>
      <c r="Q18" s="302"/>
      <c r="U18" s="245"/>
      <c r="W18" s="253" t="s">
        <v>258</v>
      </c>
      <c r="X18" s="254"/>
      <c r="Y18" s="254"/>
      <c r="Z18" s="541">
        <f>Z17/Z11</f>
        <v>0.11712871431416653</v>
      </c>
      <c r="AA18" s="541">
        <f t="shared" ref="AA18:AB18" si="8">AA17/AA11</f>
        <v>0.15780991375555348</v>
      </c>
      <c r="AB18" s="541">
        <f t="shared" si="8"/>
        <v>0.19267502211506082</v>
      </c>
      <c r="AC18" s="541"/>
      <c r="AD18" s="541">
        <f t="shared" ref="AD18" si="9">AD17/AD11</f>
        <v>0.18616832025255536</v>
      </c>
      <c r="AE18" s="541">
        <f t="shared" ref="AE18" si="10">AE17/AE11</f>
        <v>0.18881385266696468</v>
      </c>
      <c r="AF18" s="541">
        <f t="shared" ref="AF18" si="11">AF17/AF11</f>
        <v>0.19015215744389827</v>
      </c>
      <c r="AG18" s="541">
        <f t="shared" ref="AG18" si="12">AG17/AG11</f>
        <v>0.19206984556127704</v>
      </c>
      <c r="AH18" s="541">
        <f t="shared" ref="AH18" si="13">AH17/AH11</f>
        <v>0.19761038443342868</v>
      </c>
      <c r="AI18" s="247"/>
    </row>
    <row r="19" spans="3:35" ht="3" customHeight="1">
      <c r="C19" s="300"/>
      <c r="E19" s="253"/>
      <c r="F19" s="279"/>
      <c r="G19" s="253"/>
      <c r="H19" s="649"/>
      <c r="I19" s="647"/>
      <c r="J19" s="647"/>
      <c r="K19" s="647"/>
      <c r="L19" s="647"/>
      <c r="M19" s="647"/>
      <c r="N19" s="647"/>
      <c r="O19" s="647"/>
      <c r="P19" s="647"/>
      <c r="Q19" s="302"/>
      <c r="U19" s="245"/>
      <c r="W19" s="253"/>
      <c r="X19" s="254"/>
      <c r="Y19" s="254"/>
      <c r="Z19" s="541"/>
      <c r="AA19" s="541"/>
      <c r="AB19" s="541"/>
      <c r="AC19" s="541"/>
      <c r="AD19" s="541"/>
      <c r="AE19" s="541"/>
      <c r="AF19" s="541"/>
      <c r="AG19" s="541"/>
      <c r="AH19" s="541"/>
      <c r="AI19" s="247"/>
    </row>
    <row r="20" spans="3:35">
      <c r="C20" s="300"/>
      <c r="D20" s="632"/>
      <c r="E20" s="624" t="s">
        <v>275</v>
      </c>
      <c r="F20" s="633">
        <v>3057.721888107445</v>
      </c>
      <c r="G20" s="625"/>
      <c r="H20" s="626" t="s">
        <v>276</v>
      </c>
      <c r="I20" s="627"/>
      <c r="J20" s="633">
        <v>25562.554984578237</v>
      </c>
      <c r="K20" s="628"/>
      <c r="L20" s="626" t="s">
        <v>277</v>
      </c>
      <c r="M20" s="627"/>
      <c r="N20" s="627"/>
      <c r="O20" s="633">
        <v>24569.980440569652</v>
      </c>
      <c r="P20" s="623"/>
      <c r="Q20" s="302"/>
      <c r="U20" s="245"/>
      <c r="W20" s="629" t="s">
        <v>275</v>
      </c>
      <c r="X20" s="634">
        <f>Valuation!M44</f>
        <v>3057.7769077703938</v>
      </c>
      <c r="Y20" s="619"/>
      <c r="Z20" s="621" t="s">
        <v>276</v>
      </c>
      <c r="AA20" s="622"/>
      <c r="AB20" s="634">
        <f>Valuation!M42</f>
        <v>25563.014948960492</v>
      </c>
      <c r="AC20" s="623"/>
      <c r="AD20" s="621" t="s">
        <v>277</v>
      </c>
      <c r="AE20" s="622"/>
      <c r="AF20" s="622"/>
      <c r="AG20" s="634">
        <f>Valuation!M38</f>
        <v>24570.440404951907</v>
      </c>
      <c r="AH20" s="620"/>
      <c r="AI20" s="247"/>
    </row>
    <row r="21" spans="3:35" ht="3.9" customHeight="1">
      <c r="C21" s="304"/>
      <c r="D21" s="305"/>
      <c r="E21" s="306"/>
      <c r="F21" s="305"/>
      <c r="G21" s="305"/>
      <c r="H21" s="305"/>
      <c r="I21" s="305"/>
      <c r="J21" s="305"/>
      <c r="K21" s="305"/>
      <c r="L21" s="305"/>
      <c r="M21" s="305"/>
      <c r="N21" s="305"/>
      <c r="O21" s="305"/>
      <c r="P21" s="305"/>
      <c r="Q21" s="307"/>
      <c r="U21" s="255"/>
      <c r="V21" s="246"/>
      <c r="W21" s="246"/>
      <c r="X21" s="246"/>
      <c r="Y21" s="246"/>
      <c r="Z21" s="246"/>
      <c r="AA21" s="246"/>
      <c r="AB21" s="246"/>
      <c r="AC21" s="246"/>
      <c r="AD21" s="246"/>
      <c r="AE21" s="246"/>
      <c r="AF21" s="246"/>
      <c r="AG21" s="246"/>
      <c r="AH21" s="246"/>
      <c r="AI21" s="256"/>
    </row>
    <row r="22" spans="3:35" ht="9.9" customHeight="1"/>
    <row r="23" spans="3:35" ht="15" customHeight="1">
      <c r="C23" s="243" t="s">
        <v>109</v>
      </c>
      <c r="D23" s="244"/>
      <c r="E23" s="244"/>
      <c r="F23" s="244"/>
      <c r="G23" s="244"/>
      <c r="H23" s="242"/>
      <c r="I23" s="242"/>
      <c r="J23" s="242"/>
      <c r="K23" s="242"/>
      <c r="L23" s="242"/>
      <c r="M23" s="242"/>
      <c r="N23" s="242"/>
      <c r="O23" s="242"/>
      <c r="P23" s="242"/>
      <c r="Q23" s="242"/>
    </row>
    <row r="24" spans="3:35" s="259" customFormat="1" ht="15" customHeight="1">
      <c r="C24" s="292"/>
      <c r="D24" s="293"/>
      <c r="E24" s="293"/>
      <c r="F24" s="293"/>
      <c r="G24" s="293"/>
      <c r="H24" s="294"/>
      <c r="I24" s="294"/>
      <c r="J24" s="294"/>
      <c r="K24" s="294"/>
      <c r="L24" s="295" t="s">
        <v>1</v>
      </c>
      <c r="M24" s="296"/>
      <c r="N24" s="296"/>
      <c r="O24" s="296"/>
      <c r="P24" s="296"/>
      <c r="Q24" s="308"/>
    </row>
    <row r="25" spans="3:35" s="259" customFormat="1" ht="15" customHeight="1">
      <c r="C25" s="298"/>
      <c r="D25" s="538"/>
      <c r="E25" s="288"/>
      <c r="F25" s="287" t="s">
        <v>114</v>
      </c>
      <c r="G25" s="288"/>
      <c r="H25" s="289">
        <f>H7</f>
        <v>2023</v>
      </c>
      <c r="I25" s="289">
        <f>I7</f>
        <v>2024</v>
      </c>
      <c r="J25" s="289">
        <f>J7</f>
        <v>2025</v>
      </c>
      <c r="K25" s="289"/>
      <c r="L25" s="673">
        <f>L7</f>
        <v>2026</v>
      </c>
      <c r="M25" s="673">
        <f>M7</f>
        <v>2027</v>
      </c>
      <c r="N25" s="673">
        <f>N7</f>
        <v>2028</v>
      </c>
      <c r="O25" s="673">
        <f>O7</f>
        <v>2029</v>
      </c>
      <c r="P25" s="673">
        <f>P7</f>
        <v>2030</v>
      </c>
      <c r="Q25" s="309"/>
    </row>
    <row r="26" spans="3:35" ht="3" customHeight="1">
      <c r="C26" s="319"/>
      <c r="D26" s="320"/>
      <c r="E26" s="320"/>
      <c r="F26" s="320"/>
      <c r="G26" s="320"/>
      <c r="H26" s="321"/>
      <c r="I26" s="321"/>
      <c r="J26" s="322"/>
      <c r="K26" s="322"/>
      <c r="L26" s="323"/>
      <c r="M26" s="323"/>
      <c r="N26" s="323"/>
      <c r="O26" s="323"/>
      <c r="P26" s="323"/>
      <c r="Q26" s="324"/>
    </row>
    <row r="27" spans="3:35" ht="12.9" customHeight="1">
      <c r="C27" s="300"/>
      <c r="D27" s="250" t="s">
        <v>92</v>
      </c>
      <c r="Q27" s="301"/>
    </row>
    <row r="28" spans="3:35" ht="3" customHeight="1">
      <c r="C28" s="300"/>
      <c r="D28" s="250"/>
      <c r="Q28" s="301"/>
    </row>
    <row r="29" spans="3:35">
      <c r="C29" s="300"/>
      <c r="E29" s="618" t="s">
        <v>255</v>
      </c>
      <c r="F29" s="291"/>
      <c r="H29" s="540">
        <v>2058.59</v>
      </c>
      <c r="I29" s="540">
        <v>2295.7999999999997</v>
      </c>
      <c r="J29" s="540">
        <v>2554.8199999999997</v>
      </c>
      <c r="K29" s="540"/>
      <c r="L29" s="540">
        <v>2930.0496896</v>
      </c>
      <c r="M29" s="540">
        <v>3285.5119385840003</v>
      </c>
      <c r="N29" s="540">
        <v>3688.6386756424545</v>
      </c>
      <c r="O29" s="540">
        <v>4146.1953167195497</v>
      </c>
      <c r="P29" s="540">
        <v>4634.3059320349548</v>
      </c>
      <c r="Q29" s="301"/>
      <c r="X29" s="251"/>
      <c r="Y29" s="251"/>
      <c r="Z29" s="252"/>
      <c r="AA29" s="252"/>
      <c r="AB29" s="252"/>
      <c r="AC29" s="252"/>
      <c r="AD29" s="252"/>
      <c r="AE29" s="252"/>
      <c r="AF29" s="252"/>
      <c r="AG29" s="252"/>
      <c r="AH29" s="252"/>
    </row>
    <row r="30" spans="3:35">
      <c r="C30" s="300"/>
      <c r="E30" s="253" t="s">
        <v>256</v>
      </c>
      <c r="F30" s="254"/>
      <c r="G30" s="253"/>
      <c r="H30" s="646"/>
      <c r="I30" s="647">
        <v>0.11522935601552509</v>
      </c>
      <c r="J30" s="647">
        <v>0.11282341667392637</v>
      </c>
      <c r="K30" s="647"/>
      <c r="L30" s="647">
        <v>0.14687128236040126</v>
      </c>
      <c r="M30" s="647">
        <v>0.1213161163258385</v>
      </c>
      <c r="N30" s="647">
        <v>0.12269830230237888</v>
      </c>
      <c r="O30" s="647">
        <v>0.12404485267112864</v>
      </c>
      <c r="P30" s="647">
        <v>0.1177249449265203</v>
      </c>
      <c r="Q30" s="301"/>
      <c r="W30" s="257"/>
      <c r="X30" s="251"/>
      <c r="Y30" s="251"/>
      <c r="AA30" s="162"/>
      <c r="AB30" s="162"/>
      <c r="AC30" s="162"/>
      <c r="AD30" s="162"/>
      <c r="AE30" s="162"/>
      <c r="AF30" s="162"/>
      <c r="AG30" s="162"/>
      <c r="AH30" s="162"/>
    </row>
    <row r="31" spans="3:35" ht="3" customHeight="1">
      <c r="C31" s="300"/>
      <c r="F31" s="277"/>
      <c r="G31" s="277"/>
      <c r="H31" s="648"/>
      <c r="I31" s="648"/>
      <c r="J31" s="648"/>
      <c r="K31" s="648"/>
      <c r="L31" s="648"/>
      <c r="M31" s="648"/>
      <c r="N31" s="648"/>
      <c r="O31" s="648"/>
      <c r="P31" s="648"/>
      <c r="Q31" s="301"/>
    </row>
    <row r="32" spans="3:35">
      <c r="C32" s="300"/>
      <c r="E32" s="618" t="s">
        <v>257</v>
      </c>
      <c r="F32" s="291"/>
      <c r="H32" s="540">
        <v>531.59000000000015</v>
      </c>
      <c r="I32" s="540">
        <v>678.39999999999964</v>
      </c>
      <c r="J32" s="540">
        <v>789.01999999999953</v>
      </c>
      <c r="K32" s="540"/>
      <c r="L32" s="540">
        <v>903.28014187648023</v>
      </c>
      <c r="M32" s="540">
        <v>1023.241743005623</v>
      </c>
      <c r="N32" s="540">
        <v>1153.4986555826763</v>
      </c>
      <c r="O32" s="540">
        <v>1310.479775379074</v>
      </c>
      <c r="P32" s="540">
        <v>1471.6257607213761</v>
      </c>
      <c r="Q32" s="302"/>
      <c r="X32" s="251"/>
      <c r="Y32" s="251"/>
      <c r="Z32" s="252"/>
      <c r="AA32" s="252"/>
      <c r="AB32" s="252"/>
      <c r="AC32" s="252"/>
      <c r="AD32" s="252"/>
      <c r="AE32" s="252"/>
      <c r="AF32" s="252"/>
      <c r="AG32" s="252"/>
      <c r="AH32" s="252"/>
    </row>
    <row r="33" spans="3:34">
      <c r="C33" s="300"/>
      <c r="E33" s="253" t="s">
        <v>258</v>
      </c>
      <c r="F33" s="254"/>
      <c r="G33" s="253"/>
      <c r="H33" s="647">
        <v>0.25823014781962417</v>
      </c>
      <c r="I33" s="647">
        <v>0.29549612335569286</v>
      </c>
      <c r="J33" s="647">
        <v>0.30883584753524695</v>
      </c>
      <c r="K33" s="647"/>
      <c r="L33" s="647">
        <v>0.30828150972408691</v>
      </c>
      <c r="M33" s="647">
        <v>0.31144057977358097</v>
      </c>
      <c r="N33" s="647">
        <v>0.31271662990460025</v>
      </c>
      <c r="O33" s="647">
        <v>0.31606802749850177</v>
      </c>
      <c r="P33" s="647">
        <v>0.3175504125760587</v>
      </c>
      <c r="Q33" s="303"/>
      <c r="W33" s="257"/>
      <c r="X33" s="251"/>
      <c r="Y33" s="251"/>
      <c r="AA33" s="162"/>
      <c r="AB33" s="162"/>
      <c r="AC33" s="162"/>
      <c r="AD33" s="162"/>
      <c r="AE33" s="162"/>
      <c r="AF33" s="162"/>
      <c r="AG33" s="162"/>
      <c r="AH33" s="162"/>
    </row>
    <row r="34" spans="3:34" ht="3" customHeight="1">
      <c r="C34" s="300"/>
      <c r="F34" s="254"/>
      <c r="G34" s="253"/>
      <c r="H34" s="649"/>
      <c r="I34" s="647"/>
      <c r="J34" s="647"/>
      <c r="K34" s="647"/>
      <c r="L34" s="647"/>
      <c r="M34" s="647"/>
      <c r="N34" s="647"/>
      <c r="O34" s="647"/>
      <c r="P34" s="647"/>
      <c r="Q34" s="301"/>
    </row>
    <row r="35" spans="3:34">
      <c r="C35" s="300"/>
      <c r="E35" s="618" t="s">
        <v>259</v>
      </c>
      <c r="F35" s="277"/>
      <c r="G35" s="631"/>
      <c r="H35" s="540">
        <v>241.12000000000012</v>
      </c>
      <c r="I35" s="540">
        <v>362.29999999999961</v>
      </c>
      <c r="J35" s="540">
        <v>492.24999999999966</v>
      </c>
      <c r="K35" s="540"/>
      <c r="L35" s="540">
        <v>560.49133368008745</v>
      </c>
      <c r="M35" s="540">
        <v>639.53128452694455</v>
      </c>
      <c r="N35" s="540">
        <v>724.79271895973454</v>
      </c>
      <c r="O35" s="540">
        <v>827.34105880703271</v>
      </c>
      <c r="P35" s="540">
        <v>955.80316145012284</v>
      </c>
      <c r="Q35" s="302"/>
      <c r="X35" s="251"/>
      <c r="Y35" s="251"/>
      <c r="Z35" s="258"/>
      <c r="AA35" s="258"/>
      <c r="AB35" s="258"/>
      <c r="AC35" s="258"/>
      <c r="AD35" s="252"/>
      <c r="AE35" s="252"/>
      <c r="AF35" s="252"/>
      <c r="AG35" s="252"/>
      <c r="AH35" s="252"/>
    </row>
    <row r="36" spans="3:34">
      <c r="C36" s="300"/>
      <c r="E36" s="253" t="s">
        <v>258</v>
      </c>
      <c r="F36" s="291"/>
      <c r="H36" s="647">
        <v>0.11712871431416653</v>
      </c>
      <c r="I36" s="647">
        <v>0.15780991375555348</v>
      </c>
      <c r="J36" s="647">
        <v>0.19267502211506082</v>
      </c>
      <c r="K36" s="647"/>
      <c r="L36" s="647">
        <v>0.19129072645747647</v>
      </c>
      <c r="M36" s="647">
        <v>0.19465194358799731</v>
      </c>
      <c r="N36" s="647">
        <v>0.19649328185648235</v>
      </c>
      <c r="O36" s="647">
        <v>0.19954222982954431</v>
      </c>
      <c r="P36" s="647">
        <v>0.20624515849138669</v>
      </c>
      <c r="Q36" s="302"/>
      <c r="X36" s="251"/>
      <c r="Y36" s="251"/>
      <c r="Z36" s="258"/>
      <c r="AA36" s="258"/>
      <c r="AB36" s="258"/>
      <c r="AC36" s="258"/>
      <c r="AD36" s="252"/>
      <c r="AE36" s="252"/>
      <c r="AF36" s="252"/>
      <c r="AG36" s="252"/>
      <c r="AH36" s="252"/>
    </row>
    <row r="37" spans="3:34" ht="3" customHeight="1">
      <c r="C37" s="300"/>
      <c r="E37" s="253"/>
      <c r="F37" s="279"/>
      <c r="G37" s="253"/>
      <c r="H37" s="649"/>
      <c r="I37" s="647"/>
      <c r="J37" s="647"/>
      <c r="K37" s="647"/>
      <c r="L37" s="647"/>
      <c r="M37" s="647"/>
      <c r="N37" s="647"/>
      <c r="O37" s="647"/>
      <c r="P37" s="647"/>
      <c r="Q37" s="302"/>
      <c r="X37" s="251"/>
      <c r="Y37" s="251"/>
      <c r="Z37" s="258"/>
      <c r="AA37" s="258"/>
      <c r="AB37" s="258"/>
      <c r="AC37" s="258"/>
      <c r="AD37" s="252"/>
      <c r="AE37" s="252"/>
      <c r="AF37" s="252"/>
      <c r="AG37" s="252"/>
      <c r="AH37" s="252"/>
    </row>
    <row r="38" spans="3:34">
      <c r="C38" s="300"/>
      <c r="D38" s="632"/>
      <c r="E38" s="624" t="s">
        <v>275</v>
      </c>
      <c r="F38" s="633">
        <v>3305.2203915870259</v>
      </c>
      <c r="G38" s="625"/>
      <c r="H38" s="626" t="s">
        <v>276</v>
      </c>
      <c r="I38" s="627"/>
      <c r="J38" s="633">
        <v>27631.642473667536</v>
      </c>
      <c r="K38" s="628"/>
      <c r="L38" s="626" t="s">
        <v>277</v>
      </c>
      <c r="M38" s="627"/>
      <c r="N38" s="627"/>
      <c r="O38" s="633">
        <v>26637.021401535018</v>
      </c>
      <c r="P38" s="623"/>
      <c r="Q38" s="302"/>
      <c r="X38" s="251"/>
      <c r="Y38" s="251"/>
      <c r="Z38" s="258"/>
      <c r="AA38" s="258"/>
      <c r="AB38" s="258"/>
      <c r="AC38" s="258"/>
      <c r="AD38" s="252"/>
      <c r="AE38" s="252"/>
      <c r="AF38" s="252"/>
      <c r="AG38" s="252"/>
      <c r="AH38" s="252"/>
    </row>
    <row r="39" spans="3:34" ht="3.9" customHeight="1">
      <c r="C39" s="304"/>
      <c r="D39" s="305"/>
      <c r="E39" s="305"/>
      <c r="F39" s="305"/>
      <c r="G39" s="305"/>
      <c r="H39" s="305"/>
      <c r="I39" s="305"/>
      <c r="J39" s="305"/>
      <c r="K39" s="305"/>
      <c r="L39" s="305"/>
      <c r="M39" s="305"/>
      <c r="N39" s="305"/>
      <c r="O39" s="305"/>
      <c r="P39" s="305"/>
      <c r="Q39" s="307"/>
    </row>
    <row r="40" spans="3:34" ht="9.9" customHeight="1"/>
    <row r="41" spans="3:34" ht="15" customHeight="1">
      <c r="C41" s="243" t="s">
        <v>96</v>
      </c>
      <c r="D41" s="244"/>
      <c r="E41" s="244"/>
      <c r="F41" s="244"/>
      <c r="G41" s="244"/>
      <c r="H41" s="242"/>
      <c r="I41" s="242"/>
      <c r="J41" s="242"/>
      <c r="K41" s="242"/>
      <c r="L41" s="242"/>
      <c r="M41" s="242"/>
      <c r="N41" s="242"/>
      <c r="O41" s="242"/>
      <c r="P41" s="242"/>
      <c r="Q41" s="242"/>
    </row>
    <row r="42" spans="3:34" s="259" customFormat="1" ht="15" customHeight="1">
      <c r="C42" s="292"/>
      <c r="D42" s="293"/>
      <c r="E42" s="293"/>
      <c r="F42" s="293"/>
      <c r="G42" s="293"/>
      <c r="H42" s="294"/>
      <c r="I42" s="294"/>
      <c r="J42" s="294"/>
      <c r="K42" s="294"/>
      <c r="L42" s="653" t="s">
        <v>1</v>
      </c>
      <c r="M42" s="654"/>
      <c r="N42" s="654"/>
      <c r="O42" s="654"/>
      <c r="P42" s="654"/>
      <c r="Q42" s="308"/>
    </row>
    <row r="43" spans="3:34" s="259" customFormat="1" ht="15" customHeight="1">
      <c r="C43" s="298"/>
      <c r="D43" s="655"/>
      <c r="E43" s="656"/>
      <c r="F43" s="657" t="s">
        <v>114</v>
      </c>
      <c r="G43" s="656"/>
      <c r="H43" s="658">
        <f>H25</f>
        <v>2023</v>
      </c>
      <c r="I43" s="658">
        <f t="shared" ref="I43:P43" si="14">I25</f>
        <v>2024</v>
      </c>
      <c r="J43" s="658">
        <f t="shared" si="14"/>
        <v>2025</v>
      </c>
      <c r="K43" s="658"/>
      <c r="L43" s="673">
        <f t="shared" si="14"/>
        <v>2026</v>
      </c>
      <c r="M43" s="673">
        <f t="shared" si="14"/>
        <v>2027</v>
      </c>
      <c r="N43" s="673">
        <f t="shared" si="14"/>
        <v>2028</v>
      </c>
      <c r="O43" s="673">
        <f t="shared" si="14"/>
        <v>2029</v>
      </c>
      <c r="P43" s="673">
        <f t="shared" si="14"/>
        <v>2030</v>
      </c>
      <c r="Q43" s="309"/>
    </row>
    <row r="44" spans="3:34" ht="3" customHeight="1">
      <c r="C44" s="319"/>
      <c r="D44" s="320"/>
      <c r="E44" s="320"/>
      <c r="F44" s="320"/>
      <c r="G44" s="320"/>
      <c r="H44" s="321"/>
      <c r="I44" s="321"/>
      <c r="J44" s="322"/>
      <c r="K44" s="322"/>
      <c r="L44" s="323"/>
      <c r="M44" s="323"/>
      <c r="N44" s="323"/>
      <c r="O44" s="323"/>
      <c r="P44" s="323"/>
      <c r="Q44" s="324"/>
      <c r="Z44" s="259"/>
      <c r="AA44" s="259"/>
      <c r="AB44" s="259"/>
      <c r="AC44" s="259"/>
      <c r="AD44" s="259"/>
      <c r="AE44" s="259"/>
      <c r="AF44" s="259"/>
      <c r="AG44" s="259"/>
      <c r="AH44" s="259"/>
    </row>
    <row r="45" spans="3:34" ht="12.9" customHeight="1">
      <c r="C45" s="300"/>
      <c r="D45" s="250" t="s">
        <v>92</v>
      </c>
      <c r="Q45" s="301"/>
      <c r="Z45" s="259"/>
      <c r="AA45" s="259"/>
      <c r="AB45" s="259"/>
      <c r="AC45" s="259"/>
      <c r="AD45" s="259"/>
      <c r="AE45" s="259"/>
      <c r="AF45" s="259"/>
      <c r="AG45" s="259"/>
      <c r="AH45" s="259"/>
    </row>
    <row r="46" spans="3:34" ht="3" customHeight="1">
      <c r="C46" s="300"/>
      <c r="D46" s="250"/>
      <c r="Q46" s="301"/>
      <c r="Z46" s="259"/>
      <c r="AA46" s="259"/>
      <c r="AB46" s="259"/>
      <c r="AC46" s="259"/>
      <c r="AD46" s="259"/>
      <c r="AE46" s="259"/>
      <c r="AF46" s="259"/>
      <c r="AG46" s="259"/>
      <c r="AH46" s="259"/>
    </row>
    <row r="47" spans="3:34">
      <c r="C47" s="300"/>
      <c r="E47" s="618" t="s">
        <v>260</v>
      </c>
      <c r="F47" s="291"/>
      <c r="H47" s="540">
        <v>2058.59</v>
      </c>
      <c r="I47" s="540">
        <v>2295.7999999999997</v>
      </c>
      <c r="J47" s="540">
        <v>2554.8199999999997</v>
      </c>
      <c r="K47" s="540"/>
      <c r="L47" s="540">
        <v>2734.6151359999999</v>
      </c>
      <c r="M47" s="540">
        <v>3018.9115848500001</v>
      </c>
      <c r="N47" s="540">
        <v>3327.6010769748805</v>
      </c>
      <c r="O47" s="540">
        <v>3671.5739825184187</v>
      </c>
      <c r="P47" s="540">
        <v>4025.3294313987849</v>
      </c>
      <c r="Q47" s="301"/>
      <c r="X47" s="251"/>
      <c r="Y47" s="251"/>
      <c r="Z47" s="259"/>
      <c r="AA47" s="259"/>
      <c r="AB47" s="259"/>
      <c r="AC47" s="259"/>
      <c r="AD47" s="259"/>
      <c r="AE47" s="259"/>
      <c r="AF47" s="259"/>
      <c r="AG47" s="259"/>
      <c r="AH47" s="259"/>
    </row>
    <row r="48" spans="3:34">
      <c r="C48" s="300"/>
      <c r="E48" s="253" t="s">
        <v>261</v>
      </c>
      <c r="F48" s="254"/>
      <c r="G48" s="253"/>
      <c r="H48" s="646"/>
      <c r="I48" s="647">
        <v>0.11522935601552509</v>
      </c>
      <c r="J48" s="647">
        <v>0.11282341667392637</v>
      </c>
      <c r="K48" s="647"/>
      <c r="L48" s="647">
        <v>7.037487415943211E-2</v>
      </c>
      <c r="M48" s="647">
        <v>0.10396214264572845</v>
      </c>
      <c r="N48" s="647">
        <v>0.10225191544992462</v>
      </c>
      <c r="O48" s="647">
        <v>0.10336963403565291</v>
      </c>
      <c r="P48" s="647">
        <v>9.6349808165302697E-2</v>
      </c>
      <c r="Q48" s="301"/>
      <c r="W48" s="257"/>
      <c r="X48" s="251"/>
      <c r="Y48" s="251"/>
      <c r="Z48" s="259"/>
      <c r="AA48" s="259"/>
      <c r="AB48" s="259"/>
      <c r="AC48" s="259"/>
      <c r="AD48" s="259"/>
      <c r="AE48" s="259"/>
      <c r="AF48" s="259"/>
      <c r="AG48" s="259"/>
      <c r="AH48" s="259"/>
    </row>
    <row r="49" spans="2:34" ht="3" customHeight="1">
      <c r="C49" s="300"/>
      <c r="F49" s="277"/>
      <c r="G49" s="277"/>
      <c r="H49" s="648"/>
      <c r="I49" s="648"/>
      <c r="J49" s="648"/>
      <c r="K49" s="648"/>
      <c r="L49" s="648"/>
      <c r="M49" s="648"/>
      <c r="N49" s="648"/>
      <c r="O49" s="648"/>
      <c r="P49" s="648"/>
      <c r="Q49" s="301"/>
      <c r="Z49" s="259"/>
      <c r="AA49" s="259"/>
      <c r="AB49" s="259"/>
      <c r="AC49" s="259"/>
      <c r="AD49" s="259"/>
      <c r="AE49" s="259"/>
      <c r="AF49" s="259"/>
      <c r="AG49" s="259"/>
      <c r="AH49" s="259"/>
    </row>
    <row r="50" spans="2:34">
      <c r="C50" s="300"/>
      <c r="E50" s="618" t="s">
        <v>262</v>
      </c>
      <c r="F50" s="291"/>
      <c r="H50" s="540">
        <v>531.59000000000015</v>
      </c>
      <c r="I50" s="540">
        <v>678.39999999999964</v>
      </c>
      <c r="J50" s="540">
        <v>789.01999999999953</v>
      </c>
      <c r="K50" s="540"/>
      <c r="L50" s="540">
        <v>814.38947747680004</v>
      </c>
      <c r="M50" s="540">
        <v>904.30640098623189</v>
      </c>
      <c r="N50" s="540">
        <v>997.18768311803115</v>
      </c>
      <c r="O50" s="540">
        <v>1106.2720239465057</v>
      </c>
      <c r="P50" s="540">
        <v>1211.5289228871179</v>
      </c>
      <c r="Q50" s="302"/>
      <c r="X50" s="251"/>
      <c r="Y50" s="251"/>
      <c r="Z50" s="259"/>
      <c r="AA50" s="259"/>
      <c r="AB50" s="259"/>
      <c r="AC50" s="259"/>
      <c r="AD50" s="259"/>
      <c r="AE50" s="259"/>
      <c r="AF50" s="259"/>
      <c r="AG50" s="259"/>
      <c r="AH50" s="259"/>
    </row>
    <row r="51" spans="2:34">
      <c r="C51" s="300"/>
      <c r="E51" s="253" t="s">
        <v>263</v>
      </c>
      <c r="F51" s="254"/>
      <c r="G51" s="253"/>
      <c r="H51" s="647">
        <v>0.25823014781962417</v>
      </c>
      <c r="I51" s="647">
        <v>0.29549612335569286</v>
      </c>
      <c r="J51" s="647">
        <v>0.30883584753524695</v>
      </c>
      <c r="K51" s="647"/>
      <c r="L51" s="647">
        <v>0.29780771222821173</v>
      </c>
      <c r="M51" s="647">
        <v>0.29954716313136542</v>
      </c>
      <c r="N51" s="647">
        <v>0.29967164334030499</v>
      </c>
      <c r="O51" s="647">
        <v>0.30130729469536327</v>
      </c>
      <c r="P51" s="647">
        <v>0.30097634082736846</v>
      </c>
      <c r="Q51" s="303"/>
      <c r="W51" s="257"/>
      <c r="X51" s="251"/>
      <c r="Y51" s="251"/>
      <c r="Z51" s="259"/>
      <c r="AA51" s="259"/>
      <c r="AB51" s="259"/>
      <c r="AC51" s="259"/>
      <c r="AD51" s="259"/>
      <c r="AE51" s="259"/>
      <c r="AF51" s="259"/>
      <c r="AG51" s="259"/>
      <c r="AH51" s="259"/>
    </row>
    <row r="52" spans="2:34" ht="3" customHeight="1">
      <c r="C52" s="300"/>
      <c r="F52" s="254"/>
      <c r="G52" s="253"/>
      <c r="H52" s="649"/>
      <c r="I52" s="647"/>
      <c r="J52" s="647"/>
      <c r="K52" s="647"/>
      <c r="L52" s="647"/>
      <c r="M52" s="647"/>
      <c r="N52" s="647"/>
      <c r="O52" s="647"/>
      <c r="P52" s="647"/>
      <c r="Q52" s="301"/>
      <c r="Z52" s="259"/>
      <c r="AA52" s="259"/>
      <c r="AB52" s="259"/>
      <c r="AC52" s="259"/>
      <c r="AD52" s="259"/>
      <c r="AE52" s="259"/>
      <c r="AF52" s="259"/>
      <c r="AG52" s="259"/>
      <c r="AH52" s="259"/>
    </row>
    <row r="53" spans="2:34">
      <c r="C53" s="300"/>
      <c r="E53" s="618" t="s">
        <v>264</v>
      </c>
      <c r="F53" s="277"/>
      <c r="G53" s="631"/>
      <c r="H53" s="540">
        <v>241.12000000000012</v>
      </c>
      <c r="I53" s="540">
        <v>362.29999999999961</v>
      </c>
      <c r="J53" s="540">
        <v>492.24999999999966</v>
      </c>
      <c r="K53" s="540"/>
      <c r="L53" s="540">
        <v>493.82333538032731</v>
      </c>
      <c r="M53" s="540">
        <v>550.32977801240122</v>
      </c>
      <c r="N53" s="540">
        <v>607.55948961125068</v>
      </c>
      <c r="O53" s="540">
        <v>674.35399523260662</v>
      </c>
      <c r="P53" s="540">
        <v>760.73053307442933</v>
      </c>
      <c r="Q53" s="302"/>
      <c r="X53" s="251"/>
      <c r="Y53" s="251"/>
      <c r="Z53" s="259"/>
      <c r="AA53" s="259"/>
      <c r="AB53" s="259"/>
      <c r="AC53" s="259"/>
      <c r="AD53" s="259"/>
      <c r="AE53" s="259"/>
      <c r="AF53" s="259"/>
      <c r="AG53" s="259"/>
      <c r="AH53" s="259"/>
    </row>
    <row r="54" spans="2:34">
      <c r="C54" s="300"/>
      <c r="E54" s="253" t="s">
        <v>263</v>
      </c>
      <c r="F54" s="291"/>
      <c r="H54" s="647">
        <v>0.11712871431416653</v>
      </c>
      <c r="I54" s="647">
        <v>0.15780991375555348</v>
      </c>
      <c r="J54" s="647">
        <v>0.19267502211506082</v>
      </c>
      <c r="K54" s="647"/>
      <c r="L54" s="647">
        <v>0.18058238941171695</v>
      </c>
      <c r="M54" s="647">
        <v>0.18229410254151093</v>
      </c>
      <c r="N54" s="647">
        <v>0.18258182863781933</v>
      </c>
      <c r="O54" s="647">
        <v>0.18366891105651953</v>
      </c>
      <c r="P54" s="647">
        <v>0.18947965528609867</v>
      </c>
      <c r="Q54" s="302"/>
      <c r="X54" s="251"/>
      <c r="Y54" s="251"/>
      <c r="Z54" s="259"/>
      <c r="AA54" s="259"/>
      <c r="AB54" s="259"/>
      <c r="AC54" s="259"/>
      <c r="AD54" s="259"/>
      <c r="AE54" s="259"/>
      <c r="AF54" s="259"/>
      <c r="AG54" s="259"/>
      <c r="AH54" s="259"/>
    </row>
    <row r="55" spans="2:34" ht="3" customHeight="1">
      <c r="C55" s="300"/>
      <c r="E55" s="253"/>
      <c r="F55" s="279"/>
      <c r="G55" s="253"/>
      <c r="H55" s="649"/>
      <c r="I55" s="647"/>
      <c r="J55" s="647"/>
      <c r="K55" s="647"/>
      <c r="L55" s="647"/>
      <c r="M55" s="647"/>
      <c r="N55" s="647"/>
      <c r="O55" s="647"/>
      <c r="P55" s="647"/>
      <c r="Q55" s="302"/>
      <c r="X55" s="251"/>
      <c r="Y55" s="251"/>
      <c r="Z55" s="259"/>
      <c r="AA55" s="259"/>
      <c r="AB55" s="259"/>
      <c r="AC55" s="259"/>
      <c r="AD55" s="259"/>
      <c r="AE55" s="259"/>
      <c r="AF55" s="259"/>
      <c r="AG55" s="259"/>
      <c r="AH55" s="259"/>
    </row>
    <row r="56" spans="2:34">
      <c r="C56" s="300"/>
      <c r="D56" s="632"/>
      <c r="E56" s="624" t="s">
        <v>275</v>
      </c>
      <c r="F56" s="633">
        <v>2756.5322113487423</v>
      </c>
      <c r="G56" s="625"/>
      <c r="H56" s="626" t="s">
        <v>276</v>
      </c>
      <c r="I56" s="627"/>
      <c r="J56" s="633">
        <v>23044.609286875486</v>
      </c>
      <c r="K56" s="628"/>
      <c r="L56" s="626" t="s">
        <v>277</v>
      </c>
      <c r="M56" s="627"/>
      <c r="N56" s="627"/>
      <c r="O56" s="633">
        <v>22055.529975942809</v>
      </c>
      <c r="P56" s="623"/>
      <c r="Q56" s="302"/>
      <c r="X56" s="251"/>
      <c r="Y56" s="251"/>
      <c r="Z56" s="259"/>
      <c r="AA56" s="259"/>
      <c r="AB56" s="259"/>
      <c r="AC56" s="259"/>
      <c r="AD56" s="259"/>
      <c r="AE56" s="259"/>
      <c r="AF56" s="259"/>
      <c r="AG56" s="259"/>
      <c r="AH56" s="259"/>
    </row>
    <row r="57" spans="2:34" ht="3.6" customHeight="1">
      <c r="C57" s="304"/>
      <c r="D57" s="305"/>
      <c r="E57" s="305"/>
      <c r="F57" s="305"/>
      <c r="G57" s="305"/>
      <c r="H57" s="305"/>
      <c r="I57" s="305"/>
      <c r="J57" s="305"/>
      <c r="K57" s="305"/>
      <c r="L57" s="305"/>
      <c r="M57" s="305"/>
      <c r="N57" s="305"/>
      <c r="O57" s="305"/>
      <c r="P57" s="305"/>
      <c r="Q57" s="307"/>
      <c r="Z57" s="259"/>
      <c r="AA57" s="259"/>
      <c r="AB57" s="259"/>
      <c r="AC57" s="259"/>
      <c r="AD57" s="259"/>
      <c r="AE57" s="259"/>
      <c r="AF57" s="259"/>
      <c r="AG57" s="259"/>
      <c r="AH57" s="259"/>
    </row>
    <row r="58" spans="2:34" ht="12" customHeight="1"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246"/>
      <c r="P58" s="246"/>
      <c r="Q58" s="246"/>
      <c r="R58" s="246"/>
      <c r="Z58" s="259"/>
      <c r="AA58" s="259"/>
      <c r="AB58" s="259"/>
      <c r="AC58" s="259"/>
      <c r="AD58" s="259"/>
      <c r="AE58" s="259"/>
      <c r="AF58" s="259"/>
      <c r="AG58" s="259"/>
      <c r="AH58" s="259"/>
    </row>
  </sheetData>
  <printOptions horizontalCentered="1"/>
  <pageMargins left="0.25" right="0.25" top="0.25" bottom="0.25" header="0.25" footer="0.25"/>
  <pageSetup scale="95" orientation="landscape" r:id="rId1"/>
  <headerFooter alignWithMargins="0">
    <oddFooter>&amp;CPage &amp;P of &amp;N</oddFooter>
  </headerFooter>
  <extLst>
    <ext xmlns:x14="http://schemas.microsoft.com/office/spreadsheetml/2009/9/main" uri="{05C60535-1F16-4fd2-B633-F4F36F0B64E0}">
      <x14:sparklineGroups xmlns:xm="http://schemas.microsoft.com/office/excel/2006/main">
        <x14:sparklineGroup lineWeight="1" type="column" displayEmptyCellsAs="gap">
          <x14:colorSeries theme="4"/>
          <x14:colorNegative theme="5"/>
          <x14:colorAxis rgb="FF000000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Summary!L53:P53</xm:f>
              <xm:sqref>F53</xm:sqref>
            </x14:sparkline>
          </x14:sparklines>
        </x14:sparklineGroup>
        <x14:sparklineGroup lineWeight="1" type="column" displayEmptyCellsAs="gap">
          <x14:colorSeries theme="4"/>
          <x14:colorNegative theme="5"/>
          <x14:colorAxis rgb="FF000000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Summary!L50:P50</xm:f>
              <xm:sqref>F50</xm:sqref>
            </x14:sparkline>
          </x14:sparklines>
        </x14:sparklineGroup>
        <x14:sparklineGroup lineWeight="1" type="column" displayEmptyCellsAs="gap">
          <x14:colorSeries theme="4"/>
          <x14:colorNegative theme="5"/>
          <x14:colorAxis rgb="FF000000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Summary!L47:P47</xm:f>
              <xm:sqref>F47</xm:sqref>
            </x14:sparkline>
          </x14:sparklines>
        </x14:sparklineGroup>
        <x14:sparklineGroup lineWeight="1" type="column" displayEmptyCellsAs="gap">
          <x14:colorSeries theme="4"/>
          <x14:colorNegative theme="5"/>
          <x14:colorAxis rgb="FF000000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Summary!L35:P35</xm:f>
              <xm:sqref>F35</xm:sqref>
            </x14:sparkline>
          </x14:sparklines>
        </x14:sparklineGroup>
        <x14:sparklineGroup lineWeight="1" type="column" displayEmptyCellsAs="gap">
          <x14:colorSeries theme="4"/>
          <x14:colorNegative theme="5"/>
          <x14:colorAxis rgb="FF000000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Summary!L32:P32</xm:f>
              <xm:sqref>F32</xm:sqref>
            </x14:sparkline>
          </x14:sparklines>
        </x14:sparklineGroup>
        <x14:sparklineGroup lineWeight="1" type="column" displayEmptyCellsAs="gap">
          <x14:colorSeries theme="4"/>
          <x14:colorNegative theme="5"/>
          <x14:colorAxis rgb="FF000000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Summary!L29:P29</xm:f>
              <xm:sqref>F29</xm:sqref>
            </x14:sparkline>
          </x14:sparklines>
        </x14:sparklineGroup>
        <x14:sparklineGroup type="column" displayEmptyCellsAs="gap">
          <x14:colorSeries theme="4"/>
          <x14:colorNegative theme="5"/>
          <x14:colorAxis rgb="FF000000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Summary!L17:P17</xm:f>
              <xm:sqref>F17</xm:sqref>
            </x14:sparkline>
          </x14:sparklines>
        </x14:sparklineGroup>
        <x14:sparklineGroup lineWeight="1" type="column" displayEmptyCellsAs="gap">
          <x14:colorSeries theme="4"/>
          <x14:colorNegative theme="5"/>
          <x14:colorAxis rgb="FF000000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Summary!L11:P11</xm:f>
              <xm:sqref>F11</xm:sqref>
            </x14:sparkline>
          </x14:sparklines>
        </x14:sparklineGroup>
        <x14:sparklineGroup lineWeight="1" type="column" displayEmptyCellsAs="gap">
          <x14:colorSeries theme="4"/>
          <x14:colorNegative theme="5"/>
          <x14:colorAxis rgb="FF000000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Summary!L14:P14</xm:f>
              <xm:sqref>F14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T81"/>
  <sheetViews>
    <sheetView showGridLines="0" topLeftCell="A4" zoomScaleNormal="100" zoomScaleSheetLayoutView="100" workbookViewId="0">
      <selection activeCell="G9" sqref="G9"/>
    </sheetView>
  </sheetViews>
  <sheetFormatPr defaultColWidth="8.88671875" defaultRowHeight="13.2"/>
  <cols>
    <col min="1" max="1" width="2.5546875" customWidth="1"/>
    <col min="2" max="2" width="5.5546875" customWidth="1"/>
    <col min="3" max="3" width="2.109375" customWidth="1"/>
    <col min="4" max="4" width="13.44140625" customWidth="1"/>
    <col min="5" max="5" width="10.44140625" customWidth="1"/>
    <col min="6" max="6" width="10.88671875" customWidth="1"/>
    <col min="7" max="7" width="18.44140625" customWidth="1"/>
    <col min="8" max="8" width="8.33203125" customWidth="1"/>
    <col min="9" max="9" width="4.44140625" customWidth="1"/>
    <col min="10" max="12" width="10.44140625" customWidth="1"/>
    <col min="13" max="13" width="11.21875" customWidth="1"/>
    <col min="14" max="14" width="10.44140625" customWidth="1"/>
    <col min="15" max="15" width="5.5546875" customWidth="1"/>
  </cols>
  <sheetData>
    <row r="1" spans="2:17" ht="22.5" customHeight="1">
      <c r="B1" s="555" t="str">
        <f>Summary!B1</f>
        <v>Dr Lal PathLabs Ltd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7" ht="18.75" customHeight="1">
      <c r="B2" s="4" t="s">
        <v>73</v>
      </c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2:17" ht="3" customHeight="1" thickBot="1">
      <c r="B3" s="285"/>
      <c r="C3" s="285"/>
      <c r="D3" s="286"/>
      <c r="E3" s="286"/>
      <c r="F3" s="286"/>
      <c r="G3" s="286"/>
      <c r="H3" s="286"/>
      <c r="I3" s="286"/>
      <c r="J3" s="286"/>
      <c r="K3" s="286"/>
      <c r="L3" s="286"/>
      <c r="M3" s="286"/>
      <c r="N3" s="286"/>
      <c r="O3" s="286"/>
    </row>
    <row r="4" spans="2:17" ht="12" customHeight="1"/>
    <row r="5" spans="2:17" ht="15.9" customHeight="1">
      <c r="C5" s="674" t="s">
        <v>53</v>
      </c>
      <c r="D5" s="675"/>
      <c r="E5" s="675"/>
      <c r="F5" s="675"/>
      <c r="G5" s="675"/>
      <c r="H5" s="676"/>
      <c r="J5" s="674" t="s">
        <v>227</v>
      </c>
      <c r="K5" s="675"/>
      <c r="L5" s="675"/>
      <c r="M5" s="675"/>
      <c r="N5" s="676"/>
    </row>
    <row r="6" spans="2:17" ht="3" customHeight="1">
      <c r="C6" s="677"/>
      <c r="D6" s="678"/>
      <c r="E6" s="678"/>
      <c r="F6" s="678"/>
      <c r="G6" s="678"/>
      <c r="H6" s="679"/>
      <c r="J6" s="677"/>
      <c r="K6" s="678"/>
      <c r="L6" s="678"/>
      <c r="M6" s="678"/>
      <c r="N6" s="679"/>
    </row>
    <row r="7" spans="2:17" ht="14.1" customHeight="1">
      <c r="C7" s="680" t="s">
        <v>52</v>
      </c>
      <c r="D7" s="681" t="s">
        <v>93</v>
      </c>
      <c r="E7" s="327"/>
      <c r="F7" s="327"/>
      <c r="G7" s="328">
        <v>2026</v>
      </c>
      <c r="H7" s="607"/>
      <c r="J7" s="575" t="s">
        <v>82</v>
      </c>
      <c r="K7" s="327"/>
      <c r="L7" s="327"/>
      <c r="M7" s="562"/>
      <c r="N7" s="685">
        <v>0.45</v>
      </c>
      <c r="Q7" s="8"/>
    </row>
    <row r="8" spans="2:17" ht="14.1" customHeight="1">
      <c r="C8" s="680" t="s">
        <v>52</v>
      </c>
      <c r="D8" s="682" t="s">
        <v>149</v>
      </c>
      <c r="E8" s="327"/>
      <c r="F8" s="327"/>
      <c r="G8" s="327"/>
      <c r="H8" s="607"/>
      <c r="J8" s="575" t="str">
        <f>"Fully Diluted Shares O/S (Cr.) - March. 31, "&amp;G7-1</f>
        <v>Fully Diluted Shares O/S (Cr.) - March. 31, 2025</v>
      </c>
      <c r="K8" s="327"/>
      <c r="L8" s="327"/>
      <c r="M8" s="327"/>
      <c r="N8" s="686">
        <v>8.36</v>
      </c>
    </row>
    <row r="9" spans="2:17" ht="14.1" customHeight="1">
      <c r="C9" s="683"/>
      <c r="D9" s="684" t="s">
        <v>178</v>
      </c>
      <c r="E9" s="580"/>
      <c r="F9" s="580"/>
      <c r="G9" s="580"/>
      <c r="H9" s="613"/>
      <c r="J9" s="575" t="s">
        <v>236</v>
      </c>
      <c r="K9" s="327"/>
      <c r="L9" s="327"/>
      <c r="M9" s="327"/>
      <c r="N9" s="687">
        <v>25</v>
      </c>
    </row>
    <row r="10" spans="2:17" ht="14.1" customHeight="1">
      <c r="J10" s="579" t="s">
        <v>237</v>
      </c>
      <c r="K10" s="580"/>
      <c r="L10" s="580"/>
      <c r="M10" s="688"/>
      <c r="N10" s="689">
        <v>9.5000000000000001E-2</v>
      </c>
    </row>
    <row r="11" spans="2:17" ht="6" customHeight="1">
      <c r="M11" s="7"/>
      <c r="N11" s="270"/>
    </row>
    <row r="12" spans="2:17" s="12" customFormat="1" ht="15.9" customHeight="1">
      <c r="C12" s="674" t="s">
        <v>150</v>
      </c>
      <c r="D12" s="675"/>
      <c r="E12" s="675"/>
      <c r="F12" s="675"/>
      <c r="G12" s="675"/>
      <c r="H12" s="676"/>
      <c r="J12" s="674" t="s">
        <v>268</v>
      </c>
      <c r="K12" s="675"/>
      <c r="L12" s="675"/>
      <c r="M12" s="675"/>
      <c r="N12" s="676"/>
    </row>
    <row r="13" spans="2:17" s="12" customFormat="1" ht="3" customHeight="1">
      <c r="C13" s="677"/>
      <c r="D13" s="678"/>
      <c r="E13" s="678"/>
      <c r="F13" s="678"/>
      <c r="G13" s="678"/>
      <c r="H13" s="679"/>
      <c r="J13" s="677"/>
      <c r="K13" s="678"/>
      <c r="L13" s="678"/>
      <c r="M13" s="678"/>
      <c r="N13" s="679"/>
    </row>
    <row r="14" spans="2:17" ht="14.1" customHeight="1">
      <c r="C14" s="680" t="s">
        <v>52</v>
      </c>
      <c r="D14" s="682" t="s">
        <v>158</v>
      </c>
      <c r="E14" s="327"/>
      <c r="F14" s="327"/>
      <c r="G14" s="327"/>
      <c r="H14" s="607"/>
      <c r="J14" s="702" t="s">
        <v>267</v>
      </c>
      <c r="K14" s="327"/>
      <c r="L14" s="327"/>
      <c r="M14" s="327"/>
      <c r="N14" s="686">
        <v>8.58</v>
      </c>
    </row>
    <row r="15" spans="2:17" ht="14.1" customHeight="1">
      <c r="C15" s="690" t="s">
        <v>0</v>
      </c>
      <c r="D15" s="691"/>
      <c r="E15" s="692" t="str">
        <f>Scenarios!G6&amp;" - "&amp;Scenarios!K6</f>
        <v>2026 - 2030</v>
      </c>
      <c r="F15" s="693"/>
      <c r="G15" s="692"/>
      <c r="H15" s="694"/>
      <c r="J15" s="702" t="s">
        <v>151</v>
      </c>
      <c r="K15" s="327"/>
      <c r="L15" s="327"/>
      <c r="M15" s="327"/>
      <c r="N15" s="703">
        <v>298</v>
      </c>
    </row>
    <row r="16" spans="2:17" s="13" customFormat="1" ht="15">
      <c r="C16" s="695" t="s">
        <v>41</v>
      </c>
      <c r="D16" s="327"/>
      <c r="E16" s="568" t="s">
        <v>89</v>
      </c>
      <c r="F16" s="568"/>
      <c r="G16" s="568"/>
      <c r="H16" s="696"/>
      <c r="I16" s="14"/>
      <c r="J16" s="575" t="s">
        <v>213</v>
      </c>
      <c r="K16" s="327"/>
      <c r="L16" s="327"/>
      <c r="M16" s="327"/>
      <c r="N16" s="704">
        <v>0.3</v>
      </c>
    </row>
    <row r="17" spans="3:14" ht="14.1" customHeight="1">
      <c r="C17" s="695" t="s">
        <v>42</v>
      </c>
      <c r="D17" s="327"/>
      <c r="E17" s="327"/>
      <c r="F17" s="697">
        <v>0.03</v>
      </c>
      <c r="G17" s="568"/>
      <c r="H17" s="696" t="s">
        <v>90</v>
      </c>
      <c r="I17" s="15"/>
      <c r="J17" s="575" t="s">
        <v>214</v>
      </c>
      <c r="K17" s="327"/>
      <c r="L17" s="327"/>
      <c r="M17" s="327"/>
      <c r="N17" s="704">
        <v>0.15</v>
      </c>
    </row>
    <row r="18" spans="3:14" ht="15.6" customHeight="1">
      <c r="C18" s="698" t="s">
        <v>43</v>
      </c>
      <c r="D18" s="580"/>
      <c r="E18" s="580"/>
      <c r="F18" s="699">
        <v>-0.03</v>
      </c>
      <c r="G18" s="700"/>
      <c r="H18" s="701" t="s">
        <v>90</v>
      </c>
      <c r="I18" s="15"/>
      <c r="J18" s="579" t="s">
        <v>218</v>
      </c>
      <c r="K18" s="580"/>
      <c r="L18" s="580"/>
      <c r="M18" s="580"/>
      <c r="N18" s="705"/>
    </row>
    <row r="19" spans="3:14" ht="14.1" customHeight="1">
      <c r="I19" s="15"/>
    </row>
    <row r="20" spans="3:14" ht="6" customHeight="1">
      <c r="I20" s="15"/>
    </row>
    <row r="21" spans="3:14" s="12" customFormat="1" ht="15.9" customHeight="1">
      <c r="C21" s="674" t="s">
        <v>54</v>
      </c>
      <c r="D21" s="675"/>
      <c r="E21" s="675"/>
      <c r="F21" s="675"/>
      <c r="G21" s="675"/>
      <c r="H21" s="676"/>
      <c r="J21" s="674" t="s">
        <v>220</v>
      </c>
      <c r="K21" s="675"/>
      <c r="L21" s="675"/>
      <c r="M21" s="675"/>
      <c r="N21" s="676"/>
    </row>
    <row r="22" spans="3:14" ht="3" customHeight="1">
      <c r="C22" s="677"/>
      <c r="D22" s="678"/>
      <c r="E22" s="678"/>
      <c r="F22" s="678"/>
      <c r="G22" s="678"/>
      <c r="H22" s="679"/>
      <c r="J22" s="677"/>
      <c r="K22" s="678"/>
      <c r="L22" s="678"/>
      <c r="M22" s="678"/>
      <c r="N22" s="679"/>
    </row>
    <row r="23" spans="3:14" ht="15.6" customHeight="1">
      <c r="C23" s="690" t="s">
        <v>55</v>
      </c>
      <c r="D23" s="682"/>
      <c r="E23" s="394">
        <f>G7</f>
        <v>2026</v>
      </c>
      <c r="F23" s="327"/>
      <c r="G23" s="394" t="s">
        <v>56</v>
      </c>
      <c r="H23" s="607"/>
      <c r="J23" s="712" t="str">
        <f>"- Annual Lease Payments - Existing Leases (Cr.)"</f>
        <v>- Annual Lease Payments - Existing Leases (Cr.)</v>
      </c>
      <c r="K23" s="327"/>
      <c r="L23" s="327"/>
      <c r="M23" s="713"/>
      <c r="N23" s="714">
        <v>53</v>
      </c>
    </row>
    <row r="24" spans="3:14" ht="14.1" customHeight="1">
      <c r="C24" s="706" t="s">
        <v>152</v>
      </c>
      <c r="D24" s="682"/>
      <c r="E24" s="707">
        <v>57.8</v>
      </c>
      <c r="F24" s="327" t="s">
        <v>174</v>
      </c>
      <c r="G24" s="327" t="s">
        <v>57</v>
      </c>
      <c r="H24" s="607"/>
      <c r="J24" s="715" t="str">
        <f>"- Lease Term"</f>
        <v>- Lease Term</v>
      </c>
      <c r="K24" s="327"/>
      <c r="L24" s="327"/>
      <c r="M24" s="327"/>
      <c r="N24" s="716">
        <v>20</v>
      </c>
    </row>
    <row r="25" spans="3:14" ht="14.1" customHeight="1">
      <c r="C25" s="706" t="s">
        <v>153</v>
      </c>
      <c r="D25" s="682"/>
      <c r="E25" s="707">
        <v>1.71</v>
      </c>
      <c r="F25" s="327" t="s">
        <v>174</v>
      </c>
      <c r="G25" s="327" t="s">
        <v>57</v>
      </c>
      <c r="H25" s="607"/>
      <c r="J25" s="715" t="str">
        <f>"- Effective Lease Interest Rate"</f>
        <v>- Effective Lease Interest Rate</v>
      </c>
      <c r="K25" s="327"/>
      <c r="L25" s="327"/>
      <c r="M25" s="327"/>
      <c r="N25" s="717">
        <v>7.4999999999999997E-2</v>
      </c>
    </row>
    <row r="26" spans="3:14" ht="14.1" customHeight="1">
      <c r="C26" s="706" t="s">
        <v>97</v>
      </c>
      <c r="D26" s="681"/>
      <c r="E26" s="708">
        <v>1.12E-2</v>
      </c>
      <c r="F26" s="327" t="s">
        <v>175</v>
      </c>
      <c r="G26" s="327" t="s">
        <v>112</v>
      </c>
      <c r="H26" s="607"/>
      <c r="J26" s="575" t="str">
        <f>"- Principal Repayment - Existing Leases (Cr.)"</f>
        <v>- Principal Repayment - Existing Leases (Cr.)</v>
      </c>
      <c r="K26" s="327"/>
      <c r="L26" s="327"/>
      <c r="M26" s="327"/>
      <c r="N26" s="714">
        <v>34</v>
      </c>
    </row>
    <row r="27" spans="3:14" ht="14.1" customHeight="1">
      <c r="C27" s="706" t="s">
        <v>58</v>
      </c>
      <c r="D27" s="681"/>
      <c r="E27" s="709">
        <v>0.5</v>
      </c>
      <c r="F27" s="327" t="s">
        <v>175</v>
      </c>
      <c r="G27" s="327" t="s">
        <v>112</v>
      </c>
      <c r="H27" s="607"/>
      <c r="J27" s="579" t="str">
        <f>"- Short-Term Debt expected to reduce 50% annually"</f>
        <v>- Short-Term Debt expected to reduce 50% annually</v>
      </c>
      <c r="K27" s="580"/>
      <c r="L27" s="580"/>
      <c r="M27" s="580"/>
      <c r="N27" s="718"/>
    </row>
    <row r="28" spans="3:14" ht="15.6" customHeight="1">
      <c r="C28" s="710" t="s">
        <v>176</v>
      </c>
      <c r="D28" s="684"/>
      <c r="E28" s="711"/>
      <c r="F28" s="580"/>
      <c r="G28" s="580"/>
      <c r="H28" s="705">
        <v>0.04</v>
      </c>
      <c r="J28" s="327"/>
      <c r="K28" s="327"/>
      <c r="L28" s="327"/>
      <c r="M28" s="327"/>
      <c r="N28" s="327"/>
    </row>
    <row r="29" spans="3:14" ht="14.1" customHeight="1"/>
    <row r="30" spans="3:14" ht="6" customHeight="1"/>
    <row r="31" spans="3:14" s="12" customFormat="1" ht="15.9" customHeight="1">
      <c r="C31" s="674" t="s">
        <v>154</v>
      </c>
      <c r="D31" s="719"/>
      <c r="E31" s="719"/>
      <c r="F31" s="719"/>
      <c r="G31" s="719"/>
      <c r="H31" s="720"/>
      <c r="J31" s="674" t="s">
        <v>189</v>
      </c>
      <c r="K31" s="719"/>
      <c r="L31" s="719"/>
      <c r="M31" s="719"/>
      <c r="N31" s="720"/>
    </row>
    <row r="32" spans="3:14" ht="3" customHeight="1">
      <c r="C32" s="677"/>
      <c r="D32" s="678"/>
      <c r="E32" s="678"/>
      <c r="F32" s="678"/>
      <c r="G32" s="678"/>
      <c r="H32" s="679"/>
      <c r="J32" s="677"/>
      <c r="K32" s="678"/>
      <c r="L32" s="678"/>
      <c r="M32" s="678"/>
      <c r="N32" s="679"/>
    </row>
    <row r="33" spans="2:20" ht="14.1" customHeight="1">
      <c r="C33" s="680" t="s">
        <v>52</v>
      </c>
      <c r="D33" s="682" t="s">
        <v>155</v>
      </c>
      <c r="E33" s="327"/>
      <c r="F33" s="327"/>
      <c r="G33" s="327"/>
      <c r="H33" s="721" t="s">
        <v>59</v>
      </c>
      <c r="J33" s="702" t="str">
        <f>"- Tax rate assumed in the model:"</f>
        <v>- Tax rate assumed in the model:</v>
      </c>
      <c r="K33" s="327"/>
      <c r="L33" s="327"/>
      <c r="M33" s="327"/>
      <c r="N33" s="685">
        <v>0.25</v>
      </c>
    </row>
    <row r="34" spans="2:20" ht="14.1" customHeight="1">
      <c r="C34" s="680" t="s">
        <v>52</v>
      </c>
      <c r="D34" s="326" t="s">
        <v>156</v>
      </c>
      <c r="E34" s="327"/>
      <c r="F34" s="327"/>
      <c r="G34" s="327"/>
      <c r="H34" s="716">
        <v>4.4000000000000004</v>
      </c>
      <c r="J34" s="724" t="str">
        <f>"- Tax paid as percentage of Current Tax:"</f>
        <v>- Tax paid as percentage of Current Tax:</v>
      </c>
      <c r="K34" s="472"/>
      <c r="L34" s="472"/>
      <c r="M34" s="472"/>
      <c r="N34" s="685">
        <v>0.99</v>
      </c>
    </row>
    <row r="35" spans="2:20" ht="14.1" customHeight="1">
      <c r="C35" s="680" t="s">
        <v>52</v>
      </c>
      <c r="D35" s="326" t="s">
        <v>157</v>
      </c>
      <c r="E35" s="327"/>
      <c r="F35" s="327"/>
      <c r="G35" s="327"/>
      <c r="H35" s="716">
        <v>10</v>
      </c>
      <c r="J35" s="702" t="s">
        <v>204</v>
      </c>
      <c r="K35" s="327"/>
      <c r="L35" s="327"/>
      <c r="M35" s="327"/>
      <c r="N35" s="725"/>
    </row>
    <row r="36" spans="2:20" ht="14.1" customHeight="1">
      <c r="C36" s="680" t="s">
        <v>52</v>
      </c>
      <c r="D36" s="326" t="s">
        <v>98</v>
      </c>
      <c r="E36" s="327"/>
      <c r="F36" s="327"/>
      <c r="G36" s="327"/>
      <c r="H36" s="716">
        <v>5</v>
      </c>
      <c r="J36" s="724" t="str">
        <f>"- Goodwill is assumed to stay constant over the 5 years"</f>
        <v>- Goodwill is assumed to stay constant over the 5 years</v>
      </c>
      <c r="K36" s="506"/>
      <c r="L36" s="506"/>
      <c r="M36" s="506"/>
      <c r="N36" s="726"/>
    </row>
    <row r="37" spans="2:20" ht="14.1" customHeight="1">
      <c r="C37" s="683" t="s">
        <v>52</v>
      </c>
      <c r="D37" s="722" t="s">
        <v>99</v>
      </c>
      <c r="E37" s="580"/>
      <c r="F37" s="580"/>
      <c r="G37" s="580"/>
      <c r="H37" s="723">
        <v>10</v>
      </c>
      <c r="J37" s="579" t="str">
        <f>"- Non-Controlling Interest assumed to stay constant"</f>
        <v>- Non-Controlling Interest assumed to stay constant</v>
      </c>
      <c r="K37" s="580"/>
      <c r="L37" s="580"/>
      <c r="M37" s="580"/>
      <c r="N37" s="613"/>
    </row>
    <row r="38" spans="2:20" ht="15" customHeight="1">
      <c r="B38" s="10"/>
      <c r="C38" s="10"/>
      <c r="D38" s="19"/>
      <c r="E38" s="16"/>
      <c r="F38" s="16"/>
      <c r="G38" s="16"/>
      <c r="H38" s="16"/>
      <c r="I38" s="10"/>
      <c r="J38" s="10"/>
      <c r="K38" s="10"/>
      <c r="L38" s="10"/>
      <c r="M38" s="10"/>
      <c r="N38" s="10"/>
      <c r="O38" s="10"/>
    </row>
    <row r="39" spans="2:20" ht="15" customHeight="1">
      <c r="B39" s="327"/>
      <c r="C39" s="327"/>
      <c r="D39" s="650"/>
      <c r="E39" s="568"/>
      <c r="F39" s="568"/>
      <c r="G39" s="568"/>
      <c r="H39" s="568"/>
      <c r="I39" s="327"/>
      <c r="J39" s="327"/>
      <c r="K39" s="327"/>
      <c r="L39" s="327"/>
      <c r="M39" s="327"/>
      <c r="N39" s="327"/>
      <c r="O39" s="327"/>
    </row>
    <row r="40" spans="2:20" ht="14.1" customHeight="1">
      <c r="C40" s="20"/>
      <c r="D40" s="18"/>
      <c r="H40" s="21"/>
    </row>
    <row r="41" spans="2:20" ht="22.5" customHeight="1">
      <c r="B41" s="1" t="str">
        <f>Summary!B1</f>
        <v>Dr Lal PathLabs Ltd</v>
      </c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2:20" ht="18.75" customHeight="1">
      <c r="B42" s="4" t="s">
        <v>73</v>
      </c>
      <c r="C42" s="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R42" s="342"/>
      <c r="S42" s="342"/>
      <c r="T42" s="342"/>
    </row>
    <row r="43" spans="2:20" ht="3" customHeight="1" thickBot="1">
      <c r="B43" s="285"/>
      <c r="C43" s="285"/>
      <c r="D43" s="286"/>
      <c r="E43" s="286"/>
      <c r="F43" s="286"/>
      <c r="G43" s="286"/>
      <c r="H43" s="286"/>
      <c r="I43" s="286"/>
      <c r="J43" s="286"/>
      <c r="K43" s="286"/>
      <c r="L43" s="286"/>
      <c r="M43" s="286"/>
      <c r="N43" s="286"/>
      <c r="O43" s="286"/>
    </row>
    <row r="44" spans="2:20" ht="12" customHeight="1">
      <c r="C44" s="20"/>
      <c r="J44" s="22"/>
    </row>
    <row r="45" spans="2:20" s="12" customFormat="1" ht="15.9" customHeight="1">
      <c r="C45" s="674" t="s">
        <v>100</v>
      </c>
      <c r="D45" s="719"/>
      <c r="E45" s="719"/>
      <c r="F45" s="719"/>
      <c r="G45" s="719"/>
      <c r="H45" s="719"/>
      <c r="I45" s="719"/>
      <c r="J45" s="727">
        <f>G7</f>
        <v>2026</v>
      </c>
      <c r="K45" s="727">
        <f>J45+1</f>
        <v>2027</v>
      </c>
      <c r="L45" s="727">
        <f>K45+1</f>
        <v>2028</v>
      </c>
      <c r="M45" s="727">
        <f>L45+1</f>
        <v>2029</v>
      </c>
      <c r="N45" s="728">
        <f>M45+1</f>
        <v>2030</v>
      </c>
      <c r="Q45" s="271"/>
      <c r="T45" s="388"/>
    </row>
    <row r="46" spans="2:20" s="12" customFormat="1" ht="3" customHeight="1">
      <c r="C46" s="677"/>
      <c r="D46" s="678"/>
      <c r="E46" s="678"/>
      <c r="F46" s="678"/>
      <c r="G46" s="678"/>
      <c r="H46" s="678"/>
      <c r="I46" s="678"/>
      <c r="J46" s="678"/>
      <c r="K46" s="678"/>
      <c r="L46" s="678"/>
      <c r="M46" s="678"/>
      <c r="N46" s="679"/>
      <c r="Q46" s="271"/>
    </row>
    <row r="47" spans="2:20" ht="8.1" customHeight="1">
      <c r="C47" s="575"/>
      <c r="D47" s="327"/>
      <c r="E47" s="327"/>
      <c r="F47" s="327"/>
      <c r="G47" s="327"/>
      <c r="H47" s="327"/>
      <c r="I47" s="327"/>
      <c r="J47" s="327"/>
      <c r="K47" s="327"/>
      <c r="L47" s="729"/>
      <c r="M47" s="327"/>
      <c r="N47" s="607"/>
    </row>
    <row r="48" spans="2:20" ht="14.1" customHeight="1">
      <c r="C48" s="581" t="s">
        <v>27</v>
      </c>
      <c r="D48" s="327"/>
      <c r="E48" s="327"/>
      <c r="F48" s="327"/>
      <c r="G48" s="327"/>
      <c r="H48" s="327"/>
      <c r="I48" s="327"/>
      <c r="J48" s="730"/>
      <c r="K48" s="731"/>
      <c r="L48" s="731"/>
      <c r="M48" s="731"/>
      <c r="N48" s="732"/>
      <c r="Q48" s="23"/>
    </row>
    <row r="49" spans="3:17" ht="14.1" customHeight="1">
      <c r="C49" s="581"/>
      <c r="D49" s="327" t="s">
        <v>169</v>
      </c>
      <c r="E49" s="327"/>
      <c r="F49" s="327"/>
      <c r="G49" s="587" t="s">
        <v>162</v>
      </c>
      <c r="H49" s="327"/>
      <c r="I49" s="327"/>
      <c r="J49" s="733">
        <v>110</v>
      </c>
      <c r="K49" s="733">
        <v>125</v>
      </c>
      <c r="L49" s="733">
        <v>134</v>
      </c>
      <c r="M49" s="733">
        <v>165</v>
      </c>
      <c r="N49" s="734">
        <v>198</v>
      </c>
      <c r="Q49" s="23"/>
    </row>
    <row r="50" spans="3:17" ht="14.1" customHeight="1">
      <c r="C50" s="581"/>
      <c r="D50" s="327" t="s">
        <v>104</v>
      </c>
      <c r="E50" s="327"/>
      <c r="F50" s="327"/>
      <c r="G50" s="587" t="s">
        <v>162</v>
      </c>
      <c r="H50" s="327"/>
      <c r="I50" s="327"/>
      <c r="J50" s="735">
        <v>0</v>
      </c>
      <c r="K50" s="735">
        <v>0</v>
      </c>
      <c r="L50" s="735">
        <v>0</v>
      </c>
      <c r="M50" s="735">
        <v>0</v>
      </c>
      <c r="N50" s="736">
        <v>0</v>
      </c>
    </row>
    <row r="51" spans="3:17" ht="14.1" customHeight="1">
      <c r="C51" s="581"/>
      <c r="D51" s="327" t="s">
        <v>172</v>
      </c>
      <c r="E51" s="327"/>
      <c r="F51" s="327"/>
      <c r="G51" s="587" t="s">
        <v>162</v>
      </c>
      <c r="H51" s="327"/>
      <c r="I51" s="327"/>
      <c r="J51" s="735">
        <v>19.420000000000002</v>
      </c>
      <c r="K51" s="735">
        <v>24</v>
      </c>
      <c r="L51" s="735">
        <v>29</v>
      </c>
      <c r="M51" s="735">
        <v>36</v>
      </c>
      <c r="N51" s="736">
        <v>45</v>
      </c>
    </row>
    <row r="52" spans="3:17" ht="6" customHeight="1">
      <c r="C52" s="575"/>
      <c r="D52" s="327"/>
      <c r="E52" s="327"/>
      <c r="F52" s="327"/>
      <c r="G52" s="587"/>
      <c r="H52" s="327"/>
      <c r="I52" s="327"/>
      <c r="J52" s="737"/>
      <c r="K52" s="737"/>
      <c r="L52" s="738"/>
      <c r="M52" s="737"/>
      <c r="N52" s="739"/>
    </row>
    <row r="53" spans="3:17" ht="14.1" customHeight="1">
      <c r="C53" s="581" t="s">
        <v>34</v>
      </c>
      <c r="D53" s="327"/>
      <c r="E53" s="327"/>
      <c r="F53" s="327"/>
      <c r="G53" s="587"/>
      <c r="H53" s="327"/>
      <c r="I53" s="327"/>
      <c r="J53" s="735"/>
      <c r="K53" s="735"/>
      <c r="L53" s="735"/>
      <c r="M53" s="735"/>
      <c r="N53" s="736"/>
      <c r="Q53" s="23"/>
    </row>
    <row r="54" spans="3:17" ht="14.1" customHeight="1">
      <c r="C54" s="581"/>
      <c r="D54" s="327" t="s">
        <v>67</v>
      </c>
      <c r="E54" s="327"/>
      <c r="F54" s="327"/>
      <c r="G54" s="587" t="s">
        <v>162</v>
      </c>
      <c r="H54" s="327"/>
      <c r="I54" s="327"/>
      <c r="J54" s="735">
        <v>55</v>
      </c>
      <c r="K54" s="735">
        <v>60</v>
      </c>
      <c r="L54" s="735">
        <v>60</v>
      </c>
      <c r="M54" s="735">
        <v>75</v>
      </c>
      <c r="N54" s="736">
        <v>75</v>
      </c>
      <c r="Q54" s="23"/>
    </row>
    <row r="55" spans="3:17" ht="14.1" customHeight="1">
      <c r="C55" s="581"/>
      <c r="D55" s="327" t="s">
        <v>187</v>
      </c>
      <c r="E55" s="327"/>
      <c r="F55" s="327"/>
      <c r="G55" s="587" t="s">
        <v>162</v>
      </c>
      <c r="H55" s="327"/>
      <c r="I55" s="327"/>
      <c r="J55" s="735">
        <v>12.5</v>
      </c>
      <c r="K55" s="735">
        <v>9</v>
      </c>
      <c r="L55" s="735">
        <v>5</v>
      </c>
      <c r="M55" s="735">
        <v>35</v>
      </c>
      <c r="N55" s="736">
        <v>12</v>
      </c>
      <c r="Q55" s="23"/>
    </row>
    <row r="56" spans="3:17" ht="14.1" customHeight="1">
      <c r="C56" s="581"/>
      <c r="D56" s="327" t="s">
        <v>143</v>
      </c>
      <c r="E56" s="327"/>
      <c r="F56" s="327"/>
      <c r="G56" s="587" t="s">
        <v>162</v>
      </c>
      <c r="H56" s="327"/>
      <c r="I56" s="327"/>
      <c r="J56" s="735">
        <v>5</v>
      </c>
      <c r="K56" s="735">
        <v>4</v>
      </c>
      <c r="L56" s="735">
        <v>0</v>
      </c>
      <c r="M56" s="735">
        <v>24</v>
      </c>
      <c r="N56" s="736">
        <v>7</v>
      </c>
      <c r="Q56" s="23"/>
    </row>
    <row r="57" spans="3:17" ht="6.6" customHeight="1">
      <c r="C57" s="581"/>
      <c r="D57" s="327"/>
      <c r="E57" s="327"/>
      <c r="F57" s="327"/>
      <c r="G57" s="587"/>
      <c r="H57" s="327"/>
      <c r="I57" s="327"/>
      <c r="J57" s="735"/>
      <c r="K57" s="735"/>
      <c r="L57" s="735"/>
      <c r="M57" s="735"/>
      <c r="N57" s="736"/>
      <c r="Q57" s="23"/>
    </row>
    <row r="58" spans="3:17" ht="14.1" customHeight="1">
      <c r="C58" s="581" t="s">
        <v>219</v>
      </c>
      <c r="D58" s="327"/>
      <c r="E58" s="327"/>
      <c r="F58" s="327"/>
      <c r="G58" s="587"/>
      <c r="H58" s="327"/>
      <c r="I58" s="327"/>
      <c r="J58" s="735"/>
      <c r="K58" s="735"/>
      <c r="L58" s="735"/>
      <c r="M58" s="735"/>
      <c r="N58" s="736"/>
      <c r="Q58" s="23"/>
    </row>
    <row r="59" spans="3:17" ht="14.1" customHeight="1">
      <c r="C59" s="581"/>
      <c r="D59" s="327" t="s">
        <v>124</v>
      </c>
      <c r="E59" s="327"/>
      <c r="F59" s="327"/>
      <c r="G59" s="587" t="s">
        <v>162</v>
      </c>
      <c r="H59" s="327"/>
      <c r="I59" s="327"/>
      <c r="J59" s="735">
        <v>7</v>
      </c>
      <c r="K59" s="735">
        <v>7</v>
      </c>
      <c r="L59" s="735">
        <v>7</v>
      </c>
      <c r="M59" s="735">
        <v>5</v>
      </c>
      <c r="N59" s="736">
        <v>5</v>
      </c>
      <c r="Q59" s="23"/>
    </row>
    <row r="60" spans="3:17" ht="14.1" customHeight="1">
      <c r="C60" s="581"/>
      <c r="D60" s="327" t="s">
        <v>133</v>
      </c>
      <c r="E60" s="327"/>
      <c r="F60" s="327"/>
      <c r="G60" s="587" t="s">
        <v>162</v>
      </c>
      <c r="H60" s="327"/>
      <c r="I60" s="327"/>
      <c r="J60" s="735">
        <v>98.5</v>
      </c>
      <c r="K60" s="735">
        <v>135.5</v>
      </c>
      <c r="L60" s="735">
        <v>173.5</v>
      </c>
      <c r="M60" s="735">
        <v>205.5</v>
      </c>
      <c r="N60" s="736">
        <v>268.5</v>
      </c>
      <c r="Q60" s="23"/>
    </row>
    <row r="61" spans="3:17" ht="14.1" customHeight="1">
      <c r="C61" s="575"/>
      <c r="D61" s="644" t="s">
        <v>180</v>
      </c>
      <c r="E61" s="327"/>
      <c r="F61" s="327"/>
      <c r="G61" s="587" t="s">
        <v>162</v>
      </c>
      <c r="H61" s="327"/>
      <c r="I61" s="327"/>
      <c r="J61" s="735">
        <v>40</v>
      </c>
      <c r="K61" s="735">
        <v>55</v>
      </c>
      <c r="L61" s="735">
        <v>60</v>
      </c>
      <c r="M61" s="735">
        <v>80</v>
      </c>
      <c r="N61" s="736">
        <v>85</v>
      </c>
      <c r="Q61" s="23"/>
    </row>
    <row r="62" spans="3:17" ht="6" customHeight="1">
      <c r="C62" s="575"/>
      <c r="D62" s="327"/>
      <c r="E62" s="327"/>
      <c r="F62" s="327"/>
      <c r="G62" s="587"/>
      <c r="H62" s="327"/>
      <c r="I62" s="327"/>
      <c r="J62" s="737"/>
      <c r="K62" s="737"/>
      <c r="L62" s="738"/>
      <c r="M62" s="737"/>
      <c r="N62" s="739"/>
    </row>
    <row r="63" spans="3:17" ht="14.25" customHeight="1">
      <c r="C63" s="581" t="s">
        <v>105</v>
      </c>
      <c r="D63" s="327"/>
      <c r="E63" s="327"/>
      <c r="F63" s="327"/>
      <c r="G63" s="587"/>
      <c r="H63" s="327"/>
      <c r="I63" s="327"/>
      <c r="J63" s="737"/>
      <c r="K63" s="737"/>
      <c r="L63" s="738"/>
      <c r="M63" s="737"/>
      <c r="N63" s="739"/>
    </row>
    <row r="64" spans="3:17" ht="14.25" customHeight="1">
      <c r="C64" s="575"/>
      <c r="D64" s="327" t="s">
        <v>201</v>
      </c>
      <c r="E64" s="327"/>
      <c r="F64" s="327"/>
      <c r="G64" s="587" t="s">
        <v>162</v>
      </c>
      <c r="H64" s="327"/>
      <c r="I64" s="327"/>
      <c r="J64" s="735">
        <v>25</v>
      </c>
      <c r="K64" s="735">
        <v>25</v>
      </c>
      <c r="L64" s="735">
        <v>60</v>
      </c>
      <c r="M64" s="735">
        <v>60</v>
      </c>
      <c r="N64" s="736">
        <v>25</v>
      </c>
    </row>
    <row r="65" spans="2:15" ht="6" customHeight="1">
      <c r="C65" s="575"/>
      <c r="D65" s="327"/>
      <c r="E65" s="327"/>
      <c r="F65" s="327"/>
      <c r="G65" s="587"/>
      <c r="H65" s="327"/>
      <c r="I65" s="327"/>
      <c r="J65" s="737"/>
      <c r="K65" s="737"/>
      <c r="L65" s="738"/>
      <c r="M65" s="737"/>
      <c r="N65" s="739"/>
    </row>
    <row r="66" spans="2:15" ht="14.25" customHeight="1">
      <c r="C66" s="581" t="s">
        <v>101</v>
      </c>
      <c r="D66" s="327"/>
      <c r="E66" s="327"/>
      <c r="F66" s="327"/>
      <c r="G66" s="587"/>
      <c r="H66" s="327"/>
      <c r="I66" s="506"/>
      <c r="J66" s="740"/>
      <c r="K66" s="740"/>
      <c r="L66" s="741"/>
      <c r="M66" s="740"/>
      <c r="N66" s="742"/>
    </row>
    <row r="67" spans="2:15" ht="14.1" customHeight="1">
      <c r="C67" s="575"/>
      <c r="D67" s="327" t="s">
        <v>11</v>
      </c>
      <c r="E67" s="327"/>
      <c r="F67" s="327"/>
      <c r="G67" s="587" t="s">
        <v>102</v>
      </c>
      <c r="H67" s="327"/>
      <c r="I67" s="506"/>
      <c r="J67" s="735">
        <v>11.7</v>
      </c>
      <c r="K67" s="735">
        <v>11.7</v>
      </c>
      <c r="L67" s="735">
        <v>11.5</v>
      </c>
      <c r="M67" s="735">
        <v>11.5</v>
      </c>
      <c r="N67" s="736">
        <v>11.6</v>
      </c>
    </row>
    <row r="68" spans="2:15" ht="14.1" customHeight="1">
      <c r="C68" s="743"/>
      <c r="D68" s="327" t="s">
        <v>22</v>
      </c>
      <c r="E68" s="327"/>
      <c r="F68" s="327"/>
      <c r="G68" s="587" t="s">
        <v>102</v>
      </c>
      <c r="H68" s="327"/>
      <c r="I68" s="506"/>
      <c r="J68" s="735">
        <v>25.3</v>
      </c>
      <c r="K68" s="735">
        <v>24.9</v>
      </c>
      <c r="L68" s="735">
        <v>25.5</v>
      </c>
      <c r="M68" s="735">
        <v>25</v>
      </c>
      <c r="N68" s="736">
        <v>24.5</v>
      </c>
    </row>
    <row r="69" spans="2:15" ht="14.1" customHeight="1">
      <c r="C69" s="743"/>
      <c r="D69" s="327" t="s">
        <v>119</v>
      </c>
      <c r="E69" s="327"/>
      <c r="F69" s="327"/>
      <c r="G69" s="587" t="s">
        <v>102</v>
      </c>
      <c r="H69" s="327"/>
      <c r="I69" s="506"/>
      <c r="J69" s="735">
        <v>14.3</v>
      </c>
      <c r="K69" s="735">
        <v>14.5</v>
      </c>
      <c r="L69" s="735">
        <v>14.5</v>
      </c>
      <c r="M69" s="735">
        <v>14.9</v>
      </c>
      <c r="N69" s="736">
        <v>14.9</v>
      </c>
    </row>
    <row r="70" spans="2:15" ht="14.1" customHeight="1">
      <c r="C70" s="680"/>
      <c r="D70" s="327" t="s">
        <v>16</v>
      </c>
      <c r="E70" s="327"/>
      <c r="F70" s="327"/>
      <c r="G70" s="587" t="s">
        <v>102</v>
      </c>
      <c r="H70" s="327"/>
      <c r="I70" s="506"/>
      <c r="J70" s="735">
        <v>132</v>
      </c>
      <c r="K70" s="735">
        <v>132</v>
      </c>
      <c r="L70" s="735">
        <v>135</v>
      </c>
      <c r="M70" s="735">
        <v>135</v>
      </c>
      <c r="N70" s="736">
        <v>138</v>
      </c>
    </row>
    <row r="71" spans="2:15" ht="14.1" customHeight="1">
      <c r="C71" s="680"/>
      <c r="D71" s="327" t="s">
        <v>135</v>
      </c>
      <c r="E71" s="327"/>
      <c r="F71" s="327"/>
      <c r="G71" s="587" t="s">
        <v>102</v>
      </c>
      <c r="H71" s="327"/>
      <c r="I71" s="506"/>
      <c r="J71" s="735">
        <v>26.3</v>
      </c>
      <c r="K71" s="735">
        <v>26.6</v>
      </c>
      <c r="L71" s="735">
        <v>26.8</v>
      </c>
      <c r="M71" s="735">
        <v>26.8</v>
      </c>
      <c r="N71" s="736">
        <v>27.1</v>
      </c>
    </row>
    <row r="72" spans="2:15" ht="6" customHeight="1">
      <c r="C72" s="680"/>
      <c r="D72" s="327"/>
      <c r="E72" s="327"/>
      <c r="F72" s="327"/>
      <c r="G72" s="587"/>
      <c r="H72" s="327"/>
      <c r="I72" s="506"/>
      <c r="J72" s="740"/>
      <c r="K72" s="740"/>
      <c r="L72" s="740"/>
      <c r="M72" s="740"/>
      <c r="N72" s="742"/>
    </row>
    <row r="73" spans="2:15" ht="14.1" customHeight="1">
      <c r="C73" s="744" t="s">
        <v>103</v>
      </c>
      <c r="D73" s="327"/>
      <c r="E73" s="327"/>
      <c r="F73" s="327"/>
      <c r="G73" s="587"/>
      <c r="H73" s="327"/>
      <c r="I73" s="506"/>
      <c r="J73" s="740"/>
      <c r="K73" s="740"/>
      <c r="L73" s="740"/>
      <c r="M73" s="740"/>
      <c r="N73" s="742"/>
    </row>
    <row r="74" spans="2:15" ht="14.1" customHeight="1">
      <c r="C74" s="706"/>
      <c r="D74" s="327" t="s">
        <v>111</v>
      </c>
      <c r="E74" s="327"/>
      <c r="F74" s="327"/>
      <c r="G74" s="587" t="s">
        <v>162</v>
      </c>
      <c r="H74" s="327"/>
      <c r="I74" s="506"/>
      <c r="J74" s="735">
        <v>0</v>
      </c>
      <c r="K74" s="735">
        <v>0</v>
      </c>
      <c r="L74" s="735">
        <v>0</v>
      </c>
      <c r="M74" s="735">
        <v>0</v>
      </c>
      <c r="N74" s="736">
        <v>0</v>
      </c>
    </row>
    <row r="75" spans="2:15" ht="14.1" customHeight="1">
      <c r="C75" s="680"/>
      <c r="D75" s="327" t="s">
        <v>83</v>
      </c>
      <c r="E75" s="327"/>
      <c r="F75" s="327"/>
      <c r="G75" s="587" t="s">
        <v>162</v>
      </c>
      <c r="H75" s="327"/>
      <c r="I75" s="506"/>
      <c r="J75" s="735">
        <v>0</v>
      </c>
      <c r="K75" s="735">
        <v>0</v>
      </c>
      <c r="L75" s="735">
        <v>0</v>
      </c>
      <c r="M75" s="735">
        <v>0</v>
      </c>
      <c r="N75" s="736">
        <v>0</v>
      </c>
    </row>
    <row r="76" spans="2:15" ht="14.1" customHeight="1">
      <c r="C76" s="680"/>
      <c r="D76" s="327" t="s">
        <v>206</v>
      </c>
      <c r="E76" s="327"/>
      <c r="F76" s="327"/>
      <c r="G76" s="587" t="s">
        <v>162</v>
      </c>
      <c r="H76" s="327"/>
      <c r="I76" s="506"/>
      <c r="J76" s="735">
        <v>5</v>
      </c>
      <c r="K76" s="735">
        <v>5</v>
      </c>
      <c r="L76" s="735">
        <v>5</v>
      </c>
      <c r="M76" s="735">
        <v>5</v>
      </c>
      <c r="N76" s="736">
        <v>5</v>
      </c>
    </row>
    <row r="77" spans="2:15" ht="6" customHeight="1">
      <c r="C77" s="683"/>
      <c r="D77" s="580"/>
      <c r="E77" s="580"/>
      <c r="F77" s="580"/>
      <c r="G77" s="580"/>
      <c r="H77" s="580"/>
      <c r="I77" s="580"/>
      <c r="J77" s="745"/>
      <c r="K77" s="745"/>
      <c r="L77" s="745"/>
      <c r="M77" s="745"/>
      <c r="N77" s="746"/>
    </row>
    <row r="78" spans="2:15" ht="9" customHeight="1">
      <c r="B78" s="10"/>
      <c r="C78" s="10"/>
      <c r="D78" s="19"/>
      <c r="E78" s="16"/>
      <c r="F78" s="16"/>
      <c r="G78" s="16"/>
      <c r="H78" s="16"/>
      <c r="I78" s="10"/>
      <c r="J78" s="10"/>
      <c r="K78" s="10"/>
      <c r="L78" s="10"/>
      <c r="M78" s="10"/>
      <c r="N78" s="10"/>
      <c r="O78" s="10"/>
    </row>
    <row r="79" spans="2:15" ht="12.75" customHeight="1">
      <c r="D79" s="26"/>
      <c r="E79" s="3"/>
      <c r="F79" s="3"/>
      <c r="G79" s="3"/>
      <c r="H79" s="3"/>
    </row>
    <row r="80" spans="2:15">
      <c r="D80" s="22"/>
    </row>
    <row r="81" spans="4:4">
      <c r="D81" s="22"/>
    </row>
  </sheetData>
  <sheetProtection formatCells="0" formatColumns="0" formatRows="0" insertColumns="0" insertRows="0"/>
  <phoneticPr fontId="0" type="noConversion"/>
  <conditionalFormatting sqref="J352:N356">
    <cfRule type="cellIs" dxfId="1" priority="1" stopIfTrue="1" operator="greaterThan">
      <formula>330</formula>
    </cfRule>
  </conditionalFormatting>
  <printOptions horizontalCentered="1"/>
  <pageMargins left="0.25" right="0.25" top="0.25" bottom="0.25" header="0.25" footer="0.25"/>
  <pageSetup scale="95" orientation="landscape" r:id="rId1"/>
  <headerFooter alignWithMargins="0"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M49"/>
  <sheetViews>
    <sheetView showGridLines="0" topLeftCell="A13" zoomScaleNormal="100" zoomScaleSheetLayoutView="100" workbookViewId="0">
      <selection activeCell="G40" sqref="G40"/>
    </sheetView>
  </sheetViews>
  <sheetFormatPr defaultColWidth="10.5546875" defaultRowHeight="13.2"/>
  <cols>
    <col min="1" max="1" width="4.33203125" style="30" bestFit="1" customWidth="1"/>
    <col min="2" max="2" width="1.5546875" style="30" customWidth="1"/>
    <col min="3" max="3" width="18.5546875" style="30" customWidth="1"/>
    <col min="4" max="4" width="4.6640625" style="51" customWidth="1"/>
    <col min="5" max="5" width="9.88671875" style="51" customWidth="1"/>
    <col min="6" max="6" width="6.6640625" style="30" customWidth="1"/>
    <col min="7" max="11" width="12.6640625" style="30" customWidth="1"/>
    <col min="12" max="12" width="13.5546875" style="30" customWidth="1"/>
    <col min="13" max="13" width="10.44140625" style="30" customWidth="1"/>
    <col min="14" max="17" width="13.5546875" style="30" customWidth="1"/>
    <col min="18" max="16384" width="10.5546875" style="30"/>
  </cols>
  <sheetData>
    <row r="1" spans="1:11" s="27" customFormat="1" ht="22.65" customHeight="1">
      <c r="B1" s="28" t="str">
        <f>Assumptions!B1</f>
        <v>Dr Lal PathLabs Ltd</v>
      </c>
      <c r="C1" s="29"/>
      <c r="D1" s="29"/>
      <c r="E1" s="29"/>
      <c r="F1" s="29"/>
      <c r="G1" s="29"/>
      <c r="H1" s="29"/>
      <c r="I1" s="29"/>
      <c r="J1" s="29"/>
      <c r="K1" s="29"/>
    </row>
    <row r="2" spans="1:11" ht="17.399999999999999">
      <c r="B2" s="31" t="s">
        <v>113</v>
      </c>
      <c r="C2" s="31"/>
      <c r="D2" s="31"/>
      <c r="E2" s="31"/>
      <c r="F2" s="31"/>
      <c r="G2" s="31"/>
      <c r="H2" s="31"/>
      <c r="I2" s="31"/>
      <c r="J2" s="31"/>
      <c r="K2" s="31"/>
    </row>
    <row r="3" spans="1:11" ht="3" customHeight="1" thickBot="1">
      <c r="B3" s="283"/>
      <c r="C3" s="283"/>
      <c r="D3" s="284"/>
      <c r="E3" s="284"/>
      <c r="F3" s="283"/>
      <c r="G3" s="283"/>
      <c r="H3" s="283"/>
      <c r="I3" s="283"/>
      <c r="J3" s="283"/>
      <c r="K3" s="283"/>
    </row>
    <row r="4" spans="1:11" ht="12.75" customHeight="1">
      <c r="C4" s="32"/>
      <c r="D4" s="33"/>
      <c r="E4" s="33"/>
      <c r="F4" s="32"/>
    </row>
    <row r="5" spans="1:11" ht="6" customHeight="1">
      <c r="B5" s="34"/>
      <c r="C5" s="35"/>
      <c r="D5" s="36"/>
      <c r="E5" s="37"/>
      <c r="G5" s="38"/>
      <c r="H5" s="38"/>
      <c r="I5" s="38"/>
      <c r="J5" s="38"/>
      <c r="K5" s="38"/>
    </row>
    <row r="6" spans="1:11" ht="16.2" customHeight="1">
      <c r="B6" s="39" t="s">
        <v>65</v>
      </c>
      <c r="C6" s="40"/>
      <c r="D6" s="343">
        <v>1</v>
      </c>
      <c r="E6" s="41"/>
      <c r="F6" s="40"/>
      <c r="G6" s="276">
        <f>Assumptions!G7</f>
        <v>2026</v>
      </c>
      <c r="H6" s="276">
        <f>G6+1</f>
        <v>2027</v>
      </c>
      <c r="I6" s="276">
        <f>H6+1</f>
        <v>2028</v>
      </c>
      <c r="J6" s="276">
        <f>I6+1</f>
        <v>2029</v>
      </c>
      <c r="K6" s="276">
        <f>J6+1</f>
        <v>2030</v>
      </c>
    </row>
    <row r="7" spans="1:11" ht="6" customHeight="1">
      <c r="B7" s="43"/>
      <c r="C7" s="44"/>
      <c r="D7" s="45"/>
      <c r="E7" s="46"/>
      <c r="F7" s="40"/>
      <c r="G7" s="42"/>
      <c r="H7" s="42"/>
      <c r="I7" s="47"/>
      <c r="J7" s="47"/>
      <c r="K7" s="42"/>
    </row>
    <row r="8" spans="1:11">
      <c r="B8" s="40"/>
      <c r="C8" s="40"/>
      <c r="D8" s="48"/>
      <c r="E8" s="48"/>
      <c r="F8" s="40"/>
      <c r="G8" s="42"/>
      <c r="H8" s="42"/>
      <c r="I8" s="47"/>
      <c r="J8" s="47"/>
      <c r="K8" s="42"/>
    </row>
    <row r="9" spans="1:11">
      <c r="B9" s="40"/>
      <c r="C9" s="40"/>
      <c r="D9" s="48"/>
      <c r="E9" s="48"/>
      <c r="F9" s="40"/>
      <c r="G9" s="42"/>
      <c r="H9" s="42"/>
      <c r="I9" s="47"/>
      <c r="J9" s="47"/>
      <c r="K9" s="42"/>
    </row>
    <row r="10" spans="1:11" ht="15.6">
      <c r="A10" s="49"/>
      <c r="B10" s="50" t="s">
        <v>60</v>
      </c>
    </row>
    <row r="11" spans="1:11" ht="12.75" customHeight="1"/>
    <row r="12" spans="1:11" ht="16.2" customHeight="1">
      <c r="B12" s="52" t="s">
        <v>64</v>
      </c>
      <c r="D12" s="53"/>
      <c r="E12" s="53"/>
      <c r="G12" s="358">
        <f>CHOOSE($D$6,G14,G15,G16)</f>
        <v>3.2000000000000001E-2</v>
      </c>
      <c r="H12" s="359">
        <f t="shared" ref="H12:K12" si="0">CHOOSE($D$6,H14,H15,H16)</f>
        <v>3.5000000000000003E-2</v>
      </c>
      <c r="I12" s="359">
        <f t="shared" si="0"/>
        <v>3.5000000000000003E-2</v>
      </c>
      <c r="J12" s="359">
        <f t="shared" si="0"/>
        <v>0.04</v>
      </c>
      <c r="K12" s="360">
        <f t="shared" si="0"/>
        <v>4.2000000000000003E-2</v>
      </c>
    </row>
    <row r="13" spans="1:11" ht="4.3499999999999996" customHeight="1">
      <c r="B13" s="54"/>
      <c r="D13" s="53"/>
      <c r="E13" s="53"/>
      <c r="G13" s="55"/>
      <c r="H13" s="56"/>
      <c r="I13" s="56"/>
      <c r="J13" s="56"/>
      <c r="K13" s="56"/>
    </row>
    <row r="14" spans="1:11">
      <c r="B14" s="54"/>
      <c r="C14" s="30" t="str">
        <f>Assumptions!C16</f>
        <v>Base Case</v>
      </c>
      <c r="D14" s="53"/>
      <c r="E14" s="53"/>
      <c r="F14" s="332"/>
      <c r="G14" s="333">
        <v>3.2000000000000001E-2</v>
      </c>
      <c r="H14" s="334">
        <v>3.5000000000000003E-2</v>
      </c>
      <c r="I14" s="334">
        <v>3.5000000000000003E-2</v>
      </c>
      <c r="J14" s="334">
        <v>0.04</v>
      </c>
      <c r="K14" s="335">
        <v>4.2000000000000003E-2</v>
      </c>
    </row>
    <row r="15" spans="1:11">
      <c r="B15" s="54"/>
      <c r="C15" s="30" t="str">
        <f>Assumptions!C17</f>
        <v>Best Case</v>
      </c>
      <c r="D15" s="53"/>
      <c r="E15" s="53"/>
      <c r="F15" s="332"/>
      <c r="G15" s="336">
        <v>0.03</v>
      </c>
      <c r="H15" s="337">
        <v>0.03</v>
      </c>
      <c r="I15" s="337">
        <v>3.2000000000000001E-2</v>
      </c>
      <c r="J15" s="337">
        <v>3.2000000000000001E-2</v>
      </c>
      <c r="K15" s="338">
        <v>3.2000000000000001E-2</v>
      </c>
    </row>
    <row r="16" spans="1:11">
      <c r="B16" s="54"/>
      <c r="C16" s="30" t="str">
        <f>Assumptions!C18</f>
        <v>Worst Case</v>
      </c>
      <c r="D16" s="53"/>
      <c r="E16" s="53"/>
      <c r="F16" s="332"/>
      <c r="G16" s="339">
        <v>0.04</v>
      </c>
      <c r="H16" s="340">
        <v>0.04</v>
      </c>
      <c r="I16" s="340">
        <v>0.04</v>
      </c>
      <c r="J16" s="340">
        <v>4.4999999999999998E-2</v>
      </c>
      <c r="K16" s="341">
        <v>4.4999999999999998E-2</v>
      </c>
    </row>
    <row r="17" spans="1:13">
      <c r="C17" s="66"/>
      <c r="D17" s="67"/>
      <c r="E17" s="67"/>
      <c r="G17" s="68"/>
      <c r="H17" s="68"/>
      <c r="I17" s="68"/>
      <c r="J17" s="68"/>
      <c r="K17" s="69"/>
    </row>
    <row r="18" spans="1:13">
      <c r="B18" s="70"/>
      <c r="C18" s="70"/>
      <c r="D18" s="71"/>
      <c r="E18" s="71"/>
      <c r="F18" s="70"/>
      <c r="G18" s="70"/>
      <c r="H18" s="70"/>
      <c r="I18" s="70"/>
      <c r="J18" s="70"/>
      <c r="K18" s="70"/>
    </row>
    <row r="20" spans="1:13" ht="12.75" customHeight="1"/>
    <row r="21" spans="1:13" ht="12.75" customHeight="1">
      <c r="B21" s="50" t="s">
        <v>159</v>
      </c>
    </row>
    <row r="22" spans="1:13" ht="12.75" customHeight="1"/>
    <row r="23" spans="1:13" s="72" customFormat="1" ht="16.2" customHeight="1">
      <c r="B23" s="52" t="s">
        <v>160</v>
      </c>
      <c r="D23" s="73"/>
      <c r="E23" s="73"/>
      <c r="G23" s="361">
        <f>CHOOSE($D$6,G25,G26,G27)</f>
        <v>288</v>
      </c>
      <c r="H23" s="362">
        <f t="shared" ref="H23:K23" si="1">CHOOSE($D$6,H25,H26,H27)</f>
        <v>290</v>
      </c>
      <c r="I23" s="362">
        <f t="shared" si="1"/>
        <v>292</v>
      </c>
      <c r="J23" s="362">
        <f t="shared" si="1"/>
        <v>292</v>
      </c>
      <c r="K23" s="363">
        <f t="shared" si="1"/>
        <v>290</v>
      </c>
    </row>
    <row r="24" spans="1:13" ht="4.3499999999999996" customHeight="1">
      <c r="B24" s="74"/>
      <c r="D24" s="53"/>
      <c r="E24" s="53"/>
      <c r="G24" s="75"/>
      <c r="H24" s="75"/>
      <c r="I24" s="75"/>
      <c r="J24" s="75"/>
      <c r="K24" s="75"/>
    </row>
    <row r="25" spans="1:13">
      <c r="C25" s="66" t="str">
        <f>C14</f>
        <v>Base Case</v>
      </c>
      <c r="D25" s="67"/>
      <c r="E25" s="67"/>
      <c r="G25" s="344">
        <v>288</v>
      </c>
      <c r="H25" s="345">
        <v>290</v>
      </c>
      <c r="I25" s="345">
        <v>292</v>
      </c>
      <c r="J25" s="345">
        <v>292</v>
      </c>
      <c r="K25" s="346">
        <v>290</v>
      </c>
      <c r="L25" s="76"/>
      <c r="M25" s="77"/>
    </row>
    <row r="26" spans="1:13">
      <c r="A26" s="236"/>
      <c r="C26" s="330" t="s">
        <v>42</v>
      </c>
      <c r="D26" s="364">
        <f>Assumptions!F17</f>
        <v>0.03</v>
      </c>
      <c r="E26" s="67"/>
      <c r="G26" s="347">
        <f>G25*(1+$D$26)</f>
        <v>296.64</v>
      </c>
      <c r="H26" s="348">
        <f>H25*(1+$D$26)</f>
        <v>298.7</v>
      </c>
      <c r="I26" s="348">
        <f t="shared" ref="I26:K26" si="2">I25*(1+$D$26)</f>
        <v>300.76</v>
      </c>
      <c r="J26" s="348">
        <f t="shared" si="2"/>
        <v>300.76</v>
      </c>
      <c r="K26" s="349">
        <f t="shared" si="2"/>
        <v>298.7</v>
      </c>
      <c r="L26" s="76"/>
      <c r="M26" s="77"/>
    </row>
    <row r="27" spans="1:13">
      <c r="A27" s="236"/>
      <c r="C27" s="331" t="s">
        <v>43</v>
      </c>
      <c r="D27" s="364">
        <f>Assumptions!F18</f>
        <v>-0.03</v>
      </c>
      <c r="E27" s="67"/>
      <c r="G27" s="350">
        <f>G25*(1+D27)</f>
        <v>279.36</v>
      </c>
      <c r="H27" s="351">
        <f>H25*(1+$D$27)</f>
        <v>281.3</v>
      </c>
      <c r="I27" s="351">
        <f t="shared" ref="I27:K27" si="3">I25*(1+$D$27)</f>
        <v>283.24</v>
      </c>
      <c r="J27" s="351">
        <f t="shared" si="3"/>
        <v>283.24</v>
      </c>
      <c r="K27" s="352">
        <f t="shared" si="3"/>
        <v>281.3</v>
      </c>
      <c r="L27" s="76"/>
      <c r="M27" s="77"/>
    </row>
    <row r="28" spans="1:13">
      <c r="C28" s="78"/>
      <c r="D28" s="67"/>
      <c r="E28" s="67"/>
      <c r="G28" s="79"/>
      <c r="H28" s="387"/>
      <c r="I28" s="387"/>
      <c r="J28" s="387"/>
      <c r="K28" s="387"/>
      <c r="L28" s="76"/>
    </row>
    <row r="29" spans="1:13">
      <c r="C29" s="78"/>
      <c r="D29" s="67"/>
      <c r="E29" s="67"/>
      <c r="G29" s="79"/>
      <c r="H29" s="79"/>
      <c r="I29" s="79"/>
      <c r="J29" s="79"/>
      <c r="K29" s="80"/>
      <c r="L29" s="76"/>
    </row>
    <row r="30" spans="1:13" ht="16.2" customHeight="1">
      <c r="B30" s="52" t="s">
        <v>161</v>
      </c>
      <c r="D30" s="53"/>
      <c r="E30" s="53"/>
      <c r="G30" s="358">
        <f>CHOOSE($D$6,G32,G33,G34)</f>
        <v>0.105</v>
      </c>
      <c r="H30" s="359">
        <f t="shared" ref="H30:K30" si="4">CHOOSE($D$6,H32,H33,H34)</f>
        <v>0.108</v>
      </c>
      <c r="I30" s="359">
        <f t="shared" si="4"/>
        <v>0.111</v>
      </c>
      <c r="J30" s="359">
        <f t="shared" si="4"/>
        <v>0.112</v>
      </c>
      <c r="K30" s="360">
        <f t="shared" si="4"/>
        <v>0.114</v>
      </c>
    </row>
    <row r="31" spans="1:13" ht="4.3499999999999996" customHeight="1">
      <c r="B31" s="54"/>
      <c r="D31" s="53"/>
      <c r="E31" s="53"/>
      <c r="G31" s="55"/>
      <c r="H31" s="56"/>
      <c r="I31" s="56"/>
      <c r="J31" s="56"/>
      <c r="K31" s="56"/>
    </row>
    <row r="32" spans="1:13">
      <c r="B32" s="54"/>
      <c r="C32" s="30" t="str">
        <f>C14</f>
        <v>Base Case</v>
      </c>
      <c r="D32" s="53"/>
      <c r="E32" s="53"/>
      <c r="G32" s="57">
        <v>0.105</v>
      </c>
      <c r="H32" s="58">
        <v>0.108</v>
      </c>
      <c r="I32" s="58">
        <v>0.111</v>
      </c>
      <c r="J32" s="58">
        <v>0.112</v>
      </c>
      <c r="K32" s="59">
        <v>0.114</v>
      </c>
    </row>
    <row r="33" spans="1:13">
      <c r="B33" s="54"/>
      <c r="C33" s="30" t="str">
        <f>C15</f>
        <v>Best Case</v>
      </c>
      <c r="D33" s="53"/>
      <c r="E33" s="53"/>
      <c r="G33" s="60">
        <v>0.108</v>
      </c>
      <c r="H33" s="61">
        <v>0.113</v>
      </c>
      <c r="I33" s="61">
        <v>0.11700000000000001</v>
      </c>
      <c r="J33" s="61">
        <v>0.12</v>
      </c>
      <c r="K33" s="62">
        <v>0.122</v>
      </c>
    </row>
    <row r="34" spans="1:13">
      <c r="B34" s="54"/>
      <c r="C34" s="30" t="str">
        <f>C16</f>
        <v>Worst Case</v>
      </c>
      <c r="D34" s="53"/>
      <c r="E34" s="53"/>
      <c r="G34" s="63">
        <v>9.5000000000000001E-2</v>
      </c>
      <c r="H34" s="64">
        <v>9.5000000000000001E-2</v>
      </c>
      <c r="I34" s="64">
        <v>9.6000000000000002E-2</v>
      </c>
      <c r="J34" s="64">
        <v>9.8000000000000004E-2</v>
      </c>
      <c r="K34" s="65">
        <v>9.9000000000000005E-2</v>
      </c>
    </row>
    <row r="35" spans="1:13">
      <c r="C35" s="78"/>
      <c r="D35" s="67"/>
      <c r="E35" s="67"/>
      <c r="G35" s="79"/>
      <c r="H35" s="387"/>
      <c r="I35" s="387"/>
      <c r="J35" s="387"/>
      <c r="K35" s="387"/>
      <c r="L35" s="76"/>
    </row>
    <row r="36" spans="1:13" ht="12.75" customHeight="1">
      <c r="B36" s="50" t="s">
        <v>265</v>
      </c>
    </row>
    <row r="37" spans="1:13" ht="12.75" customHeight="1"/>
    <row r="38" spans="1:13" s="72" customFormat="1" ht="16.2" customHeight="1">
      <c r="B38" s="52" t="s">
        <v>266</v>
      </c>
      <c r="D38" s="73"/>
      <c r="E38" s="73"/>
      <c r="G38" s="361">
        <f>CHOOSE($D$6,G40,G41,G42)</f>
        <v>51.445</v>
      </c>
      <c r="H38" s="362">
        <f t="shared" ref="H38:K38" si="5">CHOOSE($D$6,H40,H41,H42)</f>
        <v>69.540999999999997</v>
      </c>
      <c r="I38" s="362">
        <f t="shared" si="5"/>
        <v>76.89</v>
      </c>
      <c r="J38" s="362">
        <f t="shared" si="5"/>
        <v>94.129000000000005</v>
      </c>
      <c r="K38" s="363">
        <f t="shared" si="5"/>
        <v>127.627</v>
      </c>
    </row>
    <row r="39" spans="1:13" ht="4.3499999999999996" customHeight="1">
      <c r="B39" s="74"/>
      <c r="D39" s="53"/>
      <c r="E39" s="53"/>
      <c r="G39" s="75"/>
      <c r="H39" s="75"/>
      <c r="I39" s="75"/>
      <c r="J39" s="75"/>
      <c r="K39" s="75"/>
    </row>
    <row r="40" spans="1:13">
      <c r="C40" s="66" t="str">
        <f>C14</f>
        <v>Base Case</v>
      </c>
      <c r="D40" s="67"/>
      <c r="E40" s="67"/>
      <c r="G40" s="635">
        <v>51.445</v>
      </c>
      <c r="H40" s="636">
        <v>69.540999999999997</v>
      </c>
      <c r="I40" s="636">
        <v>76.89</v>
      </c>
      <c r="J40" s="636">
        <v>94.129000000000005</v>
      </c>
      <c r="K40" s="637">
        <v>127.627</v>
      </c>
      <c r="L40" s="76"/>
      <c r="M40" s="748"/>
    </row>
    <row r="41" spans="1:13">
      <c r="A41" s="236"/>
      <c r="C41" s="330" t="s">
        <v>42</v>
      </c>
      <c r="D41" s="364"/>
      <c r="E41" s="67"/>
      <c r="G41" s="638">
        <v>40.884999999999998</v>
      </c>
      <c r="H41" s="639">
        <v>45.405000000000001</v>
      </c>
      <c r="I41" s="639">
        <v>35.655999999999999</v>
      </c>
      <c r="J41" s="639">
        <v>30.3</v>
      </c>
      <c r="K41" s="640">
        <v>34.411000000000001</v>
      </c>
      <c r="L41" s="76"/>
      <c r="M41" s="77"/>
    </row>
    <row r="42" spans="1:13">
      <c r="A42" s="236"/>
      <c r="C42" s="331" t="s">
        <v>43</v>
      </c>
      <c r="D42" s="364"/>
      <c r="E42" s="67"/>
      <c r="G42" s="641">
        <v>63.106999999999999</v>
      </c>
      <c r="H42" s="642">
        <v>97.361000000000004</v>
      </c>
      <c r="I42" s="642">
        <v>126.69</v>
      </c>
      <c r="J42" s="642">
        <v>172.386</v>
      </c>
      <c r="K42" s="643">
        <v>241.52199999999999</v>
      </c>
      <c r="L42" s="76"/>
      <c r="M42" s="77"/>
    </row>
    <row r="43" spans="1:13">
      <c r="B43" s="81"/>
      <c r="C43" s="81"/>
      <c r="D43" s="82"/>
      <c r="E43" s="82"/>
      <c r="F43" s="81"/>
      <c r="G43" s="81"/>
      <c r="H43" s="81"/>
      <c r="I43" s="81"/>
      <c r="J43" s="81"/>
      <c r="K43" s="81"/>
    </row>
    <row r="46" spans="1:13">
      <c r="C46" s="40"/>
      <c r="D46" s="53"/>
      <c r="E46" s="53"/>
      <c r="G46" s="83"/>
    </row>
    <row r="47" spans="1:13">
      <c r="D47" s="67"/>
      <c r="E47" s="67"/>
      <c r="H47" s="77"/>
    </row>
    <row r="48" spans="1:13">
      <c r="D48" s="67"/>
      <c r="E48" s="67"/>
    </row>
    <row r="49" spans="7:7">
      <c r="G49" s="83"/>
    </row>
  </sheetData>
  <sheetProtection formatCells="0" formatColumns="0" formatRows="0" insertColumns="0" insertRows="0"/>
  <phoneticPr fontId="0" type="noConversion"/>
  <conditionalFormatting sqref="J355:M359">
    <cfRule type="cellIs" dxfId="0" priority="1" stopIfTrue="1" operator="greaterThan">
      <formula>330</formula>
    </cfRule>
  </conditionalFormatting>
  <printOptions horizontalCentered="1"/>
  <pageMargins left="0.25" right="0.25" top="0.25" bottom="0.25" header="0.25" footer="0.25"/>
  <pageSetup scale="95" orientation="landscape" r:id="rId1"/>
  <headerFooter alignWithMargins="0">
    <oddFooter>&amp;CPage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6" r:id="rId4" name="Drop Down 4">
              <controlPr defaultSize="0" autoLine="0" autoPict="0">
                <anchor moveWithCells="1">
                  <from>
                    <xdr:col>2</xdr:col>
                    <xdr:colOff>1196340</xdr:colOff>
                    <xdr:row>4</xdr:row>
                    <xdr:rowOff>30480</xdr:rowOff>
                  </from>
                  <to>
                    <xdr:col>4</xdr:col>
                    <xdr:colOff>655320</xdr:colOff>
                    <xdr:row>6</xdr:row>
                    <xdr:rowOff>53340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I369"/>
  <sheetViews>
    <sheetView showGridLines="0" topLeftCell="A148" zoomScaleNormal="100" zoomScaleSheetLayoutView="90" workbookViewId="0">
      <selection activeCell="K160" sqref="K160"/>
    </sheetView>
  </sheetViews>
  <sheetFormatPr defaultColWidth="9.44140625" defaultRowHeight="13.2"/>
  <cols>
    <col min="1" max="1" width="3.5546875" customWidth="1"/>
    <col min="2" max="3" width="3.21875" customWidth="1"/>
    <col min="4" max="4" width="13.5546875" customWidth="1"/>
    <col min="5" max="5" width="11" customWidth="1"/>
    <col min="6" max="6" width="11.44140625" style="91" customWidth="1"/>
    <col min="7" max="7" width="4.77734375" bestFit="1" customWidth="1"/>
    <col min="8" max="15" width="10.6640625" customWidth="1"/>
    <col min="17" max="17" width="10.21875" bestFit="1" customWidth="1"/>
    <col min="18" max="18" width="10.77734375" customWidth="1"/>
  </cols>
  <sheetData>
    <row r="1" spans="1:15" ht="12.75" customHeight="1">
      <c r="A1" s="84"/>
      <c r="B1" s="2"/>
      <c r="C1" s="3"/>
      <c r="D1" s="3"/>
      <c r="E1" s="3"/>
      <c r="F1" s="85"/>
      <c r="G1" s="3"/>
      <c r="H1" s="3"/>
      <c r="I1" s="3"/>
      <c r="J1" s="3"/>
      <c r="K1" s="3"/>
      <c r="L1" s="3"/>
      <c r="M1" s="3"/>
      <c r="N1" s="3"/>
      <c r="O1" s="535" t="str">
        <f>UPPER("Currently Running: "&amp;CHOOSE(Scenarios!$D$6,Scenarios!C14,Scenarios!C15,Scenarios!C16)&amp;" Scenario")</f>
        <v>CURRENTLY RUNNING: BASE CASE SCENARIO</v>
      </c>
    </row>
    <row r="2" spans="1:15" ht="22.8">
      <c r="A2" s="86"/>
      <c r="B2" s="1" t="str">
        <f>Scenarios!B1</f>
        <v>Dr Lal PathLabs Ltd</v>
      </c>
      <c r="C2" s="3"/>
      <c r="D2" s="3"/>
      <c r="E2" s="3"/>
      <c r="F2" s="85"/>
      <c r="G2" s="3"/>
      <c r="H2" s="3"/>
      <c r="I2" s="3"/>
      <c r="J2" s="3"/>
      <c r="K2" s="3"/>
      <c r="L2" s="3"/>
      <c r="M2" s="3"/>
      <c r="N2" s="3"/>
      <c r="O2" s="3"/>
    </row>
    <row r="3" spans="1:15" ht="17.399999999999999">
      <c r="A3" s="87"/>
      <c r="B3" s="88" t="s">
        <v>66</v>
      </c>
      <c r="C3" s="89"/>
      <c r="D3" s="89"/>
      <c r="E3" s="89"/>
      <c r="F3" s="90"/>
      <c r="G3" s="89"/>
      <c r="H3" s="89"/>
      <c r="I3" s="89"/>
      <c r="J3" s="89"/>
      <c r="K3" s="89"/>
      <c r="L3" s="89"/>
      <c r="M3" s="89"/>
      <c r="N3" s="89"/>
      <c r="O3" s="89"/>
    </row>
    <row r="4" spans="1:15" ht="3" customHeight="1" thickBot="1">
      <c r="A4" s="87"/>
      <c r="B4" s="280"/>
      <c r="C4" s="281"/>
      <c r="D4" s="281"/>
      <c r="E4" s="281"/>
      <c r="F4" s="282"/>
      <c r="G4" s="281"/>
      <c r="H4" s="281"/>
      <c r="I4" s="281"/>
      <c r="J4" s="281"/>
      <c r="K4" s="281"/>
      <c r="L4" s="281"/>
      <c r="M4" s="281"/>
      <c r="N4" s="281"/>
      <c r="O4" s="281"/>
    </row>
    <row r="5" spans="1:15" ht="12.75" customHeight="1">
      <c r="A5" s="88"/>
      <c r="B5" s="89"/>
      <c r="C5" s="89"/>
      <c r="D5" s="89"/>
      <c r="E5" s="89"/>
      <c r="F5" s="90"/>
      <c r="G5" s="89"/>
      <c r="H5" s="89"/>
      <c r="I5" s="89"/>
      <c r="J5" s="89"/>
      <c r="K5" s="89"/>
      <c r="L5" s="89"/>
      <c r="M5" s="89"/>
      <c r="N5" s="89"/>
      <c r="O5" s="89"/>
    </row>
    <row r="6" spans="1:15">
      <c r="G6" s="92"/>
      <c r="K6" s="93" t="s">
        <v>1</v>
      </c>
      <c r="L6" s="16"/>
      <c r="M6" s="16"/>
      <c r="N6" s="16"/>
      <c r="O6" s="16"/>
    </row>
    <row r="7" spans="1:15">
      <c r="G7" s="17"/>
      <c r="H7" s="272">
        <f>I7-1</f>
        <v>2023</v>
      </c>
      <c r="I7" s="272">
        <f>J7-1</f>
        <v>2024</v>
      </c>
      <c r="J7" s="272">
        <f>K7-1</f>
        <v>2025</v>
      </c>
      <c r="K7" s="107">
        <f>Scenarios!G6</f>
        <v>2026</v>
      </c>
      <c r="L7" s="107">
        <f>Scenarios!H6</f>
        <v>2027</v>
      </c>
      <c r="M7" s="107">
        <f>Scenarios!I6</f>
        <v>2028</v>
      </c>
      <c r="N7" s="107">
        <f>Scenarios!J6</f>
        <v>2029</v>
      </c>
      <c r="O7" s="107">
        <f>Scenarios!K6</f>
        <v>2030</v>
      </c>
    </row>
    <row r="8" spans="1:15" ht="12.75" customHeight="1">
      <c r="H8" s="94"/>
      <c r="I8" s="94"/>
      <c r="J8" s="94"/>
    </row>
    <row r="9" spans="1:15">
      <c r="B9" s="95" t="s">
        <v>168</v>
      </c>
      <c r="F9" s="96"/>
      <c r="H9" s="94"/>
      <c r="I9" s="94"/>
      <c r="J9" s="94"/>
      <c r="K9" s="369"/>
      <c r="L9" s="357"/>
      <c r="M9" s="357"/>
      <c r="N9" s="357"/>
      <c r="O9" s="357"/>
    </row>
    <row r="10" spans="1:15">
      <c r="C10" s="9" t="s">
        <v>164</v>
      </c>
      <c r="F10" s="97" t="s">
        <v>165</v>
      </c>
      <c r="H10" s="98"/>
      <c r="I10" s="98"/>
      <c r="J10" s="99">
        <v>286.88</v>
      </c>
      <c r="K10" s="370">
        <f>Scenarios!G23</f>
        <v>288</v>
      </c>
      <c r="L10" s="370">
        <f>Scenarios!H23</f>
        <v>290</v>
      </c>
      <c r="M10" s="370">
        <f>Scenarios!I23</f>
        <v>292</v>
      </c>
      <c r="N10" s="370">
        <f>Scenarios!J23</f>
        <v>292</v>
      </c>
      <c r="O10" s="370">
        <f>Scenarios!K23</f>
        <v>290</v>
      </c>
    </row>
    <row r="11" spans="1:15" ht="5.4" customHeight="1">
      <c r="C11" s="9"/>
      <c r="F11" s="97"/>
      <c r="H11" s="98"/>
      <c r="I11" s="98"/>
      <c r="J11" s="99"/>
      <c r="K11" s="370"/>
      <c r="L11" s="370"/>
      <c r="M11" s="370"/>
      <c r="N11" s="370"/>
      <c r="O11" s="370"/>
    </row>
    <row r="12" spans="1:15">
      <c r="C12" t="s">
        <v>74</v>
      </c>
      <c r="F12" s="96" t="s">
        <v>75</v>
      </c>
      <c r="H12" s="100"/>
      <c r="I12" s="101"/>
      <c r="J12" s="366"/>
      <c r="K12" s="371">
        <f>Scenarios!G30</f>
        <v>0.105</v>
      </c>
      <c r="L12" s="371">
        <f>Scenarios!H30</f>
        <v>0.108</v>
      </c>
      <c r="M12" s="371">
        <f>Scenarios!I30</f>
        <v>0.111</v>
      </c>
      <c r="N12" s="371">
        <f>Scenarios!J30</f>
        <v>0.112</v>
      </c>
      <c r="O12" s="371">
        <f>Scenarios!K30</f>
        <v>0.114</v>
      </c>
    </row>
    <row r="13" spans="1:15" s="365" customFormat="1">
      <c r="C13" s="365" t="s">
        <v>167</v>
      </c>
      <c r="F13" s="96" t="s">
        <v>166</v>
      </c>
      <c r="H13" s="98"/>
      <c r="I13" s="98"/>
      <c r="J13" s="373">
        <f>Assumptions!N14</f>
        <v>8.58</v>
      </c>
      <c r="K13" s="372">
        <f>J13*(1+K12)</f>
        <v>9.4809000000000001</v>
      </c>
      <c r="L13" s="372">
        <f t="shared" ref="L13:O13" si="0">K13*(1+L12)</f>
        <v>10.504837200000001</v>
      </c>
      <c r="M13" s="372">
        <f t="shared" si="0"/>
        <v>11.670874129200001</v>
      </c>
      <c r="N13" s="372">
        <f t="shared" si="0"/>
        <v>12.978012031670403</v>
      </c>
      <c r="O13" s="372">
        <f t="shared" si="0"/>
        <v>14.45750540328083</v>
      </c>
    </row>
    <row r="14" spans="1:15" ht="6" customHeight="1">
      <c r="C14" s="107"/>
      <c r="F14" s="108"/>
      <c r="H14" s="106"/>
      <c r="I14" s="106"/>
      <c r="J14" s="106"/>
      <c r="K14" s="106"/>
      <c r="L14" s="106"/>
      <c r="M14" s="106"/>
      <c r="N14" s="106"/>
      <c r="O14" s="106"/>
    </row>
    <row r="15" spans="1:15" ht="13.8" thickBot="1">
      <c r="B15" s="107" t="s">
        <v>136</v>
      </c>
      <c r="C15" s="365"/>
      <c r="F15" s="96"/>
      <c r="H15" s="111"/>
      <c r="I15" s="111"/>
      <c r="J15" s="747">
        <f>J10*J13</f>
        <v>2461.4304000000002</v>
      </c>
      <c r="K15" s="747">
        <f>K10*K13</f>
        <v>2730.4992000000002</v>
      </c>
      <c r="L15" s="747">
        <f t="shared" ref="L15:O15" si="1">L10*L13</f>
        <v>3046.4027880000003</v>
      </c>
      <c r="M15" s="747">
        <f t="shared" si="1"/>
        <v>3407.8952457264004</v>
      </c>
      <c r="N15" s="747">
        <f t="shared" si="1"/>
        <v>3789.5795132477579</v>
      </c>
      <c r="O15" s="747">
        <f t="shared" si="1"/>
        <v>4192.6765669514407</v>
      </c>
    </row>
    <row r="16" spans="1:15" ht="13.8" thickTop="1">
      <c r="C16" s="107"/>
      <c r="F16" s="96"/>
      <c r="H16" s="111"/>
      <c r="I16" s="111"/>
      <c r="J16" s="375"/>
      <c r="K16" s="376"/>
      <c r="L16" s="376"/>
      <c r="M16" s="376"/>
      <c r="N16" s="376"/>
      <c r="O16" s="376"/>
    </row>
    <row r="17" spans="1:15" ht="12.75" customHeight="1">
      <c r="B17" s="10"/>
      <c r="C17" s="10"/>
      <c r="D17" s="10"/>
      <c r="E17" s="10"/>
      <c r="F17" s="112"/>
      <c r="G17" s="10"/>
      <c r="H17" s="10"/>
      <c r="I17" s="10"/>
      <c r="J17" s="10"/>
      <c r="K17" s="10"/>
      <c r="L17" s="10"/>
      <c r="M17" s="10"/>
      <c r="N17" s="10"/>
      <c r="O17" s="10"/>
    </row>
    <row r="18" spans="1:15" ht="12.75" customHeight="1"/>
    <row r="19" spans="1:15" ht="12.75" customHeight="1">
      <c r="A19" s="86"/>
      <c r="B19" s="1"/>
      <c r="C19" s="3"/>
      <c r="D19" s="3"/>
      <c r="E19" s="3"/>
      <c r="F19" s="85"/>
      <c r="G19" s="3"/>
      <c r="H19" s="3"/>
      <c r="I19" s="3"/>
      <c r="J19" s="3"/>
      <c r="K19" s="3"/>
      <c r="L19" s="3"/>
      <c r="M19" s="3"/>
      <c r="N19" s="3"/>
      <c r="O19" s="113" t="str">
        <f>$O$1</f>
        <v>CURRENTLY RUNNING: BASE CASE SCENARIO</v>
      </c>
    </row>
    <row r="20" spans="1:15" ht="22.8">
      <c r="A20" s="86"/>
      <c r="B20" s="1" t="str">
        <f>B$2</f>
        <v>Dr Lal PathLabs Ltd</v>
      </c>
      <c r="C20" s="3"/>
      <c r="D20" s="3"/>
      <c r="E20" s="3"/>
      <c r="F20" s="85"/>
      <c r="G20" s="3"/>
      <c r="H20" s="3"/>
      <c r="I20" s="3"/>
      <c r="J20" s="3"/>
      <c r="K20" s="3"/>
      <c r="L20" s="3"/>
      <c r="M20" s="3"/>
      <c r="N20" s="3"/>
      <c r="O20" s="3"/>
    </row>
    <row r="21" spans="1:15" ht="17.399999999999999">
      <c r="A21" s="87"/>
      <c r="B21" s="88" t="s">
        <v>110</v>
      </c>
      <c r="C21" s="89"/>
      <c r="D21" s="89"/>
      <c r="E21" s="89"/>
      <c r="F21" s="90"/>
      <c r="G21" s="89"/>
      <c r="H21" s="89"/>
      <c r="I21" s="89"/>
      <c r="J21" s="89"/>
      <c r="K21" s="89"/>
      <c r="L21" s="89"/>
      <c r="M21" s="89"/>
      <c r="N21" s="89"/>
      <c r="O21" s="89"/>
    </row>
    <row r="22" spans="1:15" ht="3" customHeight="1" thickBot="1">
      <c r="A22" s="87"/>
      <c r="B22" s="280"/>
      <c r="C22" s="281"/>
      <c r="D22" s="281"/>
      <c r="E22" s="281"/>
      <c r="F22" s="282"/>
      <c r="G22" s="281"/>
      <c r="H22" s="281"/>
      <c r="I22" s="281"/>
      <c r="J22" s="281"/>
      <c r="K22" s="281"/>
      <c r="L22" s="281"/>
      <c r="M22" s="281"/>
      <c r="N22" s="281"/>
      <c r="O22" s="281"/>
    </row>
    <row r="23" spans="1:15" ht="12.75" customHeight="1">
      <c r="A23" s="88"/>
      <c r="B23" s="89"/>
      <c r="C23" s="89"/>
      <c r="D23" s="89"/>
      <c r="E23" s="89"/>
      <c r="F23" s="90"/>
      <c r="G23" s="89"/>
      <c r="H23" s="89"/>
      <c r="I23" s="89"/>
      <c r="J23" s="89"/>
      <c r="K23" s="89"/>
      <c r="L23" s="89"/>
      <c r="M23" s="89"/>
      <c r="N23" s="89"/>
      <c r="O23" s="89"/>
    </row>
    <row r="24" spans="1:15">
      <c r="G24" s="92"/>
      <c r="K24" s="93" t="s">
        <v>1</v>
      </c>
      <c r="L24" s="16"/>
      <c r="M24" s="16"/>
      <c r="N24" s="16"/>
      <c r="O24" s="16"/>
    </row>
    <row r="25" spans="1:15">
      <c r="G25" s="17"/>
      <c r="H25" s="272">
        <f t="shared" ref="H25:J25" si="2">H$7</f>
        <v>2023</v>
      </c>
      <c r="I25" s="272">
        <f t="shared" si="2"/>
        <v>2024</v>
      </c>
      <c r="J25" s="272">
        <f t="shared" si="2"/>
        <v>2025</v>
      </c>
      <c r="K25" s="273">
        <f>K$7</f>
        <v>2026</v>
      </c>
      <c r="L25" s="273">
        <f>L$7</f>
        <v>2027</v>
      </c>
      <c r="M25" s="273">
        <f>M$7</f>
        <v>2028</v>
      </c>
      <c r="N25" s="273">
        <f>N$7</f>
        <v>2029</v>
      </c>
      <c r="O25" s="273">
        <f>O$7</f>
        <v>2030</v>
      </c>
    </row>
    <row r="26" spans="1:15" ht="12.9" customHeight="1">
      <c r="G26" s="17"/>
      <c r="H26" s="17"/>
      <c r="I26" s="17"/>
      <c r="J26" s="17"/>
      <c r="K26" s="17"/>
      <c r="L26" s="17"/>
      <c r="M26" s="17"/>
      <c r="N26" s="17"/>
      <c r="O26" s="17"/>
    </row>
    <row r="27" spans="1:15" ht="12.9" customHeight="1">
      <c r="B27" s="115" t="s">
        <v>167</v>
      </c>
      <c r="C27" s="116"/>
      <c r="D27" s="116"/>
      <c r="E27" s="116"/>
      <c r="F27" s="117" t="s">
        <v>166</v>
      </c>
      <c r="G27" s="118"/>
      <c r="H27" s="119"/>
      <c r="I27" s="119"/>
      <c r="J27" s="367">
        <f t="shared" ref="J27:O27" si="3">J13</f>
        <v>8.58</v>
      </c>
      <c r="K27" s="367">
        <f t="shared" si="3"/>
        <v>9.4809000000000001</v>
      </c>
      <c r="L27" s="367">
        <f t="shared" si="3"/>
        <v>10.504837200000001</v>
      </c>
      <c r="M27" s="367">
        <f t="shared" si="3"/>
        <v>11.670874129200001</v>
      </c>
      <c r="N27" s="367">
        <f t="shared" si="3"/>
        <v>12.978012031670403</v>
      </c>
      <c r="O27" s="368">
        <f t="shared" si="3"/>
        <v>14.45750540328083</v>
      </c>
    </row>
    <row r="28" spans="1:15" ht="12.9" customHeight="1">
      <c r="B28" s="392" t="s">
        <v>64</v>
      </c>
      <c r="C28" s="327"/>
      <c r="D28" s="327"/>
      <c r="E28" s="327"/>
      <c r="F28" s="393" t="s">
        <v>75</v>
      </c>
      <c r="G28" s="394"/>
      <c r="H28" s="395"/>
      <c r="I28" s="395"/>
      <c r="J28" s="396"/>
      <c r="K28" s="371">
        <f>Scenarios!G12</f>
        <v>3.2000000000000001E-2</v>
      </c>
      <c r="L28" s="371">
        <f>Scenarios!H12</f>
        <v>3.5000000000000003E-2</v>
      </c>
      <c r="M28" s="371">
        <f>Scenarios!I12</f>
        <v>3.5000000000000003E-2</v>
      </c>
      <c r="N28" s="371">
        <f>Scenarios!J12</f>
        <v>0.04</v>
      </c>
      <c r="O28" s="397">
        <f>Scenarios!K12</f>
        <v>4.2000000000000003E-2</v>
      </c>
    </row>
    <row r="29" spans="1:15">
      <c r="B29" s="120" t="s">
        <v>177</v>
      </c>
      <c r="C29" s="104"/>
      <c r="D29" s="104"/>
      <c r="E29" s="104"/>
      <c r="F29" s="109"/>
      <c r="G29" s="121"/>
      <c r="H29" s="122"/>
      <c r="I29" s="122"/>
      <c r="J29" s="122"/>
      <c r="K29" s="374">
        <f>Assumptions!H28</f>
        <v>0.04</v>
      </c>
      <c r="L29" s="398">
        <f>K29</f>
        <v>0.04</v>
      </c>
      <c r="M29" s="398">
        <f t="shared" ref="M29:O29" si="4">L29</f>
        <v>0.04</v>
      </c>
      <c r="N29" s="398">
        <f t="shared" si="4"/>
        <v>0.04</v>
      </c>
      <c r="O29" s="399">
        <f t="shared" si="4"/>
        <v>0.04</v>
      </c>
    </row>
    <row r="30" spans="1:15" ht="12.9" customHeight="1">
      <c r="B30" s="123"/>
      <c r="G30" s="17"/>
      <c r="H30" s="17"/>
      <c r="I30" s="17"/>
      <c r="J30" s="17"/>
      <c r="K30" s="17"/>
      <c r="L30" s="17"/>
      <c r="M30" s="17"/>
      <c r="N30" s="17"/>
      <c r="O30" s="17"/>
    </row>
    <row r="31" spans="1:15" ht="12.75" customHeight="1">
      <c r="B31" s="124" t="s">
        <v>51</v>
      </c>
      <c r="G31" s="17"/>
      <c r="H31" s="17"/>
      <c r="I31" s="17"/>
      <c r="J31" s="17"/>
      <c r="K31" s="17"/>
      <c r="L31" s="325"/>
      <c r="M31" s="17"/>
      <c r="N31" s="17"/>
      <c r="O31" s="17"/>
    </row>
    <row r="32" spans="1:15">
      <c r="D32" s="15" t="str">
        <f>Assumptions!C24</f>
        <v>Materials</v>
      </c>
      <c r="F32" s="97" t="s">
        <v>165</v>
      </c>
      <c r="H32" s="125"/>
      <c r="I32" s="125"/>
      <c r="J32" s="125"/>
      <c r="K32" s="381">
        <f>Assumptions!E24</f>
        <v>57.8</v>
      </c>
      <c r="L32" s="382">
        <f>K32*(1+L28)*(1-L29)</f>
        <v>57.43007999999999</v>
      </c>
      <c r="M32" s="382">
        <f t="shared" ref="M32:O32" si="5">L32*(1+M28)*(1-M29)</f>
        <v>57.062527487999986</v>
      </c>
      <c r="N32" s="382">
        <f t="shared" si="5"/>
        <v>56.971227444019192</v>
      </c>
      <c r="O32" s="382">
        <f t="shared" si="5"/>
        <v>56.989458236801276</v>
      </c>
    </row>
    <row r="33" spans="1:16">
      <c r="D33" s="15" t="str">
        <f>Assumptions!C25</f>
        <v>Lab Test Charges</v>
      </c>
      <c r="F33" s="97" t="s">
        <v>165</v>
      </c>
      <c r="H33" s="125"/>
      <c r="I33" s="125"/>
      <c r="J33" s="125"/>
      <c r="K33" s="383">
        <f>Assumptions!E25</f>
        <v>1.71</v>
      </c>
      <c r="L33" s="384">
        <f>K33*(1+L28)*(1-L29)</f>
        <v>1.6990559999999999</v>
      </c>
      <c r="M33" s="384">
        <f t="shared" ref="M33:O33" si="6">L33*(1+M28)*(1-M29)</f>
        <v>1.6881820415999997</v>
      </c>
      <c r="N33" s="384">
        <f t="shared" si="6"/>
        <v>1.6854809503334398</v>
      </c>
      <c r="O33" s="384">
        <f t="shared" si="6"/>
        <v>1.6860203042375466</v>
      </c>
    </row>
    <row r="34" spans="1:16" ht="13.8" thickBot="1">
      <c r="C34" s="107"/>
      <c r="D34" s="107" t="s">
        <v>171</v>
      </c>
      <c r="E34" s="107"/>
      <c r="F34" s="103" t="s">
        <v>165</v>
      </c>
      <c r="G34" s="107"/>
      <c r="H34" s="131"/>
      <c r="I34" s="131"/>
      <c r="J34" s="131"/>
      <c r="K34" s="380">
        <f>SUM(K32:K33)</f>
        <v>59.51</v>
      </c>
      <c r="L34" s="380">
        <f t="shared" ref="L34:O34" si="7">SUM(L32:L33)</f>
        <v>59.129135999999988</v>
      </c>
      <c r="M34" s="380">
        <f t="shared" si="7"/>
        <v>58.750709529599987</v>
      </c>
      <c r="N34" s="380">
        <f t="shared" si="7"/>
        <v>58.656708394352634</v>
      </c>
      <c r="O34" s="380">
        <f t="shared" si="7"/>
        <v>58.675478541038821</v>
      </c>
      <c r="P34" s="130"/>
    </row>
    <row r="35" spans="1:16" ht="12.9" customHeight="1" thickTop="1">
      <c r="B35" s="105"/>
      <c r="C35" s="132"/>
      <c r="D35" s="104"/>
      <c r="E35" s="104"/>
      <c r="F35" s="133"/>
      <c r="G35" s="134"/>
      <c r="H35" s="134"/>
      <c r="I35" s="134"/>
      <c r="J35" s="134"/>
      <c r="K35" s="134"/>
      <c r="L35" s="134"/>
      <c r="M35" s="134"/>
      <c r="N35" s="134"/>
      <c r="O35" s="134"/>
    </row>
    <row r="36" spans="1:16" ht="12.9" customHeight="1">
      <c r="B36" s="95"/>
      <c r="C36" s="107"/>
      <c r="F36" s="127"/>
      <c r="H36" s="131"/>
      <c r="I36" s="131"/>
      <c r="J36" s="131"/>
      <c r="K36" s="131"/>
      <c r="L36" s="131"/>
      <c r="M36" s="131"/>
      <c r="N36" s="131"/>
      <c r="O36" s="131"/>
    </row>
    <row r="37" spans="1:16">
      <c r="B37" s="124" t="s">
        <v>170</v>
      </c>
      <c r="C37" s="107"/>
      <c r="F37" s="127"/>
      <c r="H37" s="131"/>
      <c r="I37" s="131"/>
      <c r="J37" s="131"/>
      <c r="K37" s="131"/>
      <c r="L37" s="131"/>
      <c r="M37" s="131"/>
      <c r="N37" s="131"/>
      <c r="O37" s="131"/>
    </row>
    <row r="38" spans="1:16">
      <c r="D38" s="15" t="str">
        <f>D32</f>
        <v>Materials</v>
      </c>
      <c r="F38" s="96" t="s">
        <v>163</v>
      </c>
      <c r="H38" s="126"/>
      <c r="I38" s="126"/>
      <c r="J38" s="126"/>
      <c r="K38" s="382">
        <f>K32*K27</f>
        <v>547.99601999999993</v>
      </c>
      <c r="L38" s="382">
        <f>L32*L27</f>
        <v>603.2936407829759</v>
      </c>
      <c r="M38" s="382">
        <f>M32*M27</f>
        <v>665.96957580646301</v>
      </c>
      <c r="N38" s="382">
        <f>N32*N27</f>
        <v>739.37327522751218</v>
      </c>
      <c r="O38" s="382">
        <f>O32*O27</f>
        <v>823.9254003886017</v>
      </c>
    </row>
    <row r="39" spans="1:16">
      <c r="D39" s="15" t="str">
        <f>D33</f>
        <v>Lab Test Charges</v>
      </c>
      <c r="F39" s="96" t="s">
        <v>163</v>
      </c>
      <c r="H39" s="126"/>
      <c r="I39" s="126"/>
      <c r="J39" s="126"/>
      <c r="K39" s="382">
        <f>K33*K27</f>
        <v>16.212339</v>
      </c>
      <c r="L39" s="382">
        <f>L33*L27</f>
        <v>17.848306673683201</v>
      </c>
      <c r="M39" s="382">
        <f>M33*M27</f>
        <v>19.702560114689476</v>
      </c>
      <c r="N39" s="382">
        <f>N33*N27</f>
        <v>21.874192052578646</v>
      </c>
      <c r="O39" s="382">
        <f>O33*O27</f>
        <v>24.375647658555518</v>
      </c>
    </row>
    <row r="40" spans="1:16" ht="12.75" customHeight="1">
      <c r="D40" s="15" t="str">
        <f>Assumptions!C26</f>
        <v>Utilities</v>
      </c>
      <c r="E40" s="378">
        <f>Assumptions!E26</f>
        <v>1.12E-2</v>
      </c>
      <c r="F40" s="91" t="s">
        <v>175</v>
      </c>
      <c r="H40" s="126"/>
      <c r="I40" s="126"/>
      <c r="J40" s="126"/>
      <c r="K40" s="382">
        <f>K15*$E$40</f>
        <v>30.581591040000003</v>
      </c>
      <c r="L40" s="382">
        <f>L15*$E$40</f>
        <v>34.119711225600007</v>
      </c>
      <c r="M40" s="382">
        <f>M15*$E$40</f>
        <v>38.168426752135687</v>
      </c>
      <c r="N40" s="382">
        <f>N15*$E$40</f>
        <v>42.44329054837489</v>
      </c>
      <c r="O40" s="382">
        <f>O15*$E$40</f>
        <v>46.957977549856132</v>
      </c>
    </row>
    <row r="41" spans="1:16" ht="12.75" customHeight="1">
      <c r="D41" s="15" t="s">
        <v>173</v>
      </c>
      <c r="E41" s="378"/>
      <c r="F41" s="96" t="s">
        <v>163</v>
      </c>
      <c r="H41" s="126"/>
      <c r="I41" s="126"/>
      <c r="J41" s="126"/>
      <c r="K41" s="381">
        <f>Assumptions!J51</f>
        <v>19.420000000000002</v>
      </c>
      <c r="L41" s="381">
        <f>Assumptions!K51</f>
        <v>24</v>
      </c>
      <c r="M41" s="381">
        <f>Assumptions!L51</f>
        <v>29</v>
      </c>
      <c r="N41" s="381">
        <f>Assumptions!M51</f>
        <v>36</v>
      </c>
      <c r="O41" s="381">
        <f>Assumptions!N51</f>
        <v>45</v>
      </c>
    </row>
    <row r="42" spans="1:16" s="107" customFormat="1" ht="12.75" customHeight="1">
      <c r="D42" s="102" t="s">
        <v>3</v>
      </c>
      <c r="E42" s="389"/>
      <c r="F42" s="127" t="s">
        <v>163</v>
      </c>
      <c r="H42" s="128"/>
      <c r="I42" s="128"/>
      <c r="J42" s="128"/>
      <c r="K42" s="390">
        <f>SUM(K38:K41)</f>
        <v>614.20995003999997</v>
      </c>
      <c r="L42" s="390">
        <f t="shared" ref="L42:O42" si="8">SUM(L38:L41)</f>
        <v>679.26165868225905</v>
      </c>
      <c r="M42" s="390">
        <f t="shared" si="8"/>
        <v>752.84056267328822</v>
      </c>
      <c r="N42" s="390">
        <f t="shared" si="8"/>
        <v>839.69075782846573</v>
      </c>
      <c r="O42" s="390">
        <f t="shared" si="8"/>
        <v>940.25902559701331</v>
      </c>
    </row>
    <row r="43" spans="1:16" s="107" customFormat="1" ht="4.2" customHeight="1">
      <c r="D43" s="102"/>
      <c r="E43" s="389"/>
      <c r="F43" s="127"/>
      <c r="H43" s="128"/>
      <c r="I43" s="128"/>
      <c r="J43" s="128"/>
      <c r="K43" s="152"/>
      <c r="L43" s="152"/>
      <c r="M43" s="152"/>
      <c r="N43" s="152"/>
      <c r="O43" s="152"/>
    </row>
    <row r="44" spans="1:16">
      <c r="D44" s="15" t="s">
        <v>58</v>
      </c>
      <c r="E44" s="379">
        <f>Assumptions!E27</f>
        <v>0.5</v>
      </c>
      <c r="F44" s="91" t="s">
        <v>175</v>
      </c>
      <c r="H44" s="126"/>
      <c r="I44" s="126"/>
      <c r="J44" s="126"/>
      <c r="K44" s="384">
        <f>K15*$E$44</f>
        <v>1365.2496000000001</v>
      </c>
      <c r="L44" s="384">
        <f>L15*$E$44</f>
        <v>1523.2013940000002</v>
      </c>
      <c r="M44" s="384">
        <f>M15*$E$44</f>
        <v>1703.9476228632002</v>
      </c>
      <c r="N44" s="384">
        <f>N15*$E$44</f>
        <v>1894.7897566238789</v>
      </c>
      <c r="O44" s="384">
        <f>O15*$E$44</f>
        <v>2096.3382834757203</v>
      </c>
    </row>
    <row r="45" spans="1:16" ht="13.8" thickBot="1">
      <c r="D45" s="95" t="s">
        <v>33</v>
      </c>
      <c r="F45" s="127" t="s">
        <v>163</v>
      </c>
      <c r="H45" s="128"/>
      <c r="I45" s="128"/>
      <c r="J45" s="128"/>
      <c r="K45" s="385">
        <f>K42+K44</f>
        <v>1979.4595500400001</v>
      </c>
      <c r="L45" s="385">
        <f t="shared" ref="L45:O45" si="9">L42+L44</f>
        <v>2202.4630526822593</v>
      </c>
      <c r="M45" s="385">
        <f t="shared" si="9"/>
        <v>2456.7881855364885</v>
      </c>
      <c r="N45" s="385">
        <f t="shared" si="9"/>
        <v>2734.4805144523448</v>
      </c>
      <c r="O45" s="385">
        <f t="shared" si="9"/>
        <v>3036.5973090727339</v>
      </c>
      <c r="P45" s="130"/>
    </row>
    <row r="46" spans="1:16" ht="12.75" customHeight="1" thickTop="1">
      <c r="B46" s="135"/>
      <c r="C46" s="136"/>
      <c r="D46" s="10"/>
      <c r="E46" s="10"/>
      <c r="F46" s="137"/>
      <c r="G46" s="138"/>
      <c r="H46" s="138"/>
      <c r="I46" s="138"/>
      <c r="J46" s="138"/>
      <c r="K46" s="138"/>
      <c r="L46" s="138"/>
      <c r="M46" s="138"/>
      <c r="N46" s="138"/>
      <c r="O46" s="138"/>
    </row>
    <row r="47" spans="1:16">
      <c r="H47" s="139"/>
      <c r="I47" s="139"/>
      <c r="J47" s="139"/>
      <c r="K47" s="139"/>
      <c r="L47" s="139"/>
      <c r="M47" s="139"/>
      <c r="N47" s="139"/>
      <c r="O47" s="139"/>
    </row>
    <row r="48" spans="1:16" ht="12.75" customHeight="1">
      <c r="A48" s="86"/>
      <c r="B48" s="1"/>
      <c r="C48" s="3"/>
      <c r="D48" s="3"/>
      <c r="E48" s="3"/>
      <c r="F48" s="85"/>
      <c r="G48" s="3"/>
      <c r="H48" s="3"/>
      <c r="I48" s="3"/>
      <c r="J48" s="3"/>
      <c r="K48" s="3"/>
      <c r="L48" s="3"/>
      <c r="M48" s="3"/>
      <c r="N48" s="3"/>
      <c r="O48" s="113" t="str">
        <f>$O$1</f>
        <v>CURRENTLY RUNNING: BASE CASE SCENARIO</v>
      </c>
    </row>
    <row r="49" spans="1:16" ht="22.8">
      <c r="A49" s="86"/>
      <c r="B49" s="1" t="str">
        <f>B$2</f>
        <v>Dr Lal PathLabs Ltd</v>
      </c>
      <c r="C49" s="3"/>
      <c r="D49" s="3"/>
      <c r="E49" s="3"/>
      <c r="F49" s="85"/>
      <c r="G49" s="3"/>
      <c r="H49" s="3"/>
      <c r="I49" s="3"/>
      <c r="J49" s="3"/>
      <c r="K49" s="3"/>
      <c r="L49" s="3"/>
      <c r="M49" s="3"/>
      <c r="N49" s="3"/>
      <c r="O49" s="3"/>
    </row>
    <row r="50" spans="1:16" ht="17.399999999999999">
      <c r="A50" s="87"/>
      <c r="B50" s="88" t="s">
        <v>27</v>
      </c>
      <c r="C50" s="89"/>
      <c r="D50" s="89"/>
      <c r="E50" s="89"/>
      <c r="F50" s="90"/>
      <c r="G50" s="89"/>
      <c r="H50" s="89"/>
      <c r="I50" s="89"/>
      <c r="J50" s="89"/>
      <c r="K50" s="89"/>
      <c r="L50" s="89"/>
      <c r="M50" s="89"/>
      <c r="N50" s="89"/>
      <c r="O50" s="89"/>
    </row>
    <row r="51" spans="1:16" ht="3" customHeight="1" thickBot="1">
      <c r="A51" s="87"/>
      <c r="B51" s="280"/>
      <c r="C51" s="281"/>
      <c r="D51" s="281"/>
      <c r="E51" s="281"/>
      <c r="F51" s="282"/>
      <c r="G51" s="281"/>
      <c r="H51" s="281"/>
      <c r="I51" s="281"/>
      <c r="J51" s="281"/>
      <c r="K51" s="281"/>
      <c r="L51" s="281"/>
      <c r="M51" s="281"/>
      <c r="N51" s="281"/>
      <c r="O51" s="281"/>
    </row>
    <row r="52" spans="1:16" ht="15" customHeight="1">
      <c r="A52" s="88"/>
      <c r="B52" s="140" t="s">
        <v>120</v>
      </c>
      <c r="C52" s="89"/>
      <c r="D52" s="89"/>
      <c r="E52" s="89"/>
      <c r="F52" s="90"/>
      <c r="G52" s="89"/>
      <c r="H52" s="89"/>
      <c r="I52" s="89"/>
      <c r="J52" s="89"/>
      <c r="K52" s="89"/>
      <c r="L52" s="89"/>
      <c r="M52" s="89"/>
      <c r="N52" s="89"/>
      <c r="O52" s="89"/>
    </row>
    <row r="53" spans="1:16">
      <c r="G53" s="92"/>
      <c r="K53" s="93" t="s">
        <v>1</v>
      </c>
      <c r="L53" s="16"/>
      <c r="M53" s="16"/>
      <c r="N53" s="16"/>
      <c r="O53" s="16"/>
    </row>
    <row r="54" spans="1:16">
      <c r="G54" s="17"/>
      <c r="H54" s="272">
        <f t="shared" ref="H54:J54" si="10">H$7</f>
        <v>2023</v>
      </c>
      <c r="I54" s="272">
        <f t="shared" si="10"/>
        <v>2024</v>
      </c>
      <c r="J54" s="272">
        <f t="shared" si="10"/>
        <v>2025</v>
      </c>
      <c r="K54" s="273">
        <f>K$7</f>
        <v>2026</v>
      </c>
      <c r="L54" s="273">
        <f>L$7</f>
        <v>2027</v>
      </c>
      <c r="M54" s="273">
        <f>M$7</f>
        <v>2028</v>
      </c>
      <c r="N54" s="273">
        <f>N$7</f>
        <v>2029</v>
      </c>
      <c r="O54" s="273">
        <f>O$7</f>
        <v>2030</v>
      </c>
    </row>
    <row r="55" spans="1:16" ht="6" customHeight="1">
      <c r="G55" s="17"/>
      <c r="H55" s="17"/>
      <c r="I55" s="17"/>
      <c r="J55" s="482"/>
      <c r="K55" s="483"/>
      <c r="L55" s="483"/>
      <c r="M55" s="483"/>
      <c r="N55" s="484"/>
      <c r="O55" s="369"/>
      <c r="P55" s="357"/>
    </row>
    <row r="56" spans="1:16">
      <c r="B56" s="141" t="s">
        <v>167</v>
      </c>
      <c r="C56" s="142"/>
      <c r="D56" s="142"/>
      <c r="E56" s="142"/>
      <c r="F56" s="226" t="s">
        <v>166</v>
      </c>
      <c r="G56" s="143"/>
      <c r="H56" s="144"/>
      <c r="I56" s="144"/>
      <c r="J56" s="485">
        <f t="shared" ref="J56:O56" si="11">J13</f>
        <v>8.58</v>
      </c>
      <c r="K56" s="485">
        <f t="shared" si="11"/>
        <v>9.4809000000000001</v>
      </c>
      <c r="L56" s="485">
        <f t="shared" si="11"/>
        <v>10.504837200000001</v>
      </c>
      <c r="M56" s="485">
        <f t="shared" si="11"/>
        <v>11.670874129200001</v>
      </c>
      <c r="N56" s="485">
        <f t="shared" si="11"/>
        <v>12.978012031670403</v>
      </c>
      <c r="O56" s="486">
        <f t="shared" si="11"/>
        <v>14.45750540328083</v>
      </c>
      <c r="P56" s="357"/>
    </row>
    <row r="57" spans="1:16" ht="6" customHeight="1">
      <c r="F57" s="96"/>
      <c r="G57" s="17"/>
      <c r="H57" s="17"/>
      <c r="I57" s="17"/>
      <c r="J57" s="482"/>
      <c r="K57" s="483"/>
      <c r="L57" s="483"/>
      <c r="M57" s="483"/>
      <c r="N57" s="484"/>
      <c r="O57" s="369"/>
      <c r="P57" s="357"/>
    </row>
    <row r="58" spans="1:16">
      <c r="B58" s="107" t="s">
        <v>32</v>
      </c>
      <c r="F58" s="96"/>
      <c r="G58" s="17"/>
      <c r="H58" s="17"/>
      <c r="I58" s="17"/>
      <c r="J58" s="482"/>
      <c r="K58" s="483"/>
      <c r="L58" s="483"/>
      <c r="M58" s="483"/>
      <c r="N58" s="484"/>
      <c r="O58" s="369"/>
      <c r="P58" s="357"/>
    </row>
    <row r="59" spans="1:16">
      <c r="C59" t="s">
        <v>136</v>
      </c>
      <c r="F59" s="96"/>
      <c r="G59" s="17"/>
      <c r="H59" s="125">
        <v>2016.88</v>
      </c>
      <c r="I59" s="125">
        <v>2226.64</v>
      </c>
      <c r="J59" s="487">
        <v>2461.39</v>
      </c>
      <c r="K59" s="488">
        <f>K15</f>
        <v>2730.4992000000002</v>
      </c>
      <c r="L59" s="488">
        <f>L15</f>
        <v>3046.4027880000003</v>
      </c>
      <c r="M59" s="488">
        <f>M15</f>
        <v>3407.8952457264004</v>
      </c>
      <c r="N59" s="488">
        <f>N15</f>
        <v>3789.5795132477579</v>
      </c>
      <c r="O59" s="488">
        <f>O15</f>
        <v>4192.6765669514407</v>
      </c>
      <c r="P59" s="357"/>
    </row>
    <row r="60" spans="1:16">
      <c r="C60" s="15" t="s">
        <v>137</v>
      </c>
      <c r="F60" s="96"/>
      <c r="G60" s="17"/>
      <c r="H60" s="145">
        <v>41.71</v>
      </c>
      <c r="I60" s="145">
        <v>69.16</v>
      </c>
      <c r="J60" s="154">
        <v>93.43</v>
      </c>
      <c r="K60" s="489">
        <f>Assumptions!J49</f>
        <v>110</v>
      </c>
      <c r="L60" s="489">
        <f>Assumptions!K49</f>
        <v>125</v>
      </c>
      <c r="M60" s="489">
        <f>Assumptions!L49</f>
        <v>134</v>
      </c>
      <c r="N60" s="489">
        <f>Assumptions!M49</f>
        <v>165</v>
      </c>
      <c r="O60" s="489">
        <f>Assumptions!N49</f>
        <v>198</v>
      </c>
      <c r="P60" s="357"/>
    </row>
    <row r="61" spans="1:16">
      <c r="C61" s="107" t="s">
        <v>138</v>
      </c>
      <c r="F61" s="108"/>
      <c r="G61" s="17"/>
      <c r="H61" s="146">
        <f>SUM(H59:H60)</f>
        <v>2058.59</v>
      </c>
      <c r="I61" s="146">
        <f>SUM(I59:I60)</f>
        <v>2295.7999999999997</v>
      </c>
      <c r="J61" s="490">
        <f>SUM(J59:J60)</f>
        <v>2554.8199999999997</v>
      </c>
      <c r="K61" s="490">
        <f>SUM(K59:K60)</f>
        <v>2840.4992000000002</v>
      </c>
      <c r="L61" s="490">
        <f t="shared" ref="L61:O61" si="12">SUM(L59:L60)</f>
        <v>3171.4027880000003</v>
      </c>
      <c r="M61" s="490">
        <f t="shared" si="12"/>
        <v>3541.8952457264004</v>
      </c>
      <c r="N61" s="490">
        <f t="shared" si="12"/>
        <v>3954.5795132477579</v>
      </c>
      <c r="O61" s="490">
        <f t="shared" si="12"/>
        <v>4390.6765669514407</v>
      </c>
      <c r="P61" s="357"/>
    </row>
    <row r="62" spans="1:16">
      <c r="F62" s="96"/>
      <c r="G62" s="17"/>
      <c r="H62" s="147"/>
      <c r="I62" s="386"/>
      <c r="J62" s="491"/>
      <c r="K62" s="491"/>
      <c r="L62" s="491"/>
      <c r="M62" s="491"/>
      <c r="N62" s="491"/>
      <c r="O62" s="491"/>
      <c r="P62" s="357"/>
    </row>
    <row r="63" spans="1:16">
      <c r="C63" t="s">
        <v>3</v>
      </c>
      <c r="F63" s="96"/>
      <c r="G63" s="17"/>
      <c r="H63" s="149">
        <v>499.1</v>
      </c>
      <c r="I63" s="149">
        <v>500</v>
      </c>
      <c r="J63" s="149">
        <v>539.1</v>
      </c>
      <c r="K63" s="488">
        <f>K42</f>
        <v>614.20995003999997</v>
      </c>
      <c r="L63" s="488">
        <f t="shared" ref="L63:O63" si="13">L42</f>
        <v>679.26165868225905</v>
      </c>
      <c r="M63" s="488">
        <f t="shared" si="13"/>
        <v>752.84056267328822</v>
      </c>
      <c r="N63" s="488">
        <f t="shared" si="13"/>
        <v>839.69075782846573</v>
      </c>
      <c r="O63" s="488">
        <f t="shared" si="13"/>
        <v>940.25902559701331</v>
      </c>
      <c r="P63" s="357"/>
    </row>
    <row r="64" spans="1:16">
      <c r="A64" s="110"/>
      <c r="C64" s="9" t="s">
        <v>58</v>
      </c>
      <c r="F64" s="96"/>
      <c r="G64" s="17"/>
      <c r="H64" s="150">
        <v>1027.9000000000001</v>
      </c>
      <c r="I64" s="150">
        <v>1117.4000000000001</v>
      </c>
      <c r="J64" s="151">
        <v>1226.7</v>
      </c>
      <c r="K64" s="659">
        <f>K44</f>
        <v>1365.2496000000001</v>
      </c>
      <c r="L64" s="659">
        <f t="shared" ref="L64:O64" si="14">L44</f>
        <v>1523.2013940000002</v>
      </c>
      <c r="M64" s="659">
        <f t="shared" si="14"/>
        <v>1703.9476228632002</v>
      </c>
      <c r="N64" s="659">
        <f t="shared" si="14"/>
        <v>1894.7897566238789</v>
      </c>
      <c r="O64" s="659">
        <f t="shared" si="14"/>
        <v>2096.3382834757203</v>
      </c>
      <c r="P64" s="357"/>
    </row>
    <row r="65" spans="1:16">
      <c r="C65" s="95" t="s">
        <v>33</v>
      </c>
      <c r="F65" s="108"/>
      <c r="G65" s="17"/>
      <c r="H65" s="146">
        <f t="shared" ref="H65:I65" si="15">SUM(H63:H64)</f>
        <v>1527</v>
      </c>
      <c r="I65" s="146">
        <f t="shared" si="15"/>
        <v>1617.4</v>
      </c>
      <c r="J65" s="490">
        <f>SUM(J63:J64)</f>
        <v>1765.8000000000002</v>
      </c>
      <c r="K65" s="490">
        <f>K63+K64</f>
        <v>1979.4595500400001</v>
      </c>
      <c r="L65" s="490">
        <f t="shared" ref="L65:O65" si="16">L63+L64</f>
        <v>2202.4630526822593</v>
      </c>
      <c r="M65" s="490">
        <f t="shared" si="16"/>
        <v>2456.7881855364885</v>
      </c>
      <c r="N65" s="490">
        <f t="shared" si="16"/>
        <v>2734.4805144523448</v>
      </c>
      <c r="O65" s="490">
        <f t="shared" si="16"/>
        <v>3036.5973090727339</v>
      </c>
      <c r="P65" s="357"/>
    </row>
    <row r="66" spans="1:16">
      <c r="C66" s="95"/>
      <c r="F66" s="108"/>
      <c r="G66" s="17"/>
      <c r="H66" s="391"/>
      <c r="I66" s="391"/>
      <c r="J66" s="492"/>
      <c r="K66" s="492"/>
      <c r="L66" s="492"/>
      <c r="M66" s="492"/>
      <c r="N66" s="492"/>
      <c r="O66" s="492"/>
      <c r="P66" s="357"/>
    </row>
    <row r="67" spans="1:16">
      <c r="A67" s="110"/>
      <c r="C67" s="9" t="s">
        <v>104</v>
      </c>
      <c r="F67" s="96"/>
      <c r="G67" s="17"/>
      <c r="H67" s="151">
        <v>0</v>
      </c>
      <c r="I67" s="151">
        <v>0</v>
      </c>
      <c r="J67" s="151">
        <v>0</v>
      </c>
      <c r="K67" s="489">
        <f>Assumptions!J50</f>
        <v>0</v>
      </c>
      <c r="L67" s="489">
        <f>Assumptions!K50</f>
        <v>0</v>
      </c>
      <c r="M67" s="489">
        <f>Assumptions!L50</f>
        <v>0</v>
      </c>
      <c r="N67" s="489">
        <f>Assumptions!M50</f>
        <v>0</v>
      </c>
      <c r="O67" s="489">
        <f>Assumptions!N50</f>
        <v>0</v>
      </c>
      <c r="P67" s="357"/>
    </row>
    <row r="68" spans="1:16">
      <c r="B68" s="107"/>
      <c r="C68" s="107" t="s">
        <v>4</v>
      </c>
      <c r="F68" s="108"/>
      <c r="H68" s="152">
        <f t="shared" ref="H68:J68" si="17">H61-H65+H67</f>
        <v>531.59000000000015</v>
      </c>
      <c r="I68" s="152">
        <f t="shared" si="17"/>
        <v>678.39999999999964</v>
      </c>
      <c r="J68" s="152">
        <f t="shared" si="17"/>
        <v>789.01999999999953</v>
      </c>
      <c r="K68" s="152">
        <f>K61-K65+K67</f>
        <v>861.03964996000013</v>
      </c>
      <c r="L68" s="152">
        <f t="shared" ref="L68:O68" si="18">L61-L65+L67</f>
        <v>968.939735317741</v>
      </c>
      <c r="M68" s="152">
        <f t="shared" si="18"/>
        <v>1085.1070601899119</v>
      </c>
      <c r="N68" s="152">
        <f t="shared" si="18"/>
        <v>1220.0989987954131</v>
      </c>
      <c r="O68" s="152">
        <f t="shared" si="18"/>
        <v>1354.0792578787068</v>
      </c>
      <c r="P68" s="357"/>
    </row>
    <row r="69" spans="1:16">
      <c r="F69" s="96"/>
      <c r="H69" s="129"/>
      <c r="I69" s="129"/>
      <c r="J69" s="493"/>
      <c r="K69" s="493"/>
      <c r="L69" s="493"/>
      <c r="M69" s="493"/>
      <c r="N69" s="493"/>
      <c r="O69" s="493"/>
      <c r="P69" s="357"/>
    </row>
    <row r="70" spans="1:16">
      <c r="C70" t="s">
        <v>5</v>
      </c>
      <c r="F70" s="96"/>
      <c r="H70" s="153">
        <v>150.19</v>
      </c>
      <c r="I70" s="153">
        <v>143.59</v>
      </c>
      <c r="J70" s="153">
        <v>141.91999999999999</v>
      </c>
      <c r="K70" s="384">
        <f>K211+K234</f>
        <v>136.95836363636363</v>
      </c>
      <c r="L70" s="384">
        <f t="shared" ref="L70:O70" si="19">L211+L234</f>
        <v>148.53336363636365</v>
      </c>
      <c r="M70" s="384">
        <f t="shared" si="19"/>
        <v>160.98336363636363</v>
      </c>
      <c r="N70" s="384">
        <f t="shared" si="19"/>
        <v>176.73336363636361</v>
      </c>
      <c r="O70" s="384">
        <f t="shared" si="19"/>
        <v>160.59654545454546</v>
      </c>
      <c r="P70" s="357"/>
    </row>
    <row r="71" spans="1:16">
      <c r="C71" s="95" t="s">
        <v>6</v>
      </c>
      <c r="F71" s="108"/>
      <c r="H71" s="128">
        <f t="shared" ref="H71:J71" si="20">H68-H70</f>
        <v>381.40000000000015</v>
      </c>
      <c r="I71" s="128">
        <f t="shared" si="20"/>
        <v>534.8099999999996</v>
      </c>
      <c r="J71" s="152">
        <f t="shared" si="20"/>
        <v>647.09999999999957</v>
      </c>
      <c r="K71" s="152">
        <f>K68-K70</f>
        <v>724.0812863236365</v>
      </c>
      <c r="L71" s="152">
        <f t="shared" ref="L71:O71" si="21">L68-L70</f>
        <v>820.40637168137732</v>
      </c>
      <c r="M71" s="152">
        <f t="shared" si="21"/>
        <v>924.12369655354826</v>
      </c>
      <c r="N71" s="152">
        <f t="shared" si="21"/>
        <v>1043.3656351590494</v>
      </c>
      <c r="O71" s="152">
        <f t="shared" si="21"/>
        <v>1193.4827124241613</v>
      </c>
      <c r="P71" s="357"/>
    </row>
    <row r="72" spans="1:16" ht="6" customHeight="1">
      <c r="C72" s="95"/>
      <c r="F72" s="108"/>
      <c r="H72" s="131"/>
      <c r="I72" s="131"/>
      <c r="J72" s="494"/>
      <c r="K72" s="494"/>
      <c r="L72" s="494"/>
      <c r="M72" s="494"/>
      <c r="N72" s="494"/>
      <c r="O72" s="494"/>
      <c r="P72" s="357"/>
    </row>
    <row r="73" spans="1:16">
      <c r="C73" s="15" t="s">
        <v>49</v>
      </c>
      <c r="F73" s="96"/>
      <c r="H73" s="154">
        <v>37.53</v>
      </c>
      <c r="I73" s="154">
        <v>29.35</v>
      </c>
      <c r="J73" s="154">
        <v>22.3</v>
      </c>
      <c r="K73" s="384">
        <f>K255</f>
        <v>19</v>
      </c>
      <c r="L73" s="384">
        <f t="shared" ref="L73:O73" si="22">L255</f>
        <v>22</v>
      </c>
      <c r="M73" s="384">
        <f t="shared" si="22"/>
        <v>26.125</v>
      </c>
      <c r="N73" s="384">
        <f t="shared" si="22"/>
        <v>30.625</v>
      </c>
      <c r="O73" s="384">
        <f t="shared" si="22"/>
        <v>36.625</v>
      </c>
      <c r="P73" s="357"/>
    </row>
    <row r="74" spans="1:16">
      <c r="C74" s="102" t="s">
        <v>50</v>
      </c>
      <c r="F74" s="108"/>
      <c r="H74" s="126">
        <f t="shared" ref="H74:J74" si="23">H71-H73</f>
        <v>343.87000000000012</v>
      </c>
      <c r="I74" s="126">
        <f t="shared" si="23"/>
        <v>505.45999999999958</v>
      </c>
      <c r="J74" s="382">
        <f t="shared" si="23"/>
        <v>624.79999999999961</v>
      </c>
      <c r="K74" s="382">
        <f>K71-K73</f>
        <v>705.0812863236365</v>
      </c>
      <c r="L74" s="382">
        <f t="shared" ref="L74:O74" si="24">L71-L73</f>
        <v>798.40637168137732</v>
      </c>
      <c r="M74" s="382">
        <f t="shared" si="24"/>
        <v>897.99869655354826</v>
      </c>
      <c r="N74" s="382">
        <f t="shared" si="24"/>
        <v>1012.7406351590494</v>
      </c>
      <c r="O74" s="382">
        <f t="shared" si="24"/>
        <v>1156.8577124241613</v>
      </c>
      <c r="P74" s="357"/>
    </row>
    <row r="75" spans="1:16" ht="6" customHeight="1">
      <c r="C75" s="95"/>
      <c r="F75" s="108"/>
      <c r="H75" s="155"/>
      <c r="I75" s="155"/>
      <c r="J75" s="495"/>
      <c r="K75" s="495"/>
      <c r="L75" s="494"/>
      <c r="M75" s="152"/>
      <c r="N75" s="152"/>
      <c r="O75" s="494"/>
      <c r="P75" s="357"/>
    </row>
    <row r="76" spans="1:16">
      <c r="C76" t="s">
        <v>139</v>
      </c>
      <c r="F76" s="96"/>
      <c r="H76" s="125">
        <v>107.89</v>
      </c>
      <c r="I76" s="125">
        <v>148.02000000000001</v>
      </c>
      <c r="J76" s="487">
        <v>172.04</v>
      </c>
      <c r="K76" s="382">
        <f>K275</f>
        <v>182.52032158090913</v>
      </c>
      <c r="L76" s="382">
        <f t="shared" ref="L76:O76" si="25">L275</f>
        <v>205.85159292034433</v>
      </c>
      <c r="M76" s="382">
        <f t="shared" si="25"/>
        <v>239.49967413838706</v>
      </c>
      <c r="N76" s="382">
        <f t="shared" si="25"/>
        <v>268.18515878976234</v>
      </c>
      <c r="O76" s="382">
        <f t="shared" si="25"/>
        <v>295.46442810604032</v>
      </c>
      <c r="P76" s="357"/>
    </row>
    <row r="77" spans="1:16">
      <c r="C77" t="s">
        <v>140</v>
      </c>
      <c r="F77" s="96"/>
      <c r="H77" s="145">
        <v>-5.14</v>
      </c>
      <c r="I77" s="145">
        <v>-4.8600000000000003</v>
      </c>
      <c r="J77" s="154">
        <v>-39.49</v>
      </c>
      <c r="K77" s="384">
        <f>K276</f>
        <v>-6.25</v>
      </c>
      <c r="L77" s="384">
        <f t="shared" ref="L77:O77" si="26">L276</f>
        <v>-6.25</v>
      </c>
      <c r="M77" s="384">
        <f t="shared" si="26"/>
        <v>-15</v>
      </c>
      <c r="N77" s="384">
        <f t="shared" si="26"/>
        <v>-15</v>
      </c>
      <c r="O77" s="384">
        <f t="shared" si="26"/>
        <v>-6.25</v>
      </c>
      <c r="P77" s="357"/>
    </row>
    <row r="78" spans="1:16">
      <c r="C78" s="107" t="s">
        <v>61</v>
      </c>
      <c r="F78" s="108"/>
      <c r="H78" s="156">
        <f t="shared" ref="H78:J78" si="27">SUM(H76:H77)</f>
        <v>102.75</v>
      </c>
      <c r="I78" s="156">
        <f t="shared" si="27"/>
        <v>143.16</v>
      </c>
      <c r="J78" s="406">
        <f t="shared" si="27"/>
        <v>132.54999999999998</v>
      </c>
      <c r="K78" s="406">
        <f>SUM(K76:K77)</f>
        <v>176.27032158090913</v>
      </c>
      <c r="L78" s="406">
        <f t="shared" ref="L78:O78" si="28">SUM(L76:L77)</f>
        <v>199.60159292034433</v>
      </c>
      <c r="M78" s="406">
        <f t="shared" si="28"/>
        <v>224.49967413838706</v>
      </c>
      <c r="N78" s="406">
        <f t="shared" si="28"/>
        <v>253.18515878976234</v>
      </c>
      <c r="O78" s="406">
        <f t="shared" si="28"/>
        <v>289.21442810604032</v>
      </c>
      <c r="P78" s="357"/>
    </row>
    <row r="79" spans="1:16">
      <c r="F79" s="96"/>
      <c r="H79" s="329"/>
      <c r="I79" s="329"/>
      <c r="J79" s="496"/>
      <c r="K79" s="357"/>
      <c r="L79" s="357"/>
      <c r="M79" s="357"/>
      <c r="N79" s="357"/>
      <c r="O79" s="357"/>
      <c r="P79" s="357"/>
    </row>
    <row r="80" spans="1:16" ht="13.8" thickBot="1">
      <c r="C80" s="157" t="s">
        <v>7</v>
      </c>
      <c r="D80" s="107"/>
      <c r="E80" s="107"/>
      <c r="F80" s="108"/>
      <c r="H80" s="318">
        <f t="shared" ref="H80:J80" si="29">H74-H78</f>
        <v>241.12000000000012</v>
      </c>
      <c r="I80" s="318">
        <f t="shared" si="29"/>
        <v>362.29999999999961</v>
      </c>
      <c r="J80" s="377">
        <f t="shared" si="29"/>
        <v>492.24999999999966</v>
      </c>
      <c r="K80" s="377">
        <f>K74-K78</f>
        <v>528.81096474272738</v>
      </c>
      <c r="L80" s="377">
        <f t="shared" ref="L80:O80" si="30">L74-L78</f>
        <v>598.80477876103305</v>
      </c>
      <c r="M80" s="377">
        <f t="shared" si="30"/>
        <v>673.49902241516122</v>
      </c>
      <c r="N80" s="377">
        <f t="shared" si="30"/>
        <v>759.55547636928702</v>
      </c>
      <c r="O80" s="377">
        <f t="shared" si="30"/>
        <v>867.643284318121</v>
      </c>
      <c r="P80" s="357"/>
    </row>
    <row r="81" spans="1:16" ht="13.8" thickTop="1">
      <c r="C81" s="158"/>
      <c r="F81"/>
      <c r="H81" s="474"/>
      <c r="I81" s="474"/>
      <c r="J81" s="497"/>
      <c r="K81" s="497"/>
      <c r="L81" s="497"/>
      <c r="M81" s="497"/>
      <c r="N81" s="497"/>
      <c r="O81" s="497"/>
      <c r="P81" s="357"/>
    </row>
    <row r="82" spans="1:16">
      <c r="H82" s="139"/>
      <c r="I82" s="139"/>
      <c r="J82" s="182"/>
      <c r="K82" s="498"/>
      <c r="L82" s="498"/>
      <c r="M82" s="498"/>
      <c r="N82" s="498"/>
      <c r="O82" s="498"/>
      <c r="P82" s="357"/>
    </row>
    <row r="83" spans="1:16">
      <c r="B83" s="159" t="s">
        <v>28</v>
      </c>
      <c r="C83" s="5"/>
      <c r="D83" s="5"/>
      <c r="E83" s="5"/>
      <c r="F83" s="160"/>
      <c r="G83" s="5"/>
      <c r="H83" s="161"/>
      <c r="I83" s="161"/>
      <c r="J83" s="499"/>
      <c r="K83" s="499"/>
      <c r="L83" s="499"/>
      <c r="M83" s="499"/>
      <c r="N83" s="499"/>
      <c r="O83" s="500"/>
      <c r="P83" s="357"/>
    </row>
    <row r="84" spans="1:16">
      <c r="B84" s="6"/>
      <c r="C84" t="s">
        <v>29</v>
      </c>
      <c r="H84" s="162">
        <f t="shared" ref="H84:J84" si="31">H68/H61</f>
        <v>0.25823014781962417</v>
      </c>
      <c r="I84" s="162">
        <f t="shared" si="31"/>
        <v>0.29549612335569286</v>
      </c>
      <c r="J84" s="501">
        <f t="shared" si="31"/>
        <v>0.30883584753524695</v>
      </c>
      <c r="K84" s="501">
        <f>K68/K61</f>
        <v>0.30312969282300806</v>
      </c>
      <c r="L84" s="501">
        <f t="shared" ref="L84:O84" si="32">L68/L61</f>
        <v>0.30552402204602619</v>
      </c>
      <c r="M84" s="501">
        <f t="shared" si="32"/>
        <v>0.30636339725156647</v>
      </c>
      <c r="N84" s="501">
        <f t="shared" si="32"/>
        <v>0.30852812409210822</v>
      </c>
      <c r="O84" s="502">
        <f t="shared" si="32"/>
        <v>0.30839877117591441</v>
      </c>
      <c r="P84" s="503"/>
    </row>
    <row r="85" spans="1:16">
      <c r="B85" s="6"/>
      <c r="C85" t="s">
        <v>30</v>
      </c>
      <c r="F85" s="163"/>
      <c r="H85" s="162">
        <f t="shared" ref="H85:J85" si="33">H71/H61</f>
        <v>0.18527244376004942</v>
      </c>
      <c r="I85" s="162">
        <f t="shared" si="33"/>
        <v>0.23295147660946061</v>
      </c>
      <c r="J85" s="501">
        <f t="shared" si="33"/>
        <v>0.25328594578091596</v>
      </c>
      <c r="K85" s="501">
        <f>K71/K61</f>
        <v>0.25491339209799335</v>
      </c>
      <c r="L85" s="501">
        <f t="shared" ref="L85:O85" si="34">L71/L61</f>
        <v>0.25868879689002067</v>
      </c>
      <c r="M85" s="501">
        <f t="shared" si="34"/>
        <v>0.26091220446696795</v>
      </c>
      <c r="N85" s="501">
        <f t="shared" si="34"/>
        <v>0.26383731359144419</v>
      </c>
      <c r="O85" s="502">
        <f t="shared" si="34"/>
        <v>0.27182205161898931</v>
      </c>
      <c r="P85" s="357"/>
    </row>
    <row r="86" spans="1:16">
      <c r="B86" s="11"/>
      <c r="C86" s="10" t="s">
        <v>86</v>
      </c>
      <c r="D86" s="10"/>
      <c r="E86" s="10"/>
      <c r="F86" s="164"/>
      <c r="G86" s="10"/>
      <c r="H86" s="165">
        <f t="shared" ref="H86:O86" si="35">H80/H172</f>
        <v>0.14187368346729121</v>
      </c>
      <c r="I86" s="165">
        <f t="shared" si="35"/>
        <v>0.19216591083883611</v>
      </c>
      <c r="J86" s="504">
        <f t="shared" si="35"/>
        <v>0.22309390111807531</v>
      </c>
      <c r="K86" s="504">
        <f t="shared" si="35"/>
        <v>0.21132860848680804</v>
      </c>
      <c r="L86" s="504">
        <f t="shared" si="35"/>
        <v>0.21109511251083118</v>
      </c>
      <c r="M86" s="504">
        <f t="shared" si="35"/>
        <v>0.20967671040590369</v>
      </c>
      <c r="N86" s="504">
        <f t="shared" si="35"/>
        <v>0.20896539104085898</v>
      </c>
      <c r="O86" s="505">
        <f t="shared" si="35"/>
        <v>0.21074431391952395</v>
      </c>
      <c r="P86" s="357"/>
    </row>
    <row r="87" spans="1:16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16">
      <c r="C88" s="166"/>
      <c r="F88" s="163"/>
      <c r="H88" s="167"/>
      <c r="I88" s="167"/>
      <c r="J88" s="167"/>
      <c r="K88" s="167"/>
      <c r="L88" s="167"/>
      <c r="M88" s="167"/>
      <c r="N88" s="167"/>
      <c r="O88" s="167"/>
    </row>
    <row r="89" spans="1:16" ht="12.75" customHeight="1">
      <c r="A89" s="86"/>
      <c r="B89" s="1"/>
      <c r="C89" s="3"/>
      <c r="D89" s="3"/>
      <c r="E89" s="3"/>
      <c r="F89" s="85"/>
      <c r="G89" s="3"/>
      <c r="H89" s="3"/>
      <c r="I89" s="3"/>
      <c r="J89" s="3"/>
      <c r="K89" s="3"/>
      <c r="L89" s="3"/>
      <c r="M89" s="3"/>
      <c r="N89" s="3"/>
      <c r="O89" s="113" t="str">
        <f>$O$1</f>
        <v>CURRENTLY RUNNING: BASE CASE SCENARIO</v>
      </c>
    </row>
    <row r="90" spans="1:16" ht="22.8">
      <c r="B90" s="1" t="str">
        <f>B$2</f>
        <v>Dr Lal PathLabs Ltd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6" ht="17.399999999999999">
      <c r="B91" s="88" t="s">
        <v>34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6" ht="3" customHeight="1" thickBot="1">
      <c r="A92" s="87"/>
      <c r="B92" s="280"/>
      <c r="C92" s="281"/>
      <c r="D92" s="281"/>
      <c r="E92" s="281"/>
      <c r="F92" s="282"/>
      <c r="G92" s="281"/>
      <c r="H92" s="281"/>
      <c r="I92" s="281"/>
      <c r="J92" s="281"/>
      <c r="K92" s="281"/>
      <c r="L92" s="281"/>
      <c r="M92" s="281"/>
      <c r="N92" s="281"/>
      <c r="O92" s="281"/>
    </row>
    <row r="93" spans="1:16">
      <c r="B93" s="140" t="s">
        <v>120</v>
      </c>
      <c r="F93"/>
    </row>
    <row r="94" spans="1:16">
      <c r="F94"/>
      <c r="K94" s="93" t="s">
        <v>1</v>
      </c>
      <c r="L94" s="16"/>
      <c r="M94" s="16"/>
      <c r="N94" s="16"/>
      <c r="O94" s="16"/>
    </row>
    <row r="95" spans="1:16">
      <c r="B95" s="168"/>
      <c r="F95" s="169"/>
      <c r="G95" s="170"/>
      <c r="H95" s="272">
        <f t="shared" ref="H95:J95" si="36">H$7</f>
        <v>2023</v>
      </c>
      <c r="I95" s="272">
        <f t="shared" si="36"/>
        <v>2024</v>
      </c>
      <c r="J95" s="272">
        <f t="shared" si="36"/>
        <v>2025</v>
      </c>
      <c r="K95" s="274">
        <f>K$7</f>
        <v>2026</v>
      </c>
      <c r="L95" s="274">
        <f>L$7</f>
        <v>2027</v>
      </c>
      <c r="M95" s="274">
        <f>M$7</f>
        <v>2028</v>
      </c>
      <c r="N95" s="274">
        <f>N$7</f>
        <v>2029</v>
      </c>
      <c r="O95" s="274">
        <f>O$7</f>
        <v>2030</v>
      </c>
    </row>
    <row r="96" spans="1:16">
      <c r="B96" s="107" t="s">
        <v>8</v>
      </c>
      <c r="F96"/>
      <c r="K96" s="357"/>
      <c r="L96" s="357"/>
      <c r="M96" s="357"/>
      <c r="N96" s="357"/>
      <c r="O96" s="357"/>
    </row>
    <row r="97" spans="1:19">
      <c r="C97" t="s">
        <v>7</v>
      </c>
      <c r="F97"/>
      <c r="G97" s="172"/>
      <c r="H97" s="173">
        <f>H80</f>
        <v>241.12000000000012</v>
      </c>
      <c r="I97" s="173">
        <f t="shared" ref="I97:J97" si="37">I80</f>
        <v>362.29999999999961</v>
      </c>
      <c r="J97" s="173">
        <f t="shared" si="37"/>
        <v>492.24999999999966</v>
      </c>
      <c r="K97" s="176">
        <f>K80</f>
        <v>528.81096474272738</v>
      </c>
      <c r="L97" s="176">
        <f t="shared" ref="L97:O97" si="38">L80</f>
        <v>598.80477876103305</v>
      </c>
      <c r="M97" s="176">
        <f t="shared" si="38"/>
        <v>673.49902241516122</v>
      </c>
      <c r="N97" s="176">
        <f t="shared" si="38"/>
        <v>759.55547636928702</v>
      </c>
      <c r="O97" s="176">
        <f t="shared" si="38"/>
        <v>867.643284318121</v>
      </c>
    </row>
    <row r="98" spans="1:19">
      <c r="C98" t="s">
        <v>5</v>
      </c>
      <c r="F98"/>
      <c r="G98" s="172"/>
      <c r="H98" s="173">
        <f>H70</f>
        <v>150.19</v>
      </c>
      <c r="I98" s="173">
        <f>I70</f>
        <v>143.59</v>
      </c>
      <c r="J98" s="173">
        <f>J70</f>
        <v>141.91999999999999</v>
      </c>
      <c r="K98" s="176">
        <f>K70</f>
        <v>136.95836363636363</v>
      </c>
      <c r="L98" s="176">
        <f t="shared" ref="L98:O98" si="39">L70</f>
        <v>148.53336363636365</v>
      </c>
      <c r="M98" s="176">
        <f t="shared" si="39"/>
        <v>160.98336363636363</v>
      </c>
      <c r="N98" s="176">
        <f t="shared" si="39"/>
        <v>176.73336363636361</v>
      </c>
      <c r="O98" s="176">
        <f t="shared" si="39"/>
        <v>160.59654545454546</v>
      </c>
    </row>
    <row r="99" spans="1:19">
      <c r="C99" t="s">
        <v>49</v>
      </c>
      <c r="F99"/>
      <c r="G99" s="172"/>
      <c r="H99" s="173">
        <f>H73</f>
        <v>37.53</v>
      </c>
      <c r="I99" s="173">
        <f>I73</f>
        <v>29.35</v>
      </c>
      <c r="J99" s="173">
        <f>J73</f>
        <v>22.3</v>
      </c>
      <c r="K99" s="176">
        <f>K255</f>
        <v>19</v>
      </c>
      <c r="L99" s="176">
        <f t="shared" ref="L99:O99" si="40">L255</f>
        <v>22</v>
      </c>
      <c r="M99" s="176">
        <f t="shared" si="40"/>
        <v>26.125</v>
      </c>
      <c r="N99" s="176">
        <f t="shared" si="40"/>
        <v>30.625</v>
      </c>
      <c r="O99" s="176">
        <f t="shared" si="40"/>
        <v>36.625</v>
      </c>
      <c r="Q99" s="524"/>
      <c r="R99" s="524"/>
      <c r="S99" s="524"/>
    </row>
    <row r="100" spans="1:19">
      <c r="C100" t="s">
        <v>141</v>
      </c>
      <c r="F100"/>
      <c r="G100" s="172"/>
      <c r="H100" s="173">
        <v>99.65</v>
      </c>
      <c r="I100" s="173">
        <v>96.97</v>
      </c>
      <c r="J100" s="173">
        <v>70.319999999999993</v>
      </c>
      <c r="K100" s="176">
        <f>K60</f>
        <v>110</v>
      </c>
      <c r="L100" s="176">
        <f t="shared" ref="L100:O100" si="41">L60</f>
        <v>125</v>
      </c>
      <c r="M100" s="176">
        <f t="shared" si="41"/>
        <v>134</v>
      </c>
      <c r="N100" s="176">
        <f t="shared" si="41"/>
        <v>165</v>
      </c>
      <c r="O100" s="176">
        <f t="shared" si="41"/>
        <v>198</v>
      </c>
      <c r="Q100" s="524"/>
      <c r="R100" s="524"/>
      <c r="S100" s="524"/>
    </row>
    <row r="101" spans="1:19">
      <c r="C101" t="s">
        <v>87</v>
      </c>
      <c r="F101"/>
      <c r="G101" s="175"/>
      <c r="H101" s="173">
        <v>35.67</v>
      </c>
      <c r="I101" s="173">
        <v>35.619999999999997</v>
      </c>
      <c r="J101" s="173">
        <v>6.56</v>
      </c>
      <c r="K101" s="176">
        <f>K314</f>
        <v>13.542823095200021</v>
      </c>
      <c r="L101" s="176">
        <f t="shared" ref="L101:O101" si="42">L314</f>
        <v>11.478621001581587</v>
      </c>
      <c r="M101" s="176">
        <f t="shared" si="42"/>
        <v>19.074963574674399</v>
      </c>
      <c r="N101" s="176">
        <f t="shared" si="42"/>
        <v>16.590959388655591</v>
      </c>
      <c r="O101" s="176">
        <f t="shared" si="42"/>
        <v>28.433074969772889</v>
      </c>
      <c r="Q101" s="524"/>
      <c r="R101" s="526"/>
      <c r="S101" s="524"/>
    </row>
    <row r="102" spans="1:19">
      <c r="C102" t="s">
        <v>142</v>
      </c>
      <c r="F102"/>
      <c r="G102" s="177"/>
      <c r="H102" s="178">
        <v>-106.43</v>
      </c>
      <c r="I102" s="178">
        <v>-132.03</v>
      </c>
      <c r="J102" s="179">
        <v>-163.89</v>
      </c>
      <c r="K102" s="384">
        <f>-K279</f>
        <v>-180.69511836510003</v>
      </c>
      <c r="L102" s="384">
        <f t="shared" ref="L102:O102" si="43">-L279</f>
        <v>-203.79307699114088</v>
      </c>
      <c r="M102" s="384">
        <f t="shared" si="43"/>
        <v>-237.1046773970032</v>
      </c>
      <c r="N102" s="384">
        <f t="shared" si="43"/>
        <v>-265.50330720186469</v>
      </c>
      <c r="O102" s="384">
        <f t="shared" si="43"/>
        <v>-292.50978382497993</v>
      </c>
      <c r="Q102" s="524"/>
      <c r="R102" s="524"/>
      <c r="S102" s="526"/>
    </row>
    <row r="103" spans="1:19">
      <c r="C103" s="95" t="s">
        <v>9</v>
      </c>
      <c r="F103"/>
      <c r="G103" s="131"/>
      <c r="H103" s="180">
        <f t="shared" ref="H103:I103" si="44">SUM(H97:H102)</f>
        <v>457.73000000000008</v>
      </c>
      <c r="I103" s="180">
        <f t="shared" si="44"/>
        <v>535.79999999999973</v>
      </c>
      <c r="J103" s="180">
        <f>SUM(J97:J102)</f>
        <v>569.45999999999947</v>
      </c>
      <c r="K103" s="527">
        <f>SUM(K97:K102)</f>
        <v>627.61703310919097</v>
      </c>
      <c r="L103" s="527">
        <f t="shared" ref="L103:O103" si="45">SUM(L97:L102)</f>
        <v>702.02368640783743</v>
      </c>
      <c r="M103" s="527">
        <f t="shared" si="45"/>
        <v>776.57767222919597</v>
      </c>
      <c r="N103" s="527">
        <f t="shared" si="45"/>
        <v>883.00149219244156</v>
      </c>
      <c r="O103" s="527">
        <f t="shared" si="45"/>
        <v>998.78812091745954</v>
      </c>
      <c r="Q103" s="524"/>
      <c r="R103" s="525"/>
      <c r="S103" s="524"/>
    </row>
    <row r="104" spans="1:19">
      <c r="B104" s="9"/>
      <c r="F104"/>
      <c r="G104" s="139"/>
      <c r="H104" s="181"/>
      <c r="I104" s="181"/>
      <c r="J104" s="181"/>
      <c r="K104" s="181"/>
      <c r="L104" s="181"/>
      <c r="M104" s="181"/>
      <c r="N104" s="181"/>
      <c r="O104" s="181"/>
    </row>
    <row r="105" spans="1:19">
      <c r="B105" s="9"/>
      <c r="F105"/>
      <c r="G105" s="139"/>
      <c r="H105" s="181"/>
      <c r="I105" s="181"/>
      <c r="J105" s="523"/>
      <c r="K105" s="523"/>
      <c r="L105" s="523"/>
      <c r="M105" s="523"/>
      <c r="N105" s="523"/>
      <c r="O105" s="523"/>
      <c r="P105" s="523"/>
      <c r="Q105" s="524"/>
      <c r="R105" s="525"/>
    </row>
    <row r="106" spans="1:19">
      <c r="B106" s="107" t="s">
        <v>68</v>
      </c>
      <c r="F106"/>
      <c r="G106" s="182"/>
      <c r="H106" s="183"/>
      <c r="I106" s="183"/>
      <c r="J106" s="183"/>
      <c r="K106" s="175"/>
      <c r="L106" s="175"/>
      <c r="M106" s="175"/>
      <c r="N106" s="175"/>
      <c r="O106" s="175"/>
      <c r="P106" s="357"/>
    </row>
    <row r="107" spans="1:19">
      <c r="C107" t="s">
        <v>37</v>
      </c>
      <c r="H107" s="184">
        <v>-36.459999999999994</v>
      </c>
      <c r="I107" s="184">
        <v>-51.080000000000005</v>
      </c>
      <c r="J107" s="184">
        <v>-44.230000000000004</v>
      </c>
      <c r="K107" s="528">
        <f>-E192</f>
        <v>-55</v>
      </c>
      <c r="L107" s="528">
        <f>-E193</f>
        <v>-60</v>
      </c>
      <c r="M107" s="528">
        <f>-E194</f>
        <v>-60</v>
      </c>
      <c r="N107" s="528">
        <f>-E195</f>
        <v>-75</v>
      </c>
      <c r="O107" s="528">
        <f>-E196</f>
        <v>-75</v>
      </c>
      <c r="P107" s="357"/>
    </row>
    <row r="108" spans="1:19">
      <c r="C108" t="s">
        <v>122</v>
      </c>
      <c r="H108" s="184">
        <v>-8.0500000000000007</v>
      </c>
      <c r="I108" s="184">
        <v>-6.26</v>
      </c>
      <c r="J108" s="184">
        <v>-9.58</v>
      </c>
      <c r="K108" s="528">
        <f>-E228</f>
        <v>-12.5</v>
      </c>
      <c r="L108" s="528">
        <f>-E229</f>
        <v>-9</v>
      </c>
      <c r="M108" s="528">
        <f>-E230</f>
        <v>-5</v>
      </c>
      <c r="N108" s="528">
        <f>-E231</f>
        <v>-35</v>
      </c>
      <c r="O108" s="528">
        <f>-E232</f>
        <v>-12</v>
      </c>
      <c r="P108" s="357"/>
    </row>
    <row r="109" spans="1:19">
      <c r="C109" t="s">
        <v>143</v>
      </c>
      <c r="H109" s="184">
        <v>-17.809999999999999</v>
      </c>
      <c r="I109" s="184">
        <v>-0.03</v>
      </c>
      <c r="J109" s="184">
        <v>0</v>
      </c>
      <c r="K109" s="381">
        <f>-Assumptions!J56</f>
        <v>-5</v>
      </c>
      <c r="L109" s="381">
        <f>-Assumptions!K56</f>
        <v>-4</v>
      </c>
      <c r="M109" s="381">
        <f>-Assumptions!L56</f>
        <v>0</v>
      </c>
      <c r="N109" s="381">
        <f>-Assumptions!M56</f>
        <v>-24</v>
      </c>
      <c r="O109" s="381">
        <f>-Assumptions!N56</f>
        <v>-7</v>
      </c>
      <c r="P109" s="357"/>
    </row>
    <row r="110" spans="1:19">
      <c r="C110" t="s">
        <v>207</v>
      </c>
      <c r="H110" s="184">
        <v>30.62</v>
      </c>
      <c r="I110" s="184">
        <v>47.34</v>
      </c>
      <c r="J110" s="184">
        <v>66.58</v>
      </c>
      <c r="K110" s="528">
        <f>K60</f>
        <v>110</v>
      </c>
      <c r="L110" s="528">
        <f t="shared" ref="L110:O110" si="46">L60</f>
        <v>125</v>
      </c>
      <c r="M110" s="528">
        <f t="shared" si="46"/>
        <v>134</v>
      </c>
      <c r="N110" s="528">
        <f t="shared" si="46"/>
        <v>165</v>
      </c>
      <c r="O110" s="528">
        <f t="shared" si="46"/>
        <v>198</v>
      </c>
      <c r="P110" s="357"/>
    </row>
    <row r="111" spans="1:19">
      <c r="C111" t="s">
        <v>144</v>
      </c>
      <c r="H111" s="184">
        <v>-256.04000000000002</v>
      </c>
      <c r="I111" s="184">
        <v>-14.71</v>
      </c>
      <c r="J111" s="184">
        <v>-316.14999999999998</v>
      </c>
      <c r="K111" s="528">
        <f>-(K331+K336)</f>
        <v>-257.67766489913595</v>
      </c>
      <c r="L111" s="528">
        <f>-(L331+L336)</f>
        <v>-288.91065888352682</v>
      </c>
      <c r="M111" s="528">
        <f>-(M331+M336)</f>
        <v>-322.4599525031382</v>
      </c>
      <c r="N111" s="528">
        <f>-(N331+N336)</f>
        <v>-363.60067148659869</v>
      </c>
      <c r="O111" s="528">
        <f>-(O331+O336)</f>
        <v>-415.70465441285671</v>
      </c>
      <c r="P111" s="357"/>
      <c r="Q111" s="156"/>
    </row>
    <row r="112" spans="1:19">
      <c r="A112" s="107"/>
      <c r="C112" s="107" t="s">
        <v>69</v>
      </c>
      <c r="F112"/>
      <c r="G112" s="131"/>
      <c r="H112" s="185">
        <f>SUM(H107:H111)</f>
        <v>-287.74</v>
      </c>
      <c r="I112" s="185">
        <f>SUM(I107:I111)</f>
        <v>-24.740000000000002</v>
      </c>
      <c r="J112" s="185">
        <f>SUM(J107:J111)</f>
        <v>-303.38</v>
      </c>
      <c r="K112" s="390">
        <f>SUM(K107:K111)</f>
        <v>-220.17766489913595</v>
      </c>
      <c r="L112" s="390">
        <f t="shared" ref="L112:O112" si="47">SUM(L107:L111)</f>
        <v>-236.91065888352682</v>
      </c>
      <c r="M112" s="390">
        <f t="shared" si="47"/>
        <v>-253.4599525031382</v>
      </c>
      <c r="N112" s="390">
        <f t="shared" si="47"/>
        <v>-332.60067148659869</v>
      </c>
      <c r="O112" s="390">
        <f t="shared" si="47"/>
        <v>-311.70465441285671</v>
      </c>
      <c r="P112" s="357"/>
    </row>
    <row r="113" spans="1:16">
      <c r="A113" s="107"/>
      <c r="B113" s="102"/>
      <c r="F113"/>
      <c r="G113" s="131"/>
      <c r="H113" s="186"/>
      <c r="I113" s="186"/>
      <c r="J113" s="187"/>
      <c r="K113" s="529"/>
      <c r="L113" s="530"/>
      <c r="M113" s="530"/>
      <c r="N113" s="530"/>
      <c r="O113" s="530"/>
      <c r="P113" s="357"/>
    </row>
    <row r="114" spans="1:16">
      <c r="A114" s="107"/>
      <c r="B114" s="102"/>
      <c r="F114"/>
      <c r="G114" s="131"/>
      <c r="H114" s="186"/>
      <c r="I114" s="186"/>
      <c r="J114" s="186"/>
      <c r="K114" s="530"/>
      <c r="L114" s="530"/>
      <c r="M114" s="530"/>
      <c r="N114" s="530"/>
      <c r="O114" s="530"/>
      <c r="P114" s="357"/>
    </row>
    <row r="115" spans="1:16">
      <c r="A115" s="107"/>
      <c r="B115" s="102" t="s">
        <v>48</v>
      </c>
      <c r="F115"/>
      <c r="G115" s="131"/>
      <c r="H115" s="188"/>
      <c r="I115" s="188"/>
      <c r="J115" s="188"/>
      <c r="K115" s="531"/>
      <c r="L115" s="531"/>
      <c r="M115" s="531"/>
      <c r="N115" s="531"/>
      <c r="O115" s="531"/>
      <c r="P115" s="357"/>
    </row>
    <row r="116" spans="1:16">
      <c r="A116" s="107"/>
      <c r="B116" s="102"/>
      <c r="C116" t="s">
        <v>145</v>
      </c>
      <c r="F116"/>
      <c r="G116" s="131"/>
      <c r="H116" s="184">
        <v>-108.97</v>
      </c>
      <c r="I116" s="184">
        <v>-153.33000000000001</v>
      </c>
      <c r="J116" s="184">
        <v>-83.33</v>
      </c>
      <c r="K116" s="532">
        <f>Assumptions!J74</f>
        <v>0</v>
      </c>
      <c r="L116" s="532">
        <f>Assumptions!K74</f>
        <v>0</v>
      </c>
      <c r="M116" s="532">
        <f>Assumptions!L74</f>
        <v>0</v>
      </c>
      <c r="N116" s="532">
        <f>Assumptions!M74</f>
        <v>0</v>
      </c>
      <c r="O116" s="532">
        <f>Assumptions!N74</f>
        <v>0</v>
      </c>
      <c r="P116" s="357"/>
    </row>
    <row r="117" spans="1:16">
      <c r="A117" s="107"/>
      <c r="B117" s="102"/>
      <c r="C117" t="s">
        <v>146</v>
      </c>
      <c r="F117"/>
      <c r="G117" s="131"/>
      <c r="H117" s="184">
        <v>-34.19</v>
      </c>
      <c r="I117" s="184">
        <v>-33.479999999999997</v>
      </c>
      <c r="J117" s="184">
        <v>-33.79</v>
      </c>
      <c r="K117" s="176">
        <f>-K252</f>
        <v>-34</v>
      </c>
      <c r="L117" s="176">
        <f t="shared" ref="L117:O117" si="48">-L252</f>
        <v>-33</v>
      </c>
      <c r="M117" s="176">
        <f t="shared" si="48"/>
        <v>-31.625</v>
      </c>
      <c r="N117" s="176">
        <f t="shared" si="48"/>
        <v>-30.125</v>
      </c>
      <c r="O117" s="176">
        <f t="shared" si="48"/>
        <v>-28.125</v>
      </c>
      <c r="P117" s="357"/>
    </row>
    <row r="118" spans="1:16">
      <c r="A118" s="107"/>
      <c r="B118" s="102"/>
      <c r="C118" t="s">
        <v>84</v>
      </c>
      <c r="F118"/>
      <c r="G118" s="131"/>
      <c r="H118" s="184">
        <v>0.72</v>
      </c>
      <c r="I118" s="184">
        <v>3.48</v>
      </c>
      <c r="J118" s="184">
        <v>12.7</v>
      </c>
      <c r="K118" s="533">
        <f>K350</f>
        <v>0</v>
      </c>
      <c r="L118" s="533">
        <f t="shared" ref="L118:O118" si="49">L350</f>
        <v>0</v>
      </c>
      <c r="M118" s="533">
        <f t="shared" si="49"/>
        <v>0</v>
      </c>
      <c r="N118" s="533">
        <f t="shared" si="49"/>
        <v>0</v>
      </c>
      <c r="O118" s="533">
        <f t="shared" si="49"/>
        <v>0</v>
      </c>
      <c r="P118" s="357"/>
    </row>
    <row r="119" spans="1:16">
      <c r="A119" s="107"/>
      <c r="B119" s="102"/>
      <c r="C119" t="s">
        <v>147</v>
      </c>
      <c r="F119"/>
      <c r="G119" s="131"/>
      <c r="H119" s="184">
        <v>-37.71</v>
      </c>
      <c r="I119" s="184">
        <v>-29.35</v>
      </c>
      <c r="J119" s="184">
        <v>-22.3</v>
      </c>
      <c r="K119" s="176">
        <f>-K255</f>
        <v>-19</v>
      </c>
      <c r="L119" s="176">
        <f t="shared" ref="L119:O119" si="50">-L255</f>
        <v>-22</v>
      </c>
      <c r="M119" s="176">
        <f t="shared" si="50"/>
        <v>-26.125</v>
      </c>
      <c r="N119" s="176">
        <f t="shared" si="50"/>
        <v>-30.625</v>
      </c>
      <c r="O119" s="176">
        <f t="shared" si="50"/>
        <v>-36.625</v>
      </c>
      <c r="P119" s="357"/>
    </row>
    <row r="120" spans="1:16">
      <c r="A120" s="107"/>
      <c r="B120" s="102"/>
      <c r="C120" t="s">
        <v>148</v>
      </c>
      <c r="F120"/>
      <c r="G120" s="131"/>
      <c r="H120" s="153">
        <v>-103.01</v>
      </c>
      <c r="I120" s="153">
        <v>-201.16</v>
      </c>
      <c r="J120" s="153">
        <v>-207.29</v>
      </c>
      <c r="K120" s="176">
        <f>K361</f>
        <v>-237.96493413422732</v>
      </c>
      <c r="L120" s="176">
        <f t="shared" ref="L120:O120" si="51">L361</f>
        <v>-269.46215044246486</v>
      </c>
      <c r="M120" s="176">
        <f t="shared" si="51"/>
        <v>-303.07456008682254</v>
      </c>
      <c r="N120" s="176">
        <f t="shared" si="51"/>
        <v>-341.79996436617915</v>
      </c>
      <c r="O120" s="176">
        <f t="shared" si="51"/>
        <v>-390.43947794315449</v>
      </c>
      <c r="P120" s="357"/>
    </row>
    <row r="121" spans="1:16">
      <c r="A121" s="107"/>
      <c r="B121" s="102"/>
      <c r="C121" s="107" t="s">
        <v>70</v>
      </c>
      <c r="F121"/>
      <c r="G121" s="131"/>
      <c r="H121" s="185">
        <f t="shared" ref="H121:J121" si="52">SUM(H116:H120)</f>
        <v>-283.16000000000003</v>
      </c>
      <c r="I121" s="185">
        <f t="shared" si="52"/>
        <v>-413.84000000000003</v>
      </c>
      <c r="J121" s="185">
        <f t="shared" si="52"/>
        <v>-334.01</v>
      </c>
      <c r="K121" s="390">
        <f>SUM(K116:K120)</f>
        <v>-290.96493413422729</v>
      </c>
      <c r="L121" s="390">
        <f t="shared" ref="L121:O121" si="53">SUM(L116:L120)</f>
        <v>-324.46215044246486</v>
      </c>
      <c r="M121" s="390">
        <f t="shared" si="53"/>
        <v>-360.82456008682254</v>
      </c>
      <c r="N121" s="390">
        <f t="shared" si="53"/>
        <v>-402.54996436617915</v>
      </c>
      <c r="O121" s="390">
        <f t="shared" si="53"/>
        <v>-455.18947794315449</v>
      </c>
      <c r="P121" s="357"/>
    </row>
    <row r="122" spans="1:16">
      <c r="A122" s="107"/>
      <c r="B122" s="102"/>
      <c r="F122"/>
      <c r="G122" s="131"/>
      <c r="H122" s="188"/>
      <c r="I122" s="188"/>
      <c r="J122" s="188"/>
      <c r="K122" s="534"/>
      <c r="L122" s="534"/>
      <c r="M122" s="534"/>
      <c r="N122" s="534"/>
      <c r="O122" s="534"/>
      <c r="P122" s="357"/>
    </row>
    <row r="123" spans="1:16">
      <c r="A123" s="107"/>
      <c r="C123" s="95"/>
      <c r="F123"/>
      <c r="G123" s="131"/>
      <c r="H123" s="188"/>
      <c r="I123" s="188"/>
      <c r="J123" s="188"/>
      <c r="K123" s="188"/>
      <c r="L123" s="188"/>
      <c r="M123" s="188"/>
      <c r="N123" s="188"/>
      <c r="O123" s="188"/>
    </row>
    <row r="124" spans="1:16">
      <c r="A124" s="107"/>
      <c r="B124" s="24" t="s">
        <v>38</v>
      </c>
      <c r="C124" s="189"/>
      <c r="D124" s="5"/>
      <c r="E124" s="5"/>
      <c r="F124" s="5"/>
      <c r="G124" s="190"/>
      <c r="H124" s="191">
        <f>H121+H112+H103</f>
        <v>-113.17000000000002</v>
      </c>
      <c r="I124" s="191">
        <f>I121+I112+I103</f>
        <v>97.219999999999686</v>
      </c>
      <c r="J124" s="191">
        <f>J121+J112+J103</f>
        <v>-67.930000000000518</v>
      </c>
      <c r="K124" s="191">
        <f t="shared" ref="K124:O124" si="54">K121+K112+K103</f>
        <v>116.47443407582773</v>
      </c>
      <c r="L124" s="191">
        <f t="shared" si="54"/>
        <v>140.65087708184569</v>
      </c>
      <c r="M124" s="191">
        <f t="shared" si="54"/>
        <v>162.29315963923523</v>
      </c>
      <c r="N124" s="191">
        <f t="shared" si="54"/>
        <v>147.85085633966366</v>
      </c>
      <c r="O124" s="519">
        <f t="shared" si="54"/>
        <v>231.8939885614484</v>
      </c>
    </row>
    <row r="125" spans="1:16">
      <c r="A125" s="107"/>
      <c r="B125" s="6" t="s">
        <v>39</v>
      </c>
      <c r="C125" s="95"/>
      <c r="F125"/>
      <c r="G125" s="131"/>
      <c r="H125" s="192">
        <v>378.19</v>
      </c>
      <c r="I125" s="193">
        <f t="shared" ref="I125:J125" si="55">+H126</f>
        <v>265.02</v>
      </c>
      <c r="J125" s="193">
        <f t="shared" si="55"/>
        <v>362.23999999999967</v>
      </c>
      <c r="K125" s="193">
        <f t="shared" ref="K125" si="56">+J126</f>
        <v>294.30999999999915</v>
      </c>
      <c r="L125" s="193">
        <f t="shared" ref="L125" si="57">+K126</f>
        <v>410.78443407582688</v>
      </c>
      <c r="M125" s="193">
        <f t="shared" ref="M125" si="58">+L126</f>
        <v>551.43531115767257</v>
      </c>
      <c r="N125" s="193">
        <f t="shared" ref="N125" si="59">+M126</f>
        <v>713.7284707969078</v>
      </c>
      <c r="O125" s="520">
        <f t="shared" ref="O125" si="60">+N126</f>
        <v>861.57932713657146</v>
      </c>
    </row>
    <row r="126" spans="1:16">
      <c r="A126" s="107"/>
      <c r="B126" s="194" t="s">
        <v>40</v>
      </c>
      <c r="C126" s="135"/>
      <c r="D126" s="10"/>
      <c r="E126" s="10"/>
      <c r="F126" s="10"/>
      <c r="G126" s="138"/>
      <c r="H126" s="195">
        <f t="shared" ref="H126:O126" si="61">H125+H124</f>
        <v>265.02</v>
      </c>
      <c r="I126" s="195">
        <f t="shared" si="61"/>
        <v>362.23999999999967</v>
      </c>
      <c r="J126" s="195">
        <f t="shared" si="61"/>
        <v>294.30999999999915</v>
      </c>
      <c r="K126" s="195">
        <f t="shared" si="61"/>
        <v>410.78443407582688</v>
      </c>
      <c r="L126" s="195">
        <f t="shared" si="61"/>
        <v>551.43531115767257</v>
      </c>
      <c r="M126" s="195">
        <f t="shared" si="61"/>
        <v>713.7284707969078</v>
      </c>
      <c r="N126" s="195">
        <f t="shared" si="61"/>
        <v>861.57932713657146</v>
      </c>
      <c r="O126" s="521">
        <f t="shared" si="61"/>
        <v>1093.4733156980199</v>
      </c>
    </row>
    <row r="127" spans="1:16"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 spans="1:16">
      <c r="F128"/>
    </row>
    <row r="129" spans="1:19" ht="12.75" customHeight="1">
      <c r="A129" s="86"/>
      <c r="B129" s="1"/>
      <c r="C129" s="3"/>
      <c r="D129" s="3"/>
      <c r="E129" s="3"/>
      <c r="F129" s="85"/>
      <c r="G129" s="3"/>
      <c r="H129" s="3"/>
      <c r="I129" s="3"/>
      <c r="J129" s="3"/>
      <c r="K129" s="3"/>
      <c r="L129" s="3"/>
      <c r="M129" s="3"/>
      <c r="N129" s="3"/>
      <c r="O129" s="113" t="str">
        <f>$O$1</f>
        <v>CURRENTLY RUNNING: BASE CASE SCENARIO</v>
      </c>
    </row>
    <row r="130" spans="1:19" ht="22.8">
      <c r="B130" s="1" t="str">
        <f>B$2</f>
        <v>Dr Lal PathLabs Ltd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spans="1:19" ht="17.399999999999999">
      <c r="B131" s="88" t="s">
        <v>71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9" ht="3" customHeight="1" thickBot="1">
      <c r="A132" s="87"/>
      <c r="B132" s="280"/>
      <c r="C132" s="281"/>
      <c r="D132" s="281"/>
      <c r="E132" s="281"/>
      <c r="F132" s="282"/>
      <c r="G132" s="281"/>
      <c r="H132" s="281"/>
      <c r="I132" s="281"/>
      <c r="J132" s="281"/>
      <c r="K132" s="281"/>
      <c r="L132" s="281"/>
      <c r="M132" s="281"/>
      <c r="N132" s="281"/>
      <c r="O132" s="281"/>
    </row>
    <row r="133" spans="1:19">
      <c r="B133" s="140" t="s">
        <v>120</v>
      </c>
      <c r="F133"/>
      <c r="O133" s="15"/>
    </row>
    <row r="134" spans="1:19">
      <c r="F134"/>
      <c r="H134" s="196"/>
      <c r="I134" s="196"/>
      <c r="J134" s="196"/>
      <c r="K134" s="93" t="s">
        <v>1</v>
      </c>
      <c r="L134" s="16"/>
      <c r="M134" s="16"/>
      <c r="N134" s="16"/>
      <c r="O134" s="16"/>
    </row>
    <row r="135" spans="1:19">
      <c r="B135" s="197"/>
      <c r="F135" s="171"/>
      <c r="G135" s="170"/>
      <c r="H135" s="272">
        <f t="shared" ref="H135:J135" si="62">H$7</f>
        <v>2023</v>
      </c>
      <c r="I135" s="272">
        <f t="shared" si="62"/>
        <v>2024</v>
      </c>
      <c r="J135" s="272">
        <f t="shared" si="62"/>
        <v>2025</v>
      </c>
      <c r="K135" s="274">
        <f>K$7</f>
        <v>2026</v>
      </c>
      <c r="L135" s="274">
        <f>L$7</f>
        <v>2027</v>
      </c>
      <c r="M135" s="274">
        <f>M$7</f>
        <v>2028</v>
      </c>
      <c r="N135" s="274">
        <f>N$7</f>
        <v>2029</v>
      </c>
      <c r="O135" s="274">
        <f>O$7</f>
        <v>2030</v>
      </c>
    </row>
    <row r="136" spans="1:19">
      <c r="B136" s="107" t="s">
        <v>10</v>
      </c>
      <c r="F136"/>
      <c r="J136" s="357"/>
      <c r="K136" s="357"/>
      <c r="L136" s="357"/>
      <c r="M136" s="357"/>
      <c r="N136" s="357"/>
      <c r="O136" s="357"/>
      <c r="P136" s="357"/>
    </row>
    <row r="137" spans="1:19">
      <c r="C137" t="s">
        <v>116</v>
      </c>
      <c r="F137" s="96"/>
      <c r="G137" s="177"/>
      <c r="H137" s="184">
        <v>665.41</v>
      </c>
      <c r="I137" s="184">
        <v>830.3</v>
      </c>
      <c r="J137" s="184">
        <v>838.72</v>
      </c>
      <c r="K137" s="536">
        <f>K126+K332</f>
        <v>1128.6195440085839</v>
      </c>
      <c r="L137" s="536">
        <f>L126+L332</f>
        <v>1461.877527012781</v>
      </c>
      <c r="M137" s="536">
        <f>M126+M332</f>
        <v>1839.143988320775</v>
      </c>
      <c r="N137" s="536">
        <f>N126+N332</f>
        <v>2229.3952923181714</v>
      </c>
      <c r="O137" s="536">
        <f>O126+O332</f>
        <v>2738.4257171548575</v>
      </c>
      <c r="P137" s="357"/>
      <c r="R137" s="156"/>
      <c r="S137" s="156"/>
    </row>
    <row r="138" spans="1:19">
      <c r="C138" t="s">
        <v>11</v>
      </c>
      <c r="F138" s="96"/>
      <c r="G138" s="177"/>
      <c r="H138" s="184">
        <v>70.819999999999993</v>
      </c>
      <c r="I138" s="184">
        <v>77.400000000000006</v>
      </c>
      <c r="J138" s="184">
        <v>88.12</v>
      </c>
      <c r="K138" s="176">
        <f>K307</f>
        <v>91.051618191780818</v>
      </c>
      <c r="L138" s="176">
        <f t="shared" ref="L138:O138" si="63">L307</f>
        <v>101.65866471123287</v>
      </c>
      <c r="M138" s="176">
        <f t="shared" si="63"/>
        <v>111.28905826735958</v>
      </c>
      <c r="N138" s="176">
        <f t="shared" si="63"/>
        <v>124.59634082835403</v>
      </c>
      <c r="O138" s="176">
        <f t="shared" si="63"/>
        <v>139.53931007297729</v>
      </c>
      <c r="P138" s="357"/>
    </row>
    <row r="139" spans="1:19">
      <c r="C139" t="s">
        <v>22</v>
      </c>
      <c r="F139" s="96"/>
      <c r="G139" s="177"/>
      <c r="H139" s="184">
        <v>33.799999999999997</v>
      </c>
      <c r="I139" s="184">
        <v>37.299999999999997</v>
      </c>
      <c r="J139" s="184">
        <v>36.130000000000003</v>
      </c>
      <c r="K139" s="176">
        <f>K308</f>
        <v>42.574004756197255</v>
      </c>
      <c r="L139" s="176">
        <f t="shared" ref="L139:O139" si="64">L308</f>
        <v>46.338672058049994</v>
      </c>
      <c r="M139" s="176">
        <f t="shared" si="64"/>
        <v>52.452006415761879</v>
      </c>
      <c r="N139" s="176">
        <f t="shared" si="64"/>
        <v>57.51306560468943</v>
      </c>
      <c r="O139" s="176">
        <f t="shared" si="64"/>
        <v>63.113277060621442</v>
      </c>
      <c r="P139" s="357"/>
    </row>
    <row r="140" spans="1:19">
      <c r="C140" t="s">
        <v>117</v>
      </c>
      <c r="F140" s="96"/>
      <c r="G140" s="177"/>
      <c r="H140" s="184">
        <v>149.94</v>
      </c>
      <c r="I140" s="184">
        <v>113.77</v>
      </c>
      <c r="J140" s="184">
        <v>326.69</v>
      </c>
      <c r="K140" s="176">
        <f>K337</f>
        <v>412.58255496637867</v>
      </c>
      <c r="L140" s="176">
        <f>L337</f>
        <v>508.88610792755429</v>
      </c>
      <c r="M140" s="176">
        <f>M337</f>
        <v>616.37275876193371</v>
      </c>
      <c r="N140" s="176">
        <f>N337</f>
        <v>737.57298259079994</v>
      </c>
      <c r="O140" s="176">
        <f>O337</f>
        <v>876.14120072841888</v>
      </c>
      <c r="P140" s="357"/>
    </row>
    <row r="141" spans="1:19">
      <c r="C141" t="s">
        <v>118</v>
      </c>
      <c r="F141" s="96"/>
      <c r="G141" s="177"/>
      <c r="H141" s="184">
        <v>37.07</v>
      </c>
      <c r="I141" s="184">
        <v>48.3</v>
      </c>
      <c r="J141" s="184">
        <v>51.48</v>
      </c>
      <c r="K141" s="176">
        <f>J141</f>
        <v>51.48</v>
      </c>
      <c r="L141" s="176">
        <f>K141</f>
        <v>51.48</v>
      </c>
      <c r="M141" s="176">
        <f t="shared" ref="M141:O141" si="65">L141</f>
        <v>51.48</v>
      </c>
      <c r="N141" s="176">
        <f t="shared" si="65"/>
        <v>51.48</v>
      </c>
      <c r="O141" s="176">
        <f t="shared" si="65"/>
        <v>51.48</v>
      </c>
      <c r="P141" s="357"/>
    </row>
    <row r="142" spans="1:19">
      <c r="C142" s="15" t="s">
        <v>119</v>
      </c>
      <c r="F142" s="96"/>
      <c r="G142" s="198"/>
      <c r="H142" s="153">
        <v>16.079999999999998</v>
      </c>
      <c r="I142" s="153">
        <v>19.59</v>
      </c>
      <c r="J142" s="153">
        <v>22.39</v>
      </c>
      <c r="K142" s="384">
        <f>K309</f>
        <v>24.063567905676713</v>
      </c>
      <c r="L142" s="384">
        <f t="shared" ref="L142:O142" si="66">L309</f>
        <v>26.984367262719882</v>
      </c>
      <c r="M142" s="384">
        <f t="shared" si="66"/>
        <v>29.825650707001856</v>
      </c>
      <c r="N142" s="384">
        <f t="shared" si="66"/>
        <v>34.277787100394903</v>
      </c>
      <c r="O142" s="384">
        <f t="shared" si="66"/>
        <v>38.383176661357531</v>
      </c>
      <c r="P142" s="357"/>
    </row>
    <row r="143" spans="1:19">
      <c r="C143" s="95" t="s">
        <v>12</v>
      </c>
      <c r="F143" s="108"/>
      <c r="G143" s="129"/>
      <c r="H143" s="174">
        <f>SUM(H137:H142)</f>
        <v>973.12000000000012</v>
      </c>
      <c r="I143" s="174">
        <f t="shared" ref="I143:J143" si="67">SUM(I137:I142)</f>
        <v>1126.6599999999999</v>
      </c>
      <c r="J143" s="176">
        <f t="shared" si="67"/>
        <v>1363.5300000000002</v>
      </c>
      <c r="K143" s="176">
        <f>SUM(K137:K142)</f>
        <v>1750.3712898286174</v>
      </c>
      <c r="L143" s="176">
        <f t="shared" ref="L143:O143" si="68">SUM(L137:L142)</f>
        <v>2197.2253389723378</v>
      </c>
      <c r="M143" s="176">
        <f t="shared" si="68"/>
        <v>2700.5634624728323</v>
      </c>
      <c r="N143" s="176">
        <f t="shared" si="68"/>
        <v>3234.8354684424103</v>
      </c>
      <c r="O143" s="176">
        <f t="shared" si="68"/>
        <v>3907.0826816782328</v>
      </c>
      <c r="P143" s="357"/>
    </row>
    <row r="144" spans="1:19">
      <c r="C144" t="s">
        <v>13</v>
      </c>
      <c r="F144" s="96"/>
      <c r="G144" s="198"/>
      <c r="H144" s="184">
        <v>203.36</v>
      </c>
      <c r="I144" s="184">
        <v>237.06</v>
      </c>
      <c r="J144" s="184">
        <v>236.9</v>
      </c>
      <c r="K144" s="176">
        <f>J144-K107-K198</f>
        <v>241.76999999999998</v>
      </c>
      <c r="L144" s="176">
        <f>K144-L107-L198</f>
        <v>245.89</v>
      </c>
      <c r="M144" s="176">
        <f>L144-M107-M198</f>
        <v>244.01</v>
      </c>
      <c r="N144" s="176">
        <f>M144-N107-N198</f>
        <v>250.38</v>
      </c>
      <c r="O144" s="176">
        <f>N144-O107-O198</f>
        <v>249.25</v>
      </c>
      <c r="P144" s="357"/>
    </row>
    <row r="145" spans="2:16">
      <c r="C145" t="s">
        <v>121</v>
      </c>
      <c r="F145" s="96"/>
      <c r="G145" s="198"/>
      <c r="H145" s="184">
        <v>200.59</v>
      </c>
      <c r="I145" s="184">
        <v>143.61000000000001</v>
      </c>
      <c r="J145" s="184">
        <v>135.71</v>
      </c>
      <c r="K145" s="176">
        <f>J145+E203-K209</f>
        <v>146.56800000000001</v>
      </c>
      <c r="L145" s="176">
        <f>K145+E204-L209</f>
        <v>167.67600000000002</v>
      </c>
      <c r="M145" s="176">
        <f>L145+E205-M209</f>
        <v>188.03400000000002</v>
      </c>
      <c r="N145" s="176">
        <f>M145+E206-N209</f>
        <v>221.392</v>
      </c>
      <c r="O145" s="176">
        <f>N145+E207-O209</f>
        <v>251.5</v>
      </c>
      <c r="P145" s="357"/>
    </row>
    <row r="146" spans="2:16">
      <c r="C146" t="s">
        <v>186</v>
      </c>
      <c r="F146" s="96"/>
      <c r="G146" s="198"/>
      <c r="H146" s="184">
        <v>547.84</v>
      </c>
      <c r="I146" s="184">
        <v>548.17999999999995</v>
      </c>
      <c r="J146" s="184">
        <v>548.11</v>
      </c>
      <c r="K146" s="176">
        <f>J146</f>
        <v>548.11</v>
      </c>
      <c r="L146" s="176">
        <f>K146</f>
        <v>548.11</v>
      </c>
      <c r="M146" s="176">
        <f>L146</f>
        <v>548.11</v>
      </c>
      <c r="N146" s="176">
        <f t="shared" ref="N146:O146" si="69">M146</f>
        <v>548.11</v>
      </c>
      <c r="O146" s="176">
        <f t="shared" si="69"/>
        <v>548.11</v>
      </c>
      <c r="P146" s="357"/>
    </row>
    <row r="147" spans="2:16">
      <c r="C147" t="s">
        <v>187</v>
      </c>
      <c r="F147" s="96"/>
      <c r="G147" s="198"/>
      <c r="H147" s="184">
        <v>358.18</v>
      </c>
      <c r="I147" s="184">
        <v>304.3</v>
      </c>
      <c r="J147" s="184">
        <v>251.07</v>
      </c>
      <c r="K147" s="176">
        <f>J147+E228-K234</f>
        <v>205.88363636363636</v>
      </c>
      <c r="L147" s="176">
        <f>K147+E229-L234</f>
        <v>156.12227272727273</v>
      </c>
      <c r="M147" s="176">
        <f>L147+E230-M234</f>
        <v>101.6609090909091</v>
      </c>
      <c r="N147" s="176">
        <f>M147+E231-N234</f>
        <v>75.199545454545486</v>
      </c>
      <c r="O147" s="176">
        <f>N147+E232-O234</f>
        <v>57.625000000000014</v>
      </c>
      <c r="P147" s="357"/>
    </row>
    <row r="148" spans="2:16">
      <c r="C148" t="s">
        <v>118</v>
      </c>
      <c r="F148" s="96"/>
      <c r="G148" s="198"/>
      <c r="H148" s="184">
        <v>40.14</v>
      </c>
      <c r="I148" s="184">
        <v>31.68</v>
      </c>
      <c r="J148" s="184">
        <v>81.16</v>
      </c>
      <c r="K148" s="176">
        <f>J148</f>
        <v>81.16</v>
      </c>
      <c r="L148" s="176">
        <f t="shared" ref="L148:O148" si="70">K148</f>
        <v>81.16</v>
      </c>
      <c r="M148" s="176">
        <f t="shared" si="70"/>
        <v>81.16</v>
      </c>
      <c r="N148" s="176">
        <f t="shared" si="70"/>
        <v>81.16</v>
      </c>
      <c r="O148" s="176">
        <f t="shared" si="70"/>
        <v>81.16</v>
      </c>
      <c r="P148" s="357"/>
    </row>
    <row r="149" spans="2:16">
      <c r="C149" t="s">
        <v>123</v>
      </c>
      <c r="F149" s="96"/>
      <c r="G149" s="198"/>
      <c r="H149" s="184">
        <v>37.479999999999997</v>
      </c>
      <c r="I149" s="184">
        <v>42.47</v>
      </c>
      <c r="J149" s="184">
        <v>83.24</v>
      </c>
      <c r="K149" s="176">
        <f>J149+(-K276)</f>
        <v>89.49</v>
      </c>
      <c r="L149" s="176">
        <f>K149+(-L276)</f>
        <v>95.74</v>
      </c>
      <c r="M149" s="176">
        <f>L149+(-M276)</f>
        <v>110.74</v>
      </c>
      <c r="N149" s="176">
        <f>M149+(-N276)</f>
        <v>125.74</v>
      </c>
      <c r="O149" s="176">
        <f>N149+(-O276)</f>
        <v>131.99</v>
      </c>
      <c r="P149" s="357"/>
    </row>
    <row r="150" spans="2:16">
      <c r="C150" s="15" t="s">
        <v>124</v>
      </c>
      <c r="F150" s="96"/>
      <c r="G150" s="198"/>
      <c r="H150" s="153">
        <v>21.89</v>
      </c>
      <c r="I150" s="153">
        <v>19.54</v>
      </c>
      <c r="J150" s="153">
        <v>13.66</v>
      </c>
      <c r="K150" s="383">
        <f>Assumptions!J59</f>
        <v>7</v>
      </c>
      <c r="L150" s="383">
        <f>Assumptions!K59</f>
        <v>7</v>
      </c>
      <c r="M150" s="383">
        <f>Assumptions!L59</f>
        <v>7</v>
      </c>
      <c r="N150" s="383">
        <f>Assumptions!M59</f>
        <v>5</v>
      </c>
      <c r="O150" s="383">
        <f>Assumptions!N59</f>
        <v>5</v>
      </c>
      <c r="P150" s="357"/>
    </row>
    <row r="151" spans="2:16">
      <c r="C151" s="102" t="s">
        <v>125</v>
      </c>
      <c r="F151" s="96"/>
      <c r="G151" s="198"/>
      <c r="H151" s="199">
        <f>SUM(H144:H150)</f>
        <v>1409.4800000000002</v>
      </c>
      <c r="I151" s="199">
        <f>SUM(I144:I150)</f>
        <v>1326.84</v>
      </c>
      <c r="J151" s="199">
        <f>SUM(J144:J150)</f>
        <v>1349.8500000000001</v>
      </c>
      <c r="K151" s="199">
        <f t="shared" ref="K151:O151" si="71">SUM(K144:K150)</f>
        <v>1319.9816363636364</v>
      </c>
      <c r="L151" s="199">
        <f t="shared" si="71"/>
        <v>1301.698272727273</v>
      </c>
      <c r="M151" s="199">
        <f t="shared" si="71"/>
        <v>1280.7149090909093</v>
      </c>
      <c r="N151" s="199">
        <f t="shared" si="71"/>
        <v>1306.9815454545455</v>
      </c>
      <c r="O151" s="199">
        <f t="shared" si="71"/>
        <v>1324.6350000000002</v>
      </c>
    </row>
    <row r="152" spans="2:16">
      <c r="C152" s="15"/>
      <c r="F152" s="96"/>
      <c r="G152" s="198"/>
      <c r="H152" s="184"/>
      <c r="I152" s="184"/>
      <c r="J152" s="184"/>
      <c r="K152" s="176"/>
      <c r="L152" s="176"/>
      <c r="M152" s="176"/>
      <c r="N152" s="176"/>
      <c r="O152" s="176"/>
    </row>
    <row r="153" spans="2:16" ht="13.8" thickBot="1">
      <c r="C153" s="107" t="s">
        <v>14</v>
      </c>
      <c r="F153" s="108"/>
      <c r="G153" s="131"/>
      <c r="H153" s="318">
        <f t="shared" ref="H153:O153" si="72">+H143+H151</f>
        <v>2382.6000000000004</v>
      </c>
      <c r="I153" s="318">
        <f t="shared" si="72"/>
        <v>2453.5</v>
      </c>
      <c r="J153" s="318">
        <f t="shared" si="72"/>
        <v>2713.38</v>
      </c>
      <c r="K153" s="318">
        <f t="shared" si="72"/>
        <v>3070.352926192254</v>
      </c>
      <c r="L153" s="318">
        <f t="shared" si="72"/>
        <v>3498.9236116996108</v>
      </c>
      <c r="M153" s="318">
        <f t="shared" si="72"/>
        <v>3981.2783715637415</v>
      </c>
      <c r="N153" s="318">
        <f t="shared" si="72"/>
        <v>4541.8170138969563</v>
      </c>
      <c r="O153" s="318">
        <f t="shared" si="72"/>
        <v>5231.717681678233</v>
      </c>
    </row>
    <row r="154" spans="2:16" ht="13.8" thickTop="1">
      <c r="F154" s="129"/>
      <c r="G154" s="172"/>
      <c r="H154" s="129"/>
      <c r="I154" s="129"/>
      <c r="J154" s="129"/>
      <c r="K154" s="172"/>
      <c r="L154" s="172"/>
      <c r="M154" s="172"/>
      <c r="N154" s="172"/>
      <c r="O154" s="172"/>
    </row>
    <row r="155" spans="2:16">
      <c r="F155" s="129"/>
      <c r="G155" s="172"/>
      <c r="H155" s="129"/>
      <c r="I155" s="129"/>
      <c r="J155" s="201"/>
      <c r="K155" s="175"/>
      <c r="L155" s="175"/>
      <c r="M155" s="175"/>
      <c r="N155" s="175"/>
      <c r="O155" s="175"/>
      <c r="P155" s="357"/>
    </row>
    <row r="156" spans="2:16">
      <c r="B156" s="95" t="s">
        <v>15</v>
      </c>
      <c r="F156" s="129"/>
      <c r="G156" s="172"/>
      <c r="H156" s="129"/>
      <c r="I156" s="129"/>
      <c r="J156" s="175"/>
      <c r="K156" s="175"/>
      <c r="L156" s="175"/>
      <c r="M156" s="175"/>
      <c r="N156" s="175"/>
      <c r="O156" s="175"/>
      <c r="P156" s="357"/>
    </row>
    <row r="157" spans="2:16">
      <c r="C157" s="15" t="s">
        <v>132</v>
      </c>
      <c r="F157" s="96"/>
      <c r="G157" s="177"/>
      <c r="H157" s="184">
        <v>206.16</v>
      </c>
      <c r="I157" s="184">
        <v>143.9</v>
      </c>
      <c r="J157" s="184">
        <v>54.79</v>
      </c>
      <c r="K157" s="176">
        <f>J157*(1-0.5)</f>
        <v>27.395</v>
      </c>
      <c r="L157" s="176">
        <f t="shared" ref="L157:O157" si="73">K157*(1-0.5)</f>
        <v>13.6975</v>
      </c>
      <c r="M157" s="176">
        <f t="shared" si="73"/>
        <v>6.8487499999999999</v>
      </c>
      <c r="N157" s="176">
        <f t="shared" si="73"/>
        <v>3.4243749999999999</v>
      </c>
      <c r="O157" s="176">
        <f t="shared" si="73"/>
        <v>1.7121875</v>
      </c>
      <c r="P157" s="357"/>
    </row>
    <row r="158" spans="2:16">
      <c r="C158" s="15" t="s">
        <v>16</v>
      </c>
      <c r="F158" s="96"/>
      <c r="G158" s="177"/>
      <c r="H158" s="184">
        <v>156.1</v>
      </c>
      <c r="I158" s="184">
        <v>186.56</v>
      </c>
      <c r="J158" s="184">
        <v>198.84</v>
      </c>
      <c r="K158" s="176">
        <f>K310</f>
        <v>222.12524220624658</v>
      </c>
      <c r="L158" s="176">
        <f t="shared" ref="L158:O158" si="74">L310</f>
        <v>245.65079163303616</v>
      </c>
      <c r="M158" s="176">
        <f t="shared" si="74"/>
        <v>277.68709278932766</v>
      </c>
      <c r="N158" s="176">
        <f t="shared" si="74"/>
        <v>310.57055426532293</v>
      </c>
      <c r="O158" s="176">
        <f t="shared" si="74"/>
        <v>355.49519323941871</v>
      </c>
      <c r="P158" s="357"/>
    </row>
    <row r="159" spans="2:16">
      <c r="C159" s="15" t="s">
        <v>133</v>
      </c>
      <c r="F159" s="96"/>
      <c r="G159" s="177"/>
      <c r="H159" s="184">
        <v>46.24</v>
      </c>
      <c r="I159" s="184">
        <v>48.66</v>
      </c>
      <c r="J159" s="184">
        <v>56.76</v>
      </c>
      <c r="K159" s="532">
        <f>Assumptions!J60</f>
        <v>98.5</v>
      </c>
      <c r="L159" s="532">
        <f>Assumptions!K60</f>
        <v>135.5</v>
      </c>
      <c r="M159" s="532">
        <f>Assumptions!L60</f>
        <v>173.5</v>
      </c>
      <c r="N159" s="532">
        <f>Assumptions!M60</f>
        <v>205.5</v>
      </c>
      <c r="O159" s="532">
        <f>Assumptions!N60</f>
        <v>268.5</v>
      </c>
      <c r="P159" s="357"/>
    </row>
    <row r="160" spans="2:16">
      <c r="C160" s="15" t="s">
        <v>129</v>
      </c>
      <c r="F160" s="96"/>
      <c r="G160" s="177"/>
      <c r="H160" s="184">
        <v>29.13</v>
      </c>
      <c r="I160" s="184">
        <v>37.86</v>
      </c>
      <c r="J160" s="184">
        <v>37.08</v>
      </c>
      <c r="K160" s="532">
        <f>Scenarios!G38</f>
        <v>51.445</v>
      </c>
      <c r="L160" s="532">
        <f>Scenarios!H38</f>
        <v>69.540999999999997</v>
      </c>
      <c r="M160" s="532">
        <f>Scenarios!I38</f>
        <v>76.89</v>
      </c>
      <c r="N160" s="532">
        <f>Scenarios!J38</f>
        <v>94.129000000000005</v>
      </c>
      <c r="O160" s="532">
        <f>Scenarios!K38</f>
        <v>127.627</v>
      </c>
      <c r="P160" s="357"/>
    </row>
    <row r="161" spans="2:20">
      <c r="C161" s="15" t="s">
        <v>134</v>
      </c>
      <c r="F161" s="96"/>
      <c r="G161" s="177"/>
      <c r="H161" s="184">
        <v>0.49</v>
      </c>
      <c r="I161" s="184">
        <v>13.28</v>
      </c>
      <c r="J161" s="184">
        <v>13.84</v>
      </c>
      <c r="K161" s="176">
        <f>J161+K280</f>
        <v>15.665203215809097</v>
      </c>
      <c r="L161" s="176">
        <f>K161+L280</f>
        <v>17.723719145012549</v>
      </c>
      <c r="M161" s="176">
        <f>L161+M280</f>
        <v>20.118715886396412</v>
      </c>
      <c r="N161" s="176">
        <f>M161+N280</f>
        <v>22.800567474294066</v>
      </c>
      <c r="O161" s="176">
        <f>N161+O280</f>
        <v>25.755211755354448</v>
      </c>
      <c r="P161" s="357"/>
    </row>
    <row r="162" spans="2:20">
      <c r="C162" s="15" t="s">
        <v>135</v>
      </c>
      <c r="F162" s="96"/>
      <c r="G162" s="198"/>
      <c r="H162" s="153">
        <v>31.6</v>
      </c>
      <c r="I162" s="153">
        <v>34.880000000000003</v>
      </c>
      <c r="J162" s="153">
        <v>42.95</v>
      </c>
      <c r="K162" s="384">
        <f>K311</f>
        <v>44.256771742608215</v>
      </c>
      <c r="L162" s="384">
        <f t="shared" ref="L162:O162" si="75">L311</f>
        <v>49.502356495748195</v>
      </c>
      <c r="M162" s="384">
        <f t="shared" si="75"/>
        <v>55.126030272251704</v>
      </c>
      <c r="N162" s="384">
        <f t="shared" si="75"/>
        <v>61.654006328227076</v>
      </c>
      <c r="O162" s="384">
        <f t="shared" si="75"/>
        <v>69.811012585422091</v>
      </c>
      <c r="P162" s="357"/>
      <c r="R162" s="522"/>
      <c r="T162" s="522"/>
    </row>
    <row r="163" spans="2:20">
      <c r="C163" s="95" t="s">
        <v>17</v>
      </c>
      <c r="F163" s="108"/>
      <c r="G163" s="129"/>
      <c r="H163" s="126">
        <f>SUM(H157:H162)</f>
        <v>469.72</v>
      </c>
      <c r="I163" s="126">
        <f>SUM(I157:I162)</f>
        <v>465.14</v>
      </c>
      <c r="J163" s="382">
        <f>SUM(J157:J162)</f>
        <v>404.25999999999993</v>
      </c>
      <c r="K163" s="382">
        <f t="shared" ref="K163:O163" si="76">SUM(K157:K162)</f>
        <v>459.38721716466392</v>
      </c>
      <c r="L163" s="382">
        <f t="shared" si="76"/>
        <v>531.61536727379689</v>
      </c>
      <c r="M163" s="382">
        <f t="shared" si="76"/>
        <v>610.17058894797583</v>
      </c>
      <c r="N163" s="382">
        <f t="shared" si="76"/>
        <v>698.07850306784417</v>
      </c>
      <c r="O163" s="382">
        <f t="shared" si="76"/>
        <v>848.90060508019531</v>
      </c>
      <c r="P163" s="357"/>
    </row>
    <row r="164" spans="2:20">
      <c r="C164" t="s">
        <v>131</v>
      </c>
      <c r="F164" s="96"/>
      <c r="G164" s="172"/>
      <c r="H164" s="200">
        <v>83.34</v>
      </c>
      <c r="I164" s="200">
        <v>0</v>
      </c>
      <c r="J164" s="200">
        <v>0</v>
      </c>
      <c r="K164" s="176">
        <f>J164+K116</f>
        <v>0</v>
      </c>
      <c r="L164" s="176">
        <f>K164+L116</f>
        <v>0</v>
      </c>
      <c r="M164" s="176">
        <f>L164+M116</f>
        <v>0</v>
      </c>
      <c r="N164" s="176">
        <f>M164+N116</f>
        <v>0</v>
      </c>
      <c r="O164" s="176">
        <f>N164+O116</f>
        <v>0</v>
      </c>
      <c r="P164" s="357"/>
      <c r="Q164" s="645"/>
    </row>
    <row r="165" spans="2:20">
      <c r="C165" t="s">
        <v>128</v>
      </c>
      <c r="F165" s="96"/>
      <c r="G165" s="172"/>
      <c r="H165" s="200">
        <v>130</v>
      </c>
      <c r="I165" s="200">
        <v>103.01</v>
      </c>
      <c r="J165" s="200">
        <v>102.65</v>
      </c>
      <c r="K165" s="176">
        <f>K253</f>
        <v>108.65</v>
      </c>
      <c r="L165" s="176">
        <f t="shared" ref="L165:O165" si="77">L253</f>
        <v>130.65</v>
      </c>
      <c r="M165" s="176">
        <f t="shared" si="77"/>
        <v>159.02500000000001</v>
      </c>
      <c r="N165" s="176">
        <f t="shared" si="77"/>
        <v>208.9</v>
      </c>
      <c r="O165" s="176">
        <f t="shared" si="77"/>
        <v>265.77499999999998</v>
      </c>
      <c r="P165" s="357"/>
    </row>
    <row r="166" spans="2:20">
      <c r="C166" s="102" t="s">
        <v>130</v>
      </c>
      <c r="F166" s="108"/>
      <c r="G166" s="177"/>
      <c r="H166" s="191">
        <f t="shared" ref="H166:O166" si="78">SUM(H164:H165)</f>
        <v>213.34</v>
      </c>
      <c r="I166" s="191">
        <f t="shared" si="78"/>
        <v>103.01</v>
      </c>
      <c r="J166" s="537">
        <f t="shared" si="78"/>
        <v>102.65</v>
      </c>
      <c r="K166" s="537">
        <f t="shared" si="78"/>
        <v>108.65</v>
      </c>
      <c r="L166" s="537">
        <f t="shared" si="78"/>
        <v>130.65</v>
      </c>
      <c r="M166" s="537">
        <f t="shared" si="78"/>
        <v>159.02500000000001</v>
      </c>
      <c r="N166" s="537">
        <f t="shared" si="78"/>
        <v>208.9</v>
      </c>
      <c r="O166" s="537">
        <f t="shared" si="78"/>
        <v>265.77499999999998</v>
      </c>
      <c r="P166" s="357"/>
      <c r="Q166" s="645"/>
    </row>
    <row r="167" spans="2:20">
      <c r="C167" s="102" t="s">
        <v>18</v>
      </c>
      <c r="F167" s="108"/>
      <c r="G167" s="131"/>
      <c r="H167" s="128">
        <f t="shared" ref="H167:O167" si="79">H166+H163</f>
        <v>683.06000000000006</v>
      </c>
      <c r="I167" s="128">
        <f t="shared" si="79"/>
        <v>568.15</v>
      </c>
      <c r="J167" s="152">
        <f t="shared" si="79"/>
        <v>506.90999999999997</v>
      </c>
      <c r="K167" s="152">
        <f t="shared" si="79"/>
        <v>568.03721716466396</v>
      </c>
      <c r="L167" s="152">
        <f t="shared" si="79"/>
        <v>662.26536727379687</v>
      </c>
      <c r="M167" s="152">
        <f t="shared" si="79"/>
        <v>769.19558894797581</v>
      </c>
      <c r="N167" s="152">
        <f t="shared" si="79"/>
        <v>906.97850306784414</v>
      </c>
      <c r="O167" s="152">
        <f t="shared" si="79"/>
        <v>1114.6756050801953</v>
      </c>
      <c r="P167" s="357"/>
    </row>
    <row r="168" spans="2:20">
      <c r="C168" t="s">
        <v>78</v>
      </c>
      <c r="F168" s="96"/>
      <c r="G168" s="129"/>
      <c r="H168" s="184">
        <v>83.37</v>
      </c>
      <c r="I168" s="184">
        <v>83.47</v>
      </c>
      <c r="J168" s="184">
        <v>83.59</v>
      </c>
      <c r="K168" s="176">
        <f>K351</f>
        <v>83.59</v>
      </c>
      <c r="L168" s="176">
        <f t="shared" ref="L168:O168" si="80">L351</f>
        <v>83.59</v>
      </c>
      <c r="M168" s="176">
        <f t="shared" si="80"/>
        <v>83.59</v>
      </c>
      <c r="N168" s="176">
        <f t="shared" si="80"/>
        <v>83.59</v>
      </c>
      <c r="O168" s="176">
        <f t="shared" si="80"/>
        <v>83.59</v>
      </c>
      <c r="P168" s="357"/>
    </row>
    <row r="169" spans="2:20">
      <c r="C169" t="s">
        <v>81</v>
      </c>
      <c r="F169" s="96"/>
      <c r="G169" s="129"/>
      <c r="H169" s="184">
        <v>1350.57</v>
      </c>
      <c r="I169" s="184">
        <v>1508.51</v>
      </c>
      <c r="J169" s="184">
        <v>1859.95</v>
      </c>
      <c r="K169" s="176">
        <f>K362</f>
        <v>2150.7960306085001</v>
      </c>
      <c r="L169" s="176">
        <f t="shared" ref="L169:O169" si="81">L362</f>
        <v>2480.1386589270683</v>
      </c>
      <c r="M169" s="176">
        <f t="shared" si="81"/>
        <v>2850.5631212554067</v>
      </c>
      <c r="N169" s="176">
        <f t="shared" si="81"/>
        <v>3268.3186332585146</v>
      </c>
      <c r="O169" s="176">
        <f t="shared" si="81"/>
        <v>3745.5224396334811</v>
      </c>
      <c r="P169" s="357"/>
    </row>
    <row r="170" spans="2:20">
      <c r="C170" t="s">
        <v>205</v>
      </c>
      <c r="F170" s="96"/>
      <c r="G170" s="129"/>
      <c r="H170" s="184">
        <v>232.36</v>
      </c>
      <c r="I170" s="184">
        <v>257.29000000000002</v>
      </c>
      <c r="J170" s="184">
        <v>229.17</v>
      </c>
      <c r="K170" s="176">
        <f>K368</f>
        <v>234.17</v>
      </c>
      <c r="L170" s="176">
        <f t="shared" ref="L170:O170" si="82">L368</f>
        <v>239.17</v>
      </c>
      <c r="M170" s="176">
        <f t="shared" si="82"/>
        <v>244.17</v>
      </c>
      <c r="N170" s="176">
        <f t="shared" si="82"/>
        <v>249.17</v>
      </c>
      <c r="O170" s="176">
        <f t="shared" si="82"/>
        <v>254.17</v>
      </c>
      <c r="P170" s="357"/>
    </row>
    <row r="171" spans="2:20">
      <c r="C171" t="s">
        <v>126</v>
      </c>
      <c r="F171" s="96"/>
      <c r="G171" s="201"/>
      <c r="H171" s="153">
        <v>33.24</v>
      </c>
      <c r="I171" s="153">
        <v>36.08</v>
      </c>
      <c r="J171" s="153">
        <v>33.76</v>
      </c>
      <c r="K171" s="384">
        <f>J171</f>
        <v>33.76</v>
      </c>
      <c r="L171" s="384">
        <f>K171</f>
        <v>33.76</v>
      </c>
      <c r="M171" s="384">
        <f t="shared" ref="M171:O171" si="83">L171</f>
        <v>33.76</v>
      </c>
      <c r="N171" s="384">
        <f t="shared" si="83"/>
        <v>33.76</v>
      </c>
      <c r="O171" s="384">
        <f t="shared" si="83"/>
        <v>33.76</v>
      </c>
      <c r="P171" s="357"/>
    </row>
    <row r="172" spans="2:20">
      <c r="C172" s="95" t="s">
        <v>127</v>
      </c>
      <c r="F172" s="108"/>
      <c r="G172" s="177"/>
      <c r="H172" s="180">
        <f>SUM(H168:H171)</f>
        <v>1699.5400000000002</v>
      </c>
      <c r="I172" s="180">
        <f t="shared" ref="I172:J172" si="84">SUM(I168:I171)</f>
        <v>1885.35</v>
      </c>
      <c r="J172" s="527">
        <f t="shared" si="84"/>
        <v>2206.4700000000003</v>
      </c>
      <c r="K172" s="527">
        <f>SUM(K168:K171)</f>
        <v>2502.3160306085006</v>
      </c>
      <c r="L172" s="527">
        <f t="shared" ref="L172:O172" si="85">SUM(L168:L171)</f>
        <v>2836.6586589270687</v>
      </c>
      <c r="M172" s="527">
        <f t="shared" si="85"/>
        <v>3212.0831212554071</v>
      </c>
      <c r="N172" s="527">
        <f t="shared" si="85"/>
        <v>3634.8386332585151</v>
      </c>
      <c r="O172" s="527">
        <f t="shared" si="85"/>
        <v>4117.0424396334811</v>
      </c>
      <c r="P172" s="357"/>
    </row>
    <row r="173" spans="2:20">
      <c r="F173" s="129"/>
      <c r="G173" s="129"/>
      <c r="H173" s="172"/>
      <c r="I173" s="172"/>
      <c r="J173" s="175"/>
      <c r="K173" s="175"/>
      <c r="L173" s="175"/>
      <c r="M173" s="175"/>
      <c r="N173" s="175"/>
      <c r="O173" s="175"/>
      <c r="P173" s="357"/>
    </row>
    <row r="174" spans="2:20" ht="13.8" thickBot="1">
      <c r="B174" s="95" t="s">
        <v>19</v>
      </c>
      <c r="F174" s="108"/>
      <c r="G174" s="131"/>
      <c r="H174" s="318">
        <f t="shared" ref="H174:O174" si="86">H172+H167</f>
        <v>2382.6000000000004</v>
      </c>
      <c r="I174" s="318">
        <f t="shared" si="86"/>
        <v>2453.5</v>
      </c>
      <c r="J174" s="318">
        <f t="shared" si="86"/>
        <v>2713.38</v>
      </c>
      <c r="K174" s="318">
        <f t="shared" si="86"/>
        <v>3070.3532477731646</v>
      </c>
      <c r="L174" s="318">
        <f t="shared" si="86"/>
        <v>3498.9240262008657</v>
      </c>
      <c r="M174" s="318">
        <f t="shared" si="86"/>
        <v>3981.2787102033831</v>
      </c>
      <c r="N174" s="318">
        <f t="shared" si="86"/>
        <v>4541.8171363263591</v>
      </c>
      <c r="O174" s="318">
        <f t="shared" si="86"/>
        <v>5231.7180447136761</v>
      </c>
    </row>
    <row r="175" spans="2:20" ht="13.8" thickTop="1">
      <c r="B175" s="168"/>
      <c r="D175" s="202" t="s">
        <v>20</v>
      </c>
      <c r="F175" s="203"/>
      <c r="G175" s="203"/>
      <c r="H175" s="204">
        <f t="shared" ref="H175:O175" si="87">ROUND(H153-H174,3)</f>
        <v>0</v>
      </c>
      <c r="I175" s="204">
        <f t="shared" si="87"/>
        <v>0</v>
      </c>
      <c r="J175" s="204">
        <f t="shared" si="87"/>
        <v>0</v>
      </c>
      <c r="K175" s="204">
        <f t="shared" si="87"/>
        <v>0</v>
      </c>
      <c r="L175" s="204">
        <f t="shared" si="87"/>
        <v>0</v>
      </c>
      <c r="M175" s="204">
        <f t="shared" si="87"/>
        <v>0</v>
      </c>
      <c r="N175" s="204">
        <f t="shared" si="87"/>
        <v>0</v>
      </c>
      <c r="O175" s="204">
        <f t="shared" si="87"/>
        <v>0</v>
      </c>
    </row>
    <row r="176" spans="2:20">
      <c r="B176" s="651"/>
      <c r="C176" s="5"/>
      <c r="D176" s="5"/>
      <c r="E176" s="5"/>
      <c r="F176" s="5"/>
      <c r="G176" s="5"/>
      <c r="H176" s="5"/>
      <c r="I176" s="5"/>
      <c r="J176" s="5"/>
      <c r="K176" s="652"/>
      <c r="L176" s="652"/>
      <c r="M176" s="652"/>
      <c r="N176" s="652"/>
      <c r="O176" s="652"/>
    </row>
    <row r="177" spans="1:243">
      <c r="F177"/>
    </row>
    <row r="178" spans="1:243" ht="12.75" customHeight="1">
      <c r="A178" s="86"/>
      <c r="B178" s="1"/>
      <c r="C178" s="3"/>
      <c r="D178" s="3"/>
      <c r="E178" s="3"/>
      <c r="F178" s="85"/>
      <c r="G178" s="3"/>
      <c r="H178" s="3"/>
      <c r="I178" s="3"/>
      <c r="J178" s="3"/>
      <c r="K178" s="3"/>
      <c r="L178" s="3"/>
      <c r="M178" s="3"/>
      <c r="N178" s="3"/>
      <c r="O178" s="113" t="str">
        <f>$O$1</f>
        <v>CURRENTLY RUNNING: BASE CASE SCENARIO</v>
      </c>
    </row>
    <row r="179" spans="1:243" ht="22.65" customHeight="1">
      <c r="B179" s="205" t="str">
        <f>B$2</f>
        <v>Dr Lal PathLabs Ltd</v>
      </c>
      <c r="C179" s="206"/>
      <c r="D179" s="206"/>
      <c r="E179" s="207"/>
      <c r="F179" s="207"/>
      <c r="G179" s="208"/>
      <c r="H179" s="208"/>
      <c r="I179" s="208"/>
      <c r="J179" s="208"/>
      <c r="K179" s="208"/>
      <c r="L179" s="208"/>
      <c r="M179" s="208"/>
      <c r="N179" s="208"/>
      <c r="O179" s="208"/>
    </row>
    <row r="180" spans="1:243" ht="17.399999999999999">
      <c r="B180" s="88" t="s">
        <v>88</v>
      </c>
      <c r="C180" s="88"/>
      <c r="D180" s="88"/>
      <c r="E180" s="209"/>
      <c r="F180" s="209"/>
      <c r="G180" s="88"/>
      <c r="H180" s="88"/>
      <c r="I180" s="88"/>
      <c r="J180" s="88"/>
      <c r="K180" s="88"/>
      <c r="L180" s="88"/>
      <c r="M180" s="88"/>
      <c r="N180" s="88"/>
      <c r="O180" s="88"/>
    </row>
    <row r="181" spans="1:243" ht="3" customHeight="1" thickBot="1">
      <c r="A181" s="87"/>
      <c r="B181" s="280"/>
      <c r="C181" s="281"/>
      <c r="D181" s="281"/>
      <c r="E181" s="281"/>
      <c r="F181" s="282"/>
      <c r="G181" s="281"/>
      <c r="H181" s="281"/>
      <c r="I181" s="281"/>
      <c r="J181" s="281"/>
      <c r="K181" s="281"/>
      <c r="L181" s="281"/>
      <c r="M181" s="281"/>
      <c r="N181" s="281"/>
      <c r="O181" s="281"/>
    </row>
    <row r="182" spans="1:243">
      <c r="B182" s="140" t="s">
        <v>120</v>
      </c>
      <c r="C182" s="168"/>
      <c r="E182" s="91"/>
      <c r="G182" s="168"/>
    </row>
    <row r="183" spans="1:243">
      <c r="E183" s="91"/>
      <c r="K183" s="93" t="s">
        <v>1</v>
      </c>
      <c r="L183" s="210"/>
      <c r="M183" s="210"/>
      <c r="N183" s="210"/>
      <c r="O183" s="210"/>
    </row>
    <row r="184" spans="1:243">
      <c r="C184" s="107"/>
      <c r="D184" s="107"/>
      <c r="E184" s="127"/>
      <c r="F184" s="211"/>
      <c r="G184" s="114"/>
      <c r="H184" s="272">
        <f t="shared" ref="H184:J184" si="88">H$7</f>
        <v>2023</v>
      </c>
      <c r="I184" s="272">
        <f t="shared" si="88"/>
        <v>2024</v>
      </c>
      <c r="J184" s="272">
        <f t="shared" si="88"/>
        <v>2025</v>
      </c>
      <c r="K184" s="275">
        <f>K$7</f>
        <v>2026</v>
      </c>
      <c r="L184" s="275">
        <f>L$7</f>
        <v>2027</v>
      </c>
      <c r="M184" s="275">
        <f>M$7</f>
        <v>2028</v>
      </c>
      <c r="N184" s="275">
        <f>N$7</f>
        <v>2029</v>
      </c>
      <c r="O184" s="275">
        <f>O$7</f>
        <v>2030</v>
      </c>
    </row>
    <row r="186" spans="1:243" ht="13.35" customHeight="1">
      <c r="A186" s="212"/>
      <c r="B186" s="213" t="s">
        <v>115</v>
      </c>
      <c r="C186" s="5"/>
      <c r="D186" s="5"/>
      <c r="E186" s="5"/>
      <c r="F186" s="430">
        <f>Assumptions!H36</f>
        <v>5</v>
      </c>
      <c r="K186" s="214"/>
      <c r="L186" s="215"/>
      <c r="M186" s="215"/>
      <c r="N186" s="215"/>
      <c r="P186" s="216"/>
      <c r="Q186" s="216"/>
      <c r="R186" s="216"/>
      <c r="S186" s="216"/>
      <c r="T186" s="216"/>
      <c r="U186" s="216"/>
      <c r="V186" s="216"/>
      <c r="W186" s="216"/>
      <c r="X186" s="216"/>
      <c r="Y186" s="216"/>
      <c r="Z186" s="216"/>
      <c r="AA186" s="216"/>
      <c r="AB186" s="216"/>
      <c r="AC186" s="216"/>
      <c r="AD186" s="216"/>
      <c r="AE186" s="216"/>
      <c r="AF186" s="216"/>
      <c r="AG186" s="216"/>
      <c r="AH186" s="216"/>
      <c r="AI186" s="216"/>
      <c r="AJ186" s="216"/>
      <c r="AK186" s="216"/>
      <c r="AL186" s="216"/>
      <c r="AM186" s="216"/>
      <c r="AN186" s="216"/>
      <c r="AO186" s="216"/>
      <c r="AP186" s="216"/>
      <c r="AQ186" s="216"/>
      <c r="AR186" s="216"/>
      <c r="AS186" s="216"/>
      <c r="AT186" s="216"/>
      <c r="AU186" s="216"/>
      <c r="AV186" s="216"/>
      <c r="AW186" s="216"/>
      <c r="AX186" s="216"/>
      <c r="AY186" s="216"/>
      <c r="AZ186" s="216"/>
      <c r="BA186" s="216"/>
      <c r="BB186" s="216"/>
      <c r="BC186" s="216"/>
      <c r="BD186" s="216"/>
      <c r="BE186" s="216"/>
      <c r="BF186" s="216"/>
      <c r="BG186" s="216"/>
      <c r="BH186" s="216"/>
      <c r="BI186" s="216"/>
      <c r="BJ186" s="216"/>
      <c r="BK186" s="216"/>
      <c r="BL186" s="216"/>
      <c r="BM186" s="216"/>
      <c r="BN186" s="216"/>
      <c r="BO186" s="216"/>
      <c r="BP186" s="216"/>
      <c r="BQ186" s="216"/>
      <c r="BR186" s="216"/>
      <c r="BS186" s="216"/>
      <c r="BT186" s="216"/>
      <c r="BU186" s="216"/>
      <c r="BV186" s="216"/>
      <c r="BW186" s="216"/>
      <c r="BX186" s="216"/>
      <c r="BY186" s="216"/>
      <c r="BZ186" s="216"/>
      <c r="CA186" s="216"/>
      <c r="CB186" s="216"/>
      <c r="CC186" s="216"/>
      <c r="CD186" s="216"/>
      <c r="CE186" s="216"/>
      <c r="CF186" s="216"/>
      <c r="CG186" s="216"/>
      <c r="CH186" s="216"/>
      <c r="CI186" s="216"/>
      <c r="CJ186" s="216"/>
      <c r="CK186" s="216"/>
      <c r="CL186" s="216"/>
      <c r="CM186" s="216"/>
      <c r="CN186" s="216"/>
      <c r="CO186" s="216"/>
      <c r="CP186" s="216"/>
      <c r="CQ186" s="216"/>
      <c r="CR186" s="216"/>
      <c r="CS186" s="216"/>
      <c r="CT186" s="216"/>
      <c r="CU186" s="216"/>
      <c r="CV186" s="216"/>
      <c r="CW186" s="216"/>
      <c r="CX186" s="216"/>
      <c r="CY186" s="216"/>
      <c r="CZ186" s="216"/>
      <c r="DA186" s="216"/>
      <c r="DB186" s="216"/>
      <c r="DC186" s="216"/>
      <c r="DD186" s="216"/>
      <c r="DE186" s="216"/>
      <c r="DF186" s="216"/>
      <c r="DG186" s="216"/>
      <c r="DH186" s="216"/>
      <c r="DI186" s="216"/>
      <c r="DJ186" s="216"/>
      <c r="DK186" s="216"/>
      <c r="DL186" s="216"/>
      <c r="DM186" s="216"/>
      <c r="DN186" s="216"/>
      <c r="DO186" s="216"/>
      <c r="DP186" s="216"/>
      <c r="DQ186" s="216"/>
      <c r="DR186" s="216"/>
      <c r="DS186" s="216"/>
      <c r="DT186" s="216"/>
      <c r="DU186" s="216"/>
      <c r="DV186" s="216"/>
      <c r="DW186" s="216"/>
      <c r="DX186" s="216"/>
      <c r="DY186" s="216"/>
      <c r="DZ186" s="216"/>
      <c r="EA186" s="216"/>
      <c r="EB186" s="216"/>
      <c r="EC186" s="216"/>
      <c r="ED186" s="216"/>
      <c r="EE186" s="216"/>
      <c r="EF186" s="216"/>
      <c r="EG186" s="216"/>
      <c r="EH186" s="216"/>
      <c r="EI186" s="216"/>
      <c r="EJ186" s="216"/>
      <c r="EK186" s="216"/>
      <c r="EL186" s="216"/>
      <c r="EM186" s="216"/>
      <c r="EN186" s="216"/>
      <c r="EO186" s="216"/>
      <c r="EP186" s="216"/>
      <c r="EQ186" s="216"/>
      <c r="ER186" s="216"/>
      <c r="ES186" s="216"/>
      <c r="ET186" s="216"/>
      <c r="EU186" s="216"/>
      <c r="EV186" s="216"/>
      <c r="EW186" s="216"/>
      <c r="EX186" s="216"/>
      <c r="EY186" s="216"/>
      <c r="EZ186" s="216"/>
      <c r="FA186" s="216"/>
      <c r="FB186" s="216"/>
      <c r="FC186" s="216"/>
      <c r="FD186" s="216"/>
      <c r="FE186" s="216"/>
      <c r="FF186" s="216"/>
      <c r="FG186" s="216"/>
      <c r="FH186" s="216"/>
      <c r="FI186" s="216"/>
      <c r="FJ186" s="216"/>
      <c r="FK186" s="216"/>
      <c r="FL186" s="216"/>
      <c r="FM186" s="216"/>
      <c r="FN186" s="216"/>
      <c r="FO186" s="216"/>
      <c r="FP186" s="216"/>
      <c r="FQ186" s="216"/>
      <c r="FR186" s="216"/>
      <c r="FS186" s="216"/>
      <c r="FT186" s="216"/>
      <c r="FU186" s="216"/>
      <c r="FV186" s="216"/>
      <c r="FW186" s="216"/>
      <c r="FX186" s="216"/>
      <c r="FY186" s="216"/>
      <c r="FZ186" s="216"/>
      <c r="GA186" s="216"/>
      <c r="GB186" s="216"/>
      <c r="GC186" s="216"/>
      <c r="GD186" s="216"/>
      <c r="GE186" s="216"/>
      <c r="GF186" s="216"/>
      <c r="GG186" s="216"/>
      <c r="GH186" s="216"/>
      <c r="GI186" s="216"/>
      <c r="GJ186" s="216"/>
      <c r="GK186" s="216"/>
      <c r="GL186" s="216"/>
      <c r="GM186" s="216"/>
      <c r="GN186" s="216"/>
      <c r="GO186" s="216"/>
      <c r="GP186" s="216"/>
      <c r="GQ186" s="216"/>
      <c r="GR186" s="216"/>
      <c r="GS186" s="216"/>
      <c r="GT186" s="216"/>
      <c r="GU186" s="216"/>
      <c r="GV186" s="216"/>
      <c r="GW186" s="216"/>
      <c r="GX186" s="216"/>
      <c r="GY186" s="216"/>
      <c r="GZ186" s="216"/>
      <c r="HA186" s="216"/>
      <c r="HB186" s="216"/>
      <c r="HC186" s="216"/>
      <c r="HD186" s="216"/>
      <c r="HE186" s="216"/>
      <c r="HF186" s="216"/>
      <c r="HG186" s="216"/>
      <c r="HH186" s="216"/>
      <c r="HI186" s="216"/>
      <c r="HJ186" s="216"/>
      <c r="HK186" s="216"/>
      <c r="HL186" s="216"/>
      <c r="HM186" s="216"/>
      <c r="HN186" s="216"/>
      <c r="HO186" s="216"/>
      <c r="HP186" s="216"/>
      <c r="HQ186" s="216"/>
      <c r="HR186" s="216"/>
      <c r="HS186" s="216"/>
      <c r="HT186" s="216"/>
      <c r="HU186" s="216"/>
      <c r="HV186" s="216"/>
      <c r="HW186" s="216"/>
      <c r="HX186" s="216"/>
      <c r="HY186" s="216"/>
      <c r="HZ186" s="216"/>
      <c r="IA186" s="216"/>
      <c r="IB186" s="216"/>
      <c r="IC186" s="216"/>
      <c r="ID186" s="216"/>
      <c r="IE186" s="216"/>
      <c r="IF186" s="216"/>
      <c r="IG186" s="216"/>
      <c r="IH186" s="216"/>
      <c r="II186" s="216"/>
    </row>
    <row r="187" spans="1:243" ht="13.35" customHeight="1">
      <c r="A187" s="212"/>
      <c r="B187" s="217" t="s">
        <v>91</v>
      </c>
      <c r="C187" s="10"/>
      <c r="D187" s="218"/>
      <c r="E187" s="219"/>
      <c r="F187" s="431">
        <f>Assumptions!H37</f>
        <v>10</v>
      </c>
      <c r="K187" s="402"/>
      <c r="L187" s="403"/>
      <c r="M187" s="403"/>
      <c r="N187" s="403"/>
      <c r="O187" s="357"/>
      <c r="P187" s="216"/>
      <c r="Q187" s="216"/>
      <c r="R187" s="216"/>
      <c r="S187" s="216"/>
      <c r="T187" s="216"/>
      <c r="U187" s="216"/>
      <c r="V187" s="216"/>
      <c r="W187" s="216"/>
      <c r="X187" s="216"/>
      <c r="Y187" s="216"/>
      <c r="Z187" s="216"/>
      <c r="AA187" s="216"/>
      <c r="AB187" s="216"/>
      <c r="AC187" s="216"/>
      <c r="AD187" s="216"/>
      <c r="AE187" s="216"/>
      <c r="AF187" s="216"/>
      <c r="AG187" s="216"/>
      <c r="AH187" s="216"/>
      <c r="AI187" s="216"/>
      <c r="AJ187" s="216"/>
      <c r="AK187" s="216"/>
      <c r="AL187" s="216"/>
      <c r="AM187" s="216"/>
      <c r="AN187" s="216"/>
      <c r="AO187" s="216"/>
      <c r="AP187" s="216"/>
      <c r="AQ187" s="216"/>
      <c r="AR187" s="216"/>
      <c r="AS187" s="216"/>
      <c r="AT187" s="216"/>
      <c r="AU187" s="216"/>
      <c r="AV187" s="216"/>
      <c r="AW187" s="216"/>
      <c r="AX187" s="216"/>
      <c r="AY187" s="216"/>
      <c r="AZ187" s="216"/>
      <c r="BA187" s="216"/>
      <c r="BB187" s="216"/>
      <c r="BC187" s="216"/>
      <c r="BD187" s="216"/>
      <c r="BE187" s="216"/>
      <c r="BF187" s="216"/>
      <c r="BG187" s="216"/>
      <c r="BH187" s="216"/>
      <c r="BI187" s="216"/>
      <c r="BJ187" s="216"/>
      <c r="BK187" s="216"/>
      <c r="BL187" s="216"/>
      <c r="BM187" s="216"/>
      <c r="BN187" s="216"/>
      <c r="BO187" s="216"/>
      <c r="BP187" s="216"/>
      <c r="BQ187" s="216"/>
      <c r="BR187" s="216"/>
      <c r="BS187" s="216"/>
      <c r="BT187" s="216"/>
      <c r="BU187" s="216"/>
      <c r="BV187" s="216"/>
      <c r="BW187" s="216"/>
      <c r="BX187" s="216"/>
      <c r="BY187" s="216"/>
      <c r="BZ187" s="216"/>
      <c r="CA187" s="216"/>
      <c r="CB187" s="216"/>
      <c r="CC187" s="216"/>
      <c r="CD187" s="216"/>
      <c r="CE187" s="216"/>
      <c r="CF187" s="216"/>
      <c r="CG187" s="216"/>
      <c r="CH187" s="216"/>
      <c r="CI187" s="216"/>
      <c r="CJ187" s="216"/>
      <c r="CK187" s="216"/>
      <c r="CL187" s="216"/>
      <c r="CM187" s="216"/>
      <c r="CN187" s="216"/>
      <c r="CO187" s="216"/>
      <c r="CP187" s="216"/>
      <c r="CQ187" s="216"/>
      <c r="CR187" s="216"/>
      <c r="CS187" s="216"/>
      <c r="CT187" s="216"/>
      <c r="CU187" s="216"/>
      <c r="CV187" s="216"/>
      <c r="CW187" s="216"/>
      <c r="CX187" s="216"/>
      <c r="CY187" s="216"/>
      <c r="CZ187" s="216"/>
      <c r="DA187" s="216"/>
      <c r="DB187" s="216"/>
      <c r="DC187" s="216"/>
      <c r="DD187" s="216"/>
      <c r="DE187" s="216"/>
      <c r="DF187" s="216"/>
      <c r="DG187" s="216"/>
      <c r="DH187" s="216"/>
      <c r="DI187" s="216"/>
      <c r="DJ187" s="216"/>
      <c r="DK187" s="216"/>
      <c r="DL187" s="216"/>
      <c r="DM187" s="216"/>
      <c r="DN187" s="216"/>
      <c r="DO187" s="216"/>
      <c r="DP187" s="216"/>
      <c r="DQ187" s="216"/>
      <c r="DR187" s="216"/>
      <c r="DS187" s="216"/>
      <c r="DT187" s="216"/>
      <c r="DU187" s="216"/>
      <c r="DV187" s="216"/>
      <c r="DW187" s="216"/>
      <c r="DX187" s="216"/>
      <c r="DY187" s="216"/>
      <c r="DZ187" s="216"/>
      <c r="EA187" s="216"/>
      <c r="EB187" s="216"/>
      <c r="EC187" s="216"/>
      <c r="ED187" s="216"/>
      <c r="EE187" s="216"/>
      <c r="EF187" s="216"/>
      <c r="EG187" s="216"/>
      <c r="EH187" s="216"/>
      <c r="EI187" s="216"/>
      <c r="EJ187" s="216"/>
      <c r="EK187" s="216"/>
      <c r="EL187" s="216"/>
      <c r="EM187" s="216"/>
      <c r="EN187" s="216"/>
      <c r="EO187" s="216"/>
      <c r="EP187" s="216"/>
      <c r="EQ187" s="216"/>
      <c r="ER187" s="216"/>
      <c r="ES187" s="216"/>
      <c r="ET187" s="216"/>
      <c r="EU187" s="216"/>
      <c r="EV187" s="216"/>
      <c r="EW187" s="216"/>
      <c r="EX187" s="216"/>
      <c r="EY187" s="216"/>
      <c r="EZ187" s="216"/>
      <c r="FA187" s="216"/>
      <c r="FB187" s="216"/>
      <c r="FC187" s="216"/>
      <c r="FD187" s="216"/>
      <c r="FE187" s="216"/>
      <c r="FF187" s="216"/>
      <c r="FG187" s="216"/>
      <c r="FH187" s="216"/>
      <c r="FI187" s="216"/>
      <c r="FJ187" s="216"/>
      <c r="FK187" s="216"/>
      <c r="FL187" s="216"/>
      <c r="FM187" s="216"/>
      <c r="FN187" s="216"/>
      <c r="FO187" s="216"/>
      <c r="FP187" s="216"/>
      <c r="FQ187" s="216"/>
      <c r="FR187" s="216"/>
      <c r="FS187" s="216"/>
      <c r="FT187" s="216"/>
      <c r="FU187" s="216"/>
      <c r="FV187" s="216"/>
      <c r="FW187" s="216"/>
      <c r="FX187" s="216"/>
      <c r="FY187" s="216"/>
      <c r="FZ187" s="216"/>
      <c r="GA187" s="216"/>
      <c r="GB187" s="216"/>
      <c r="GC187" s="216"/>
      <c r="GD187" s="216"/>
      <c r="GE187" s="216"/>
      <c r="GF187" s="216"/>
      <c r="GG187" s="216"/>
      <c r="GH187" s="216"/>
      <c r="GI187" s="216"/>
      <c r="GJ187" s="216"/>
      <c r="GK187" s="216"/>
      <c r="GL187" s="216"/>
      <c r="GM187" s="216"/>
      <c r="GN187" s="216"/>
      <c r="GO187" s="216"/>
      <c r="GP187" s="216"/>
      <c r="GQ187" s="216"/>
      <c r="GR187" s="216"/>
      <c r="GS187" s="216"/>
      <c r="GT187" s="216"/>
      <c r="GU187" s="216"/>
      <c r="GV187" s="216"/>
      <c r="GW187" s="216"/>
      <c r="GX187" s="216"/>
      <c r="GY187" s="216"/>
      <c r="GZ187" s="216"/>
      <c r="HA187" s="216"/>
      <c r="HB187" s="216"/>
      <c r="HC187" s="216"/>
      <c r="HD187" s="216"/>
      <c r="HE187" s="216"/>
      <c r="HF187" s="216"/>
      <c r="HG187" s="216"/>
      <c r="HH187" s="216"/>
      <c r="HI187" s="216"/>
      <c r="HJ187" s="216"/>
      <c r="HK187" s="216"/>
      <c r="HL187" s="216"/>
      <c r="HM187" s="216"/>
      <c r="HN187" s="216"/>
      <c r="HO187" s="216"/>
      <c r="HP187" s="216"/>
      <c r="HQ187" s="216"/>
      <c r="HR187" s="216"/>
      <c r="HS187" s="216"/>
      <c r="HT187" s="216"/>
      <c r="HU187" s="216"/>
      <c r="HV187" s="216"/>
      <c r="HW187" s="216"/>
      <c r="HX187" s="216"/>
      <c r="HY187" s="216"/>
      <c r="HZ187" s="216"/>
      <c r="IA187" s="216"/>
      <c r="IB187" s="216"/>
      <c r="IC187" s="216"/>
      <c r="ID187" s="216"/>
      <c r="IE187" s="216"/>
      <c r="IF187" s="216"/>
      <c r="IG187" s="216"/>
      <c r="IH187" s="216"/>
      <c r="II187" s="216"/>
    </row>
    <row r="188" spans="1:243" ht="12.75" customHeight="1">
      <c r="F188"/>
      <c r="K188" s="404"/>
      <c r="L188" s="357"/>
      <c r="M188" s="357"/>
      <c r="N188" s="357"/>
      <c r="O188" s="357"/>
    </row>
    <row r="189" spans="1:243">
      <c r="D189" t="s">
        <v>183</v>
      </c>
      <c r="F189"/>
      <c r="H189" s="25"/>
      <c r="I189" s="25"/>
      <c r="J189" s="25"/>
      <c r="K189" s="405">
        <f>J144/F186</f>
        <v>47.38</v>
      </c>
      <c r="L189" s="405">
        <f>IF((L184-$J$184)&lt;=$F$186,K189,0)</f>
        <v>47.38</v>
      </c>
      <c r="M189" s="405">
        <f t="shared" ref="M189:O189" si="89">IF((M184-$J$184)&lt;=$F$186,L189,0)</f>
        <v>47.38</v>
      </c>
      <c r="N189" s="405">
        <f t="shared" si="89"/>
        <v>47.38</v>
      </c>
      <c r="O189" s="405">
        <f t="shared" si="89"/>
        <v>47.38</v>
      </c>
      <c r="Q189" s="401"/>
    </row>
    <row r="190" spans="1:243">
      <c r="F190"/>
      <c r="K190" s="357"/>
      <c r="L190" s="357"/>
      <c r="M190" s="357"/>
      <c r="N190" s="357"/>
      <c r="O190" s="357"/>
    </row>
    <row r="191" spans="1:243">
      <c r="E191" s="400" t="s">
        <v>37</v>
      </c>
      <c r="F191" s="400"/>
      <c r="K191" s="357"/>
      <c r="L191" s="357"/>
      <c r="M191" s="357"/>
      <c r="N191" s="357"/>
      <c r="O191" s="357"/>
    </row>
    <row r="192" spans="1:243">
      <c r="D192" s="220">
        <f>K184</f>
        <v>2026</v>
      </c>
      <c r="E192" s="410">
        <f>Assumptions!J54</f>
        <v>55</v>
      </c>
      <c r="F192" s="409"/>
      <c r="H192" s="215"/>
      <c r="I192" s="215"/>
      <c r="J192" s="215"/>
      <c r="K192" s="405">
        <f>IF(K$184=$D192,($E192/$F$187)/2,MIN($E192/$F$187,$E192-SUM($J$192:J192)))</f>
        <v>2.75</v>
      </c>
      <c r="L192" s="405">
        <f>IF(L$184=$D192,($E192/$F$187)/2,MIN($E192/$F$187,$E192-SUM($J$192:K192)))</f>
        <v>5.5</v>
      </c>
      <c r="M192" s="405">
        <f>IF(M$184=$D192,($E192/$F$187)/2,MIN($E192/$F$187,$E192-SUM($J$192:L192)))</f>
        <v>5.5</v>
      </c>
      <c r="N192" s="405">
        <f>IF(N$184=$D192,($E192/$F$187)/2,MIN($E192/$F$187,$E192-SUM($J$192:M192)))</f>
        <v>5.5</v>
      </c>
      <c r="O192" s="405">
        <f>IF(O$184=$D192,($E192/$F$187)/2,MIN($E192/$F$187,$E192-SUM($J$192:N192)))</f>
        <v>5.5</v>
      </c>
    </row>
    <row r="193" spans="4:17">
      <c r="D193" s="220">
        <f>D192+1</f>
        <v>2027</v>
      </c>
      <c r="E193" s="411">
        <f>Assumptions!K54</f>
        <v>60</v>
      </c>
      <c r="F193" s="409"/>
      <c r="H193" s="215"/>
      <c r="I193" s="215"/>
      <c r="J193" s="215"/>
      <c r="K193" s="405"/>
      <c r="L193" s="405">
        <f>IF(L$184=$D193,($E193/$F$187)/2,MIN($E193/$F$187,$E193-SUM($J$193:K193)))</f>
        <v>3</v>
      </c>
      <c r="M193" s="405">
        <f>IF(M$184=$D193,($E193/$F$187)/2,MIN($E193/$F$187,$E193-SUM($J$193:L193)))</f>
        <v>6</v>
      </c>
      <c r="N193" s="405">
        <f>IF(N$184=$D193,($E193/$F$187)/2,MIN($E193/$F$187,$E193-SUM($J$193:M193)))</f>
        <v>6</v>
      </c>
      <c r="O193" s="405">
        <f>IF(O$184=$D193,($E193/$F$187)/2,MIN($E193/$F$187,$E193-SUM($J$193:N193)))</f>
        <v>6</v>
      </c>
    </row>
    <row r="194" spans="4:17">
      <c r="D194" s="220">
        <f>D193+1</f>
        <v>2028</v>
      </c>
      <c r="E194" s="411">
        <f>Assumptions!L54</f>
        <v>60</v>
      </c>
      <c r="F194" s="409"/>
      <c r="H194" s="130"/>
      <c r="I194" s="130"/>
      <c r="J194" s="130"/>
      <c r="K194" s="405"/>
      <c r="L194" s="405"/>
      <c r="M194" s="405">
        <f>IF(M$184=$D194,($E194/$F$187)/2,MIN($E194/$F$187,$E194-SUM($J$194:L194)))</f>
        <v>3</v>
      </c>
      <c r="N194" s="405">
        <f>IF(N$184=$D194,($E194/$F$187)/2,MIN($E194/$F$187,$E194-SUM($J$194:M194)))</f>
        <v>6</v>
      </c>
      <c r="O194" s="405">
        <f>IF(O$184=$D194,($E194/$F$187)/2,MIN($E194/$F$187,$E194-SUM($J$194:N194)))</f>
        <v>6</v>
      </c>
    </row>
    <row r="195" spans="4:17">
      <c r="D195" s="220">
        <f>D194+1</f>
        <v>2029</v>
      </c>
      <c r="E195" s="411">
        <f>Assumptions!M54</f>
        <v>75</v>
      </c>
      <c r="F195" s="409"/>
      <c r="H195" s="130"/>
      <c r="I195" s="130"/>
      <c r="J195" s="130"/>
      <c r="K195" s="406"/>
      <c r="L195" s="405"/>
      <c r="M195" s="405"/>
      <c r="N195" s="405">
        <f>IF(N$184=$D195,($E195/$F$187)/2,MIN($E195/$F$187,$E195-SUM($J$195:M195)))</f>
        <v>3.75</v>
      </c>
      <c r="O195" s="405">
        <f>IF(O$184=$D195,($E195/$F$187)/2,MIN($E195/$F$187,$E195-SUM($J$195:N195)))</f>
        <v>7.5</v>
      </c>
    </row>
    <row r="196" spans="4:17">
      <c r="D196" s="220">
        <f>D195+1</f>
        <v>2030</v>
      </c>
      <c r="E196" s="412">
        <f>Assumptions!N54</f>
        <v>75</v>
      </c>
      <c r="F196" s="409"/>
      <c r="H196" s="130"/>
      <c r="I196" s="130"/>
      <c r="J196" s="130"/>
      <c r="K196" s="406"/>
      <c r="L196" s="406"/>
      <c r="M196" s="405"/>
      <c r="N196" s="405"/>
      <c r="O196" s="405">
        <f>IF(O$184=$D196,($E196/$F$187)/2,MIN($E196/$F$187,$E196-SUM($J$196:N196)))</f>
        <v>3.75</v>
      </c>
    </row>
    <row r="197" spans="4:17" ht="3.6" customHeight="1">
      <c r="K197" s="357"/>
      <c r="L197" s="357"/>
      <c r="M197" s="357"/>
      <c r="N197" s="357"/>
      <c r="O197" s="357"/>
    </row>
    <row r="198" spans="4:17">
      <c r="D198" s="107" t="s">
        <v>182</v>
      </c>
      <c r="H198" s="327"/>
      <c r="I198" s="327"/>
      <c r="J198" s="327"/>
      <c r="K198" s="413">
        <f>SUM(K189:K196)</f>
        <v>50.13</v>
      </c>
      <c r="L198" s="413">
        <f t="shared" ref="L198:O198" si="90">SUM(L189:L196)</f>
        <v>55.88</v>
      </c>
      <c r="M198" s="413">
        <f t="shared" si="90"/>
        <v>61.88</v>
      </c>
      <c r="N198" s="413">
        <f t="shared" si="90"/>
        <v>68.63</v>
      </c>
      <c r="O198" s="413">
        <f t="shared" si="90"/>
        <v>76.13</v>
      </c>
    </row>
    <row r="199" spans="4:17">
      <c r="K199" s="357"/>
      <c r="L199" s="357"/>
      <c r="M199" s="357"/>
      <c r="N199" s="357"/>
      <c r="O199" s="357"/>
    </row>
    <row r="200" spans="4:17">
      <c r="D200" t="s">
        <v>184</v>
      </c>
      <c r="F200"/>
      <c r="H200" s="25"/>
      <c r="I200" s="25"/>
      <c r="J200" s="25"/>
      <c r="K200" s="405">
        <f>J145/F186</f>
        <v>27.142000000000003</v>
      </c>
      <c r="L200" s="405">
        <f>IF((L184-$J$184)&lt;=$F$186,K200,0)</f>
        <v>27.142000000000003</v>
      </c>
      <c r="M200" s="405">
        <f t="shared" ref="M200:O200" si="91">IF((M184-$J$184)&lt;=$F$186,L200,0)</f>
        <v>27.142000000000003</v>
      </c>
      <c r="N200" s="405">
        <f t="shared" si="91"/>
        <v>27.142000000000003</v>
      </c>
      <c r="O200" s="405">
        <f t="shared" si="91"/>
        <v>27.142000000000003</v>
      </c>
      <c r="Q200" s="401"/>
    </row>
    <row r="201" spans="4:17">
      <c r="F201"/>
      <c r="K201" s="357"/>
      <c r="L201" s="357"/>
      <c r="M201" s="357"/>
      <c r="N201" s="357"/>
      <c r="O201" s="357"/>
    </row>
    <row r="202" spans="4:17">
      <c r="E202" s="400" t="s">
        <v>179</v>
      </c>
      <c r="K202" s="357"/>
      <c r="L202" s="357"/>
      <c r="M202" s="357"/>
      <c r="N202" s="357"/>
      <c r="O202" s="357"/>
    </row>
    <row r="203" spans="4:17">
      <c r="D203" s="220">
        <f>K184</f>
        <v>2026</v>
      </c>
      <c r="E203" s="410">
        <f>Assumptions!J61</f>
        <v>40</v>
      </c>
      <c r="H203" s="215"/>
      <c r="I203" s="215"/>
      <c r="J203" s="215"/>
      <c r="K203" s="405">
        <f>IF(K$184=$D203,($E203/$F$187)/2,MIN($E203/$F$187,$E203-SUM($J$203:J203)))</f>
        <v>2</v>
      </c>
      <c r="L203" s="405">
        <f>IF(L$184=$D203,($E203/$F$187)/2,MIN($E203/$F$187,$E203-SUM($J$203:K203)))</f>
        <v>4</v>
      </c>
      <c r="M203" s="405">
        <f>IF(M$184=$D203,($E203/$F$187)/2,MIN($E203/$F$187,$E203-SUM($J$203:L203)))</f>
        <v>4</v>
      </c>
      <c r="N203" s="405">
        <f>IF(N$184=$D203,($E203/$F$187)/2,MIN($E203/$F$187,$E203-SUM($J$203:M203)))</f>
        <v>4</v>
      </c>
      <c r="O203" s="405">
        <f>IF(O$184=$D203,($E203/$F$187)/2,MIN($E203/$F$187,$E203-SUM($J$203:N203)))</f>
        <v>4</v>
      </c>
    </row>
    <row r="204" spans="4:17">
      <c r="D204" s="220">
        <f>D203+1</f>
        <v>2027</v>
      </c>
      <c r="E204" s="411">
        <f>Assumptions!K61</f>
        <v>55</v>
      </c>
      <c r="H204" s="215"/>
      <c r="I204" s="215"/>
      <c r="J204" s="215"/>
      <c r="K204" s="405"/>
      <c r="L204" s="405">
        <f>IF(L$184=$D204,($E204/$F$187)/2,MIN($E204/$F$187,$E204-SUM($J$204:K204)))</f>
        <v>2.75</v>
      </c>
      <c r="M204" s="405">
        <f>IF(M$184=$D204,($E204/$F$187)/2,MIN($E204/$F$187,$E204-SUM($J$204:L204)))</f>
        <v>5.5</v>
      </c>
      <c r="N204" s="405">
        <f>IF(N$184=$D204,($E204/$F$187)/2,MIN($E204/$F$187,$E204-SUM($J$204:M204)))</f>
        <v>5.5</v>
      </c>
      <c r="O204" s="405">
        <f>IF(O$184=$D204,($E204/$F$187)/2,MIN($E204/$F$187,$E204-SUM($J$204:N204)))</f>
        <v>5.5</v>
      </c>
    </row>
    <row r="205" spans="4:17">
      <c r="D205" s="220">
        <f>D204+1</f>
        <v>2028</v>
      </c>
      <c r="E205" s="411">
        <f>Assumptions!L61</f>
        <v>60</v>
      </c>
      <c r="H205" s="130"/>
      <c r="I205" s="130"/>
      <c r="J205" s="130"/>
      <c r="K205" s="405"/>
      <c r="L205" s="405"/>
      <c r="M205" s="405">
        <f>IF(M$184=$D205,($E205/$F$187)/2,MIN($E205/$F$187,$E205-SUM($J$205:L205)))</f>
        <v>3</v>
      </c>
      <c r="N205" s="405">
        <f>IF(N$184=$D205,($E205/$F$187)/2,MIN($E205/$F$187,$E205-SUM($J$205:M205)))</f>
        <v>6</v>
      </c>
      <c r="O205" s="405">
        <f>IF(O$184=$D205,($E205/$F$187)/2,MIN($E205/$F$187,$E205-SUM($J$205:N205)))</f>
        <v>6</v>
      </c>
    </row>
    <row r="206" spans="4:17">
      <c r="D206" s="220">
        <f>D205+1</f>
        <v>2029</v>
      </c>
      <c r="E206" s="411">
        <f>Assumptions!M61</f>
        <v>80</v>
      </c>
      <c r="H206" s="130"/>
      <c r="I206" s="130"/>
      <c r="J206" s="130"/>
      <c r="K206" s="406"/>
      <c r="L206" s="405"/>
      <c r="M206" s="405"/>
      <c r="N206" s="405">
        <f>IF(N$184=$D206,($E206/$F$187)/2,MIN($E206/$F$187,$E206-SUM($J$206:M206)))</f>
        <v>4</v>
      </c>
      <c r="O206" s="405">
        <f>IF(O$184=$D206,($E206/$F$187)/2,MIN($E206/$F$187,$E206-SUM($J$206:N206)))</f>
        <v>8</v>
      </c>
    </row>
    <row r="207" spans="4:17">
      <c r="D207" s="220">
        <f>D206+1</f>
        <v>2030</v>
      </c>
      <c r="E207" s="412">
        <f>Assumptions!N61</f>
        <v>85</v>
      </c>
      <c r="H207" s="130"/>
      <c r="I207" s="130"/>
      <c r="J207" s="130"/>
      <c r="K207" s="406"/>
      <c r="L207" s="406"/>
      <c r="M207" s="405"/>
      <c r="N207" s="405"/>
      <c r="O207" s="405">
        <f>IF(O$184=$D207,($E207/$F$187)/2,MIN($E207/$F$187,$E207-SUM($J$207:N207)))</f>
        <v>4.25</v>
      </c>
    </row>
    <row r="208" spans="4:17" ht="4.2" customHeight="1">
      <c r="K208" s="357"/>
      <c r="L208" s="357"/>
      <c r="M208" s="357"/>
      <c r="N208" s="357"/>
      <c r="O208" s="357"/>
    </row>
    <row r="209" spans="1:243">
      <c r="D209" s="107" t="s">
        <v>185</v>
      </c>
      <c r="H209" s="327"/>
      <c r="I209" s="327"/>
      <c r="J209" s="327"/>
      <c r="K209" s="413">
        <f>SUM(K200:K207)</f>
        <v>29.142000000000003</v>
      </c>
      <c r="L209" s="413">
        <f t="shared" ref="L209:O209" si="92">SUM(L200:L207)</f>
        <v>33.892000000000003</v>
      </c>
      <c r="M209" s="413">
        <f t="shared" si="92"/>
        <v>39.642000000000003</v>
      </c>
      <c r="N209" s="413">
        <f t="shared" si="92"/>
        <v>46.642000000000003</v>
      </c>
      <c r="O209" s="413">
        <f t="shared" si="92"/>
        <v>54.892000000000003</v>
      </c>
    </row>
    <row r="210" spans="1:243">
      <c r="H210" s="327"/>
      <c r="I210" s="327"/>
      <c r="J210" s="327"/>
      <c r="K210" s="357"/>
      <c r="L210" s="357"/>
      <c r="M210" s="357"/>
      <c r="N210" s="357"/>
      <c r="O210" s="357"/>
    </row>
    <row r="211" spans="1:243" ht="13.8" thickBot="1">
      <c r="D211" s="221" t="s">
        <v>31</v>
      </c>
      <c r="H211" s="475"/>
      <c r="I211" s="475"/>
      <c r="J211" s="475"/>
      <c r="K211" s="407">
        <f>K198+K209</f>
        <v>79.272000000000006</v>
      </c>
      <c r="L211" s="407">
        <f t="shared" ref="L211:O211" si="93">L198+L209</f>
        <v>89.772000000000006</v>
      </c>
      <c r="M211" s="407">
        <f t="shared" si="93"/>
        <v>101.52200000000001</v>
      </c>
      <c r="N211" s="407">
        <f t="shared" si="93"/>
        <v>115.27199999999999</v>
      </c>
      <c r="O211" s="407">
        <f t="shared" si="93"/>
        <v>131.02199999999999</v>
      </c>
    </row>
    <row r="212" spans="1:243" ht="13.8" thickTop="1">
      <c r="B212" s="10"/>
      <c r="C212" s="10"/>
      <c r="D212" s="10"/>
      <c r="E212" s="10"/>
      <c r="F212" s="112"/>
      <c r="G212" s="10"/>
      <c r="H212" s="222"/>
      <c r="I212" s="222"/>
      <c r="J212" s="222"/>
      <c r="K212" s="222"/>
      <c r="L212" s="222"/>
      <c r="M212" s="222"/>
      <c r="N212" s="222"/>
      <c r="O212" s="10"/>
    </row>
    <row r="213" spans="1:243">
      <c r="B213" s="327"/>
      <c r="C213" s="327"/>
      <c r="D213" s="327"/>
      <c r="E213" s="327"/>
      <c r="F213" s="408"/>
      <c r="G213" s="327"/>
      <c r="H213" s="129"/>
      <c r="I213" s="129"/>
      <c r="J213" s="129"/>
      <c r="K213" s="129"/>
      <c r="L213" s="129"/>
      <c r="M213" s="129"/>
      <c r="N213" s="129"/>
      <c r="O213" s="327"/>
    </row>
    <row r="214" spans="1:243" ht="12.75" customHeight="1">
      <c r="A214" s="86"/>
      <c r="B214" s="1"/>
      <c r="C214" s="3"/>
      <c r="D214" s="3"/>
      <c r="E214" s="3"/>
      <c r="F214" s="85"/>
      <c r="G214" s="3"/>
      <c r="H214" s="3"/>
      <c r="I214" s="3"/>
      <c r="J214" s="3"/>
      <c r="K214" s="3"/>
      <c r="L214" s="3"/>
      <c r="M214" s="3"/>
      <c r="N214" s="3"/>
      <c r="O214" s="113" t="str">
        <f>$O$1</f>
        <v>CURRENTLY RUNNING: BASE CASE SCENARIO</v>
      </c>
    </row>
    <row r="215" spans="1:243" ht="22.65" customHeight="1">
      <c r="B215" s="205" t="str">
        <f>B$2</f>
        <v>Dr Lal PathLabs Ltd</v>
      </c>
      <c r="C215" s="206"/>
      <c r="D215" s="206"/>
      <c r="E215" s="207"/>
      <c r="F215" s="207"/>
      <c r="G215" s="208"/>
      <c r="H215" s="208"/>
      <c r="I215" s="208"/>
      <c r="J215" s="208"/>
      <c r="K215" s="208"/>
      <c r="L215" s="208"/>
      <c r="M215" s="208"/>
      <c r="N215" s="208"/>
      <c r="O215" s="208"/>
    </row>
    <row r="216" spans="1:243" ht="17.399999999999999">
      <c r="B216" s="88" t="s">
        <v>181</v>
      </c>
      <c r="C216" s="88"/>
      <c r="D216" s="88"/>
      <c r="E216" s="209"/>
      <c r="F216" s="209"/>
      <c r="G216" s="88"/>
      <c r="H216" s="88"/>
      <c r="I216" s="88"/>
      <c r="J216" s="88"/>
      <c r="K216" s="88"/>
      <c r="L216" s="88"/>
      <c r="M216" s="88"/>
      <c r="N216" s="88"/>
      <c r="O216" s="88"/>
    </row>
    <row r="217" spans="1:243" ht="3" customHeight="1" thickBot="1">
      <c r="A217" s="87"/>
      <c r="B217" s="280"/>
      <c r="C217" s="281"/>
      <c r="D217" s="281"/>
      <c r="E217" s="281"/>
      <c r="F217" s="282"/>
      <c r="G217" s="281"/>
      <c r="H217" s="281"/>
      <c r="I217" s="281"/>
      <c r="J217" s="281"/>
      <c r="K217" s="281"/>
      <c r="L217" s="281"/>
      <c r="M217" s="281"/>
      <c r="N217" s="281"/>
      <c r="O217" s="281"/>
    </row>
    <row r="218" spans="1:243">
      <c r="B218" s="140" t="s">
        <v>120</v>
      </c>
      <c r="C218" s="168"/>
      <c r="E218" s="91"/>
      <c r="G218" s="168"/>
    </row>
    <row r="219" spans="1:243">
      <c r="E219" s="91"/>
      <c r="K219" s="93" t="s">
        <v>1</v>
      </c>
      <c r="L219" s="210"/>
      <c r="M219" s="210"/>
      <c r="N219" s="210"/>
      <c r="O219" s="210"/>
    </row>
    <row r="220" spans="1:243">
      <c r="C220" s="107"/>
      <c r="D220" s="107"/>
      <c r="E220" s="127"/>
      <c r="F220" s="211"/>
      <c r="G220" s="114"/>
      <c r="H220" s="272">
        <f t="shared" ref="H220:J220" si="94">H$7</f>
        <v>2023</v>
      </c>
      <c r="I220" s="272">
        <f t="shared" si="94"/>
        <v>2024</v>
      </c>
      <c r="J220" s="272">
        <f t="shared" si="94"/>
        <v>2025</v>
      </c>
      <c r="K220" s="275">
        <f>K$7</f>
        <v>2026</v>
      </c>
      <c r="L220" s="275">
        <f>L$7</f>
        <v>2027</v>
      </c>
      <c r="M220" s="275">
        <f>M$7</f>
        <v>2028</v>
      </c>
      <c r="N220" s="275">
        <f>N$7</f>
        <v>2029</v>
      </c>
      <c r="O220" s="275">
        <f>O$7</f>
        <v>2030</v>
      </c>
    </row>
    <row r="222" spans="1:243" ht="13.35" customHeight="1">
      <c r="A222" s="212"/>
      <c r="B222" s="213" t="s">
        <v>115</v>
      </c>
      <c r="C222" s="5"/>
      <c r="D222" s="5"/>
      <c r="E222" s="5"/>
      <c r="F222" s="430">
        <f>Assumptions!H34</f>
        <v>4.4000000000000004</v>
      </c>
      <c r="K222" s="214"/>
      <c r="L222" s="215"/>
      <c r="M222" s="215"/>
      <c r="N222" s="215"/>
      <c r="P222" s="216"/>
      <c r="Q222" s="216"/>
      <c r="R222" s="216"/>
      <c r="S222" s="216"/>
      <c r="T222" s="216"/>
      <c r="U222" s="216"/>
      <c r="V222" s="216"/>
      <c r="W222" s="216"/>
      <c r="X222" s="216"/>
      <c r="Y222" s="216"/>
      <c r="Z222" s="216"/>
      <c r="AA222" s="216"/>
      <c r="AB222" s="216"/>
      <c r="AC222" s="216"/>
      <c r="AD222" s="216"/>
      <c r="AE222" s="216"/>
      <c r="AF222" s="216"/>
      <c r="AG222" s="216"/>
      <c r="AH222" s="216"/>
      <c r="AI222" s="216"/>
      <c r="AJ222" s="216"/>
      <c r="AK222" s="216"/>
      <c r="AL222" s="216"/>
      <c r="AM222" s="216"/>
      <c r="AN222" s="216"/>
      <c r="AO222" s="216"/>
      <c r="AP222" s="216"/>
      <c r="AQ222" s="216"/>
      <c r="AR222" s="216"/>
      <c r="AS222" s="216"/>
      <c r="AT222" s="216"/>
      <c r="AU222" s="216"/>
      <c r="AV222" s="216"/>
      <c r="AW222" s="216"/>
      <c r="AX222" s="216"/>
      <c r="AY222" s="216"/>
      <c r="AZ222" s="216"/>
      <c r="BA222" s="216"/>
      <c r="BB222" s="216"/>
      <c r="BC222" s="216"/>
      <c r="BD222" s="216"/>
      <c r="BE222" s="216"/>
      <c r="BF222" s="216"/>
      <c r="BG222" s="216"/>
      <c r="BH222" s="216"/>
      <c r="BI222" s="216"/>
      <c r="BJ222" s="216"/>
      <c r="BK222" s="216"/>
      <c r="BL222" s="216"/>
      <c r="BM222" s="216"/>
      <c r="BN222" s="216"/>
      <c r="BO222" s="216"/>
      <c r="BP222" s="216"/>
      <c r="BQ222" s="216"/>
      <c r="BR222" s="216"/>
      <c r="BS222" s="216"/>
      <c r="BT222" s="216"/>
      <c r="BU222" s="216"/>
      <c r="BV222" s="216"/>
      <c r="BW222" s="216"/>
      <c r="BX222" s="216"/>
      <c r="BY222" s="216"/>
      <c r="BZ222" s="216"/>
      <c r="CA222" s="216"/>
      <c r="CB222" s="216"/>
      <c r="CC222" s="216"/>
      <c r="CD222" s="216"/>
      <c r="CE222" s="216"/>
      <c r="CF222" s="216"/>
      <c r="CG222" s="216"/>
      <c r="CH222" s="216"/>
      <c r="CI222" s="216"/>
      <c r="CJ222" s="216"/>
      <c r="CK222" s="216"/>
      <c r="CL222" s="216"/>
      <c r="CM222" s="216"/>
      <c r="CN222" s="216"/>
      <c r="CO222" s="216"/>
      <c r="CP222" s="216"/>
      <c r="CQ222" s="216"/>
      <c r="CR222" s="216"/>
      <c r="CS222" s="216"/>
      <c r="CT222" s="216"/>
      <c r="CU222" s="216"/>
      <c r="CV222" s="216"/>
      <c r="CW222" s="216"/>
      <c r="CX222" s="216"/>
      <c r="CY222" s="216"/>
      <c r="CZ222" s="216"/>
      <c r="DA222" s="216"/>
      <c r="DB222" s="216"/>
      <c r="DC222" s="216"/>
      <c r="DD222" s="216"/>
      <c r="DE222" s="216"/>
      <c r="DF222" s="216"/>
      <c r="DG222" s="216"/>
      <c r="DH222" s="216"/>
      <c r="DI222" s="216"/>
      <c r="DJ222" s="216"/>
      <c r="DK222" s="216"/>
      <c r="DL222" s="216"/>
      <c r="DM222" s="216"/>
      <c r="DN222" s="216"/>
      <c r="DO222" s="216"/>
      <c r="DP222" s="216"/>
      <c r="DQ222" s="216"/>
      <c r="DR222" s="216"/>
      <c r="DS222" s="216"/>
      <c r="DT222" s="216"/>
      <c r="DU222" s="216"/>
      <c r="DV222" s="216"/>
      <c r="DW222" s="216"/>
      <c r="DX222" s="216"/>
      <c r="DY222" s="216"/>
      <c r="DZ222" s="216"/>
      <c r="EA222" s="216"/>
      <c r="EB222" s="216"/>
      <c r="EC222" s="216"/>
      <c r="ED222" s="216"/>
      <c r="EE222" s="216"/>
      <c r="EF222" s="216"/>
      <c r="EG222" s="216"/>
      <c r="EH222" s="216"/>
      <c r="EI222" s="216"/>
      <c r="EJ222" s="216"/>
      <c r="EK222" s="216"/>
      <c r="EL222" s="216"/>
      <c r="EM222" s="216"/>
      <c r="EN222" s="216"/>
      <c r="EO222" s="216"/>
      <c r="EP222" s="216"/>
      <c r="EQ222" s="216"/>
      <c r="ER222" s="216"/>
      <c r="ES222" s="216"/>
      <c r="ET222" s="216"/>
      <c r="EU222" s="216"/>
      <c r="EV222" s="216"/>
      <c r="EW222" s="216"/>
      <c r="EX222" s="216"/>
      <c r="EY222" s="216"/>
      <c r="EZ222" s="216"/>
      <c r="FA222" s="216"/>
      <c r="FB222" s="216"/>
      <c r="FC222" s="216"/>
      <c r="FD222" s="216"/>
      <c r="FE222" s="216"/>
      <c r="FF222" s="216"/>
      <c r="FG222" s="216"/>
      <c r="FH222" s="216"/>
      <c r="FI222" s="216"/>
      <c r="FJ222" s="216"/>
      <c r="FK222" s="216"/>
      <c r="FL222" s="216"/>
      <c r="FM222" s="216"/>
      <c r="FN222" s="216"/>
      <c r="FO222" s="216"/>
      <c r="FP222" s="216"/>
      <c r="FQ222" s="216"/>
      <c r="FR222" s="216"/>
      <c r="FS222" s="216"/>
      <c r="FT222" s="216"/>
      <c r="FU222" s="216"/>
      <c r="FV222" s="216"/>
      <c r="FW222" s="216"/>
      <c r="FX222" s="216"/>
      <c r="FY222" s="216"/>
      <c r="FZ222" s="216"/>
      <c r="GA222" s="216"/>
      <c r="GB222" s="216"/>
      <c r="GC222" s="216"/>
      <c r="GD222" s="216"/>
      <c r="GE222" s="216"/>
      <c r="GF222" s="216"/>
      <c r="GG222" s="216"/>
      <c r="GH222" s="216"/>
      <c r="GI222" s="216"/>
      <c r="GJ222" s="216"/>
      <c r="GK222" s="216"/>
      <c r="GL222" s="216"/>
      <c r="GM222" s="216"/>
      <c r="GN222" s="216"/>
      <c r="GO222" s="216"/>
      <c r="GP222" s="216"/>
      <c r="GQ222" s="216"/>
      <c r="GR222" s="216"/>
      <c r="GS222" s="216"/>
      <c r="GT222" s="216"/>
      <c r="GU222" s="216"/>
      <c r="GV222" s="216"/>
      <c r="GW222" s="216"/>
      <c r="GX222" s="216"/>
      <c r="GY222" s="216"/>
      <c r="GZ222" s="216"/>
      <c r="HA222" s="216"/>
      <c r="HB222" s="216"/>
      <c r="HC222" s="216"/>
      <c r="HD222" s="216"/>
      <c r="HE222" s="216"/>
      <c r="HF222" s="216"/>
      <c r="HG222" s="216"/>
      <c r="HH222" s="216"/>
      <c r="HI222" s="216"/>
      <c r="HJ222" s="216"/>
      <c r="HK222" s="216"/>
      <c r="HL222" s="216"/>
      <c r="HM222" s="216"/>
      <c r="HN222" s="216"/>
      <c r="HO222" s="216"/>
      <c r="HP222" s="216"/>
      <c r="HQ222" s="216"/>
      <c r="HR222" s="216"/>
      <c r="HS222" s="216"/>
      <c r="HT222" s="216"/>
      <c r="HU222" s="216"/>
      <c r="HV222" s="216"/>
      <c r="HW222" s="216"/>
      <c r="HX222" s="216"/>
      <c r="HY222" s="216"/>
      <c r="HZ222" s="216"/>
      <c r="IA222" s="216"/>
      <c r="IB222" s="216"/>
      <c r="IC222" s="216"/>
      <c r="ID222" s="216"/>
      <c r="IE222" s="216"/>
      <c r="IF222" s="216"/>
      <c r="IG222" s="216"/>
      <c r="IH222" s="216"/>
      <c r="II222" s="216"/>
    </row>
    <row r="223" spans="1:243" ht="13.35" customHeight="1">
      <c r="A223" s="212"/>
      <c r="B223" s="217" t="s">
        <v>269</v>
      </c>
      <c r="C223" s="10"/>
      <c r="D223" s="218"/>
      <c r="E223" s="219"/>
      <c r="F223" s="431">
        <f>Assumptions!H35</f>
        <v>10</v>
      </c>
      <c r="K223" s="402"/>
      <c r="L223" s="403"/>
      <c r="M223" s="403"/>
      <c r="N223" s="403"/>
      <c r="O223" s="357"/>
      <c r="P223" s="216"/>
      <c r="Q223" s="216"/>
      <c r="R223" s="216"/>
      <c r="S223" s="216"/>
      <c r="T223" s="216"/>
      <c r="U223" s="216"/>
      <c r="V223" s="216"/>
      <c r="W223" s="216"/>
      <c r="X223" s="216"/>
      <c r="Y223" s="216"/>
      <c r="Z223" s="216"/>
      <c r="AA223" s="216"/>
      <c r="AB223" s="216"/>
      <c r="AC223" s="216"/>
      <c r="AD223" s="216"/>
      <c r="AE223" s="216"/>
      <c r="AF223" s="216"/>
      <c r="AG223" s="216"/>
      <c r="AH223" s="216"/>
      <c r="AI223" s="216"/>
      <c r="AJ223" s="216"/>
      <c r="AK223" s="216"/>
      <c r="AL223" s="216"/>
      <c r="AM223" s="216"/>
      <c r="AN223" s="216"/>
      <c r="AO223" s="216"/>
      <c r="AP223" s="216"/>
      <c r="AQ223" s="216"/>
      <c r="AR223" s="216"/>
      <c r="AS223" s="216"/>
      <c r="AT223" s="216"/>
      <c r="AU223" s="216"/>
      <c r="AV223" s="216"/>
      <c r="AW223" s="216"/>
      <c r="AX223" s="216"/>
      <c r="AY223" s="216"/>
      <c r="AZ223" s="216"/>
      <c r="BA223" s="216"/>
      <c r="BB223" s="216"/>
      <c r="BC223" s="216"/>
      <c r="BD223" s="216"/>
      <c r="BE223" s="216"/>
      <c r="BF223" s="216"/>
      <c r="BG223" s="216"/>
      <c r="BH223" s="216"/>
      <c r="BI223" s="216"/>
      <c r="BJ223" s="216"/>
      <c r="BK223" s="216"/>
      <c r="BL223" s="216"/>
      <c r="BM223" s="216"/>
      <c r="BN223" s="216"/>
      <c r="BO223" s="216"/>
      <c r="BP223" s="216"/>
      <c r="BQ223" s="216"/>
      <c r="BR223" s="216"/>
      <c r="BS223" s="216"/>
      <c r="BT223" s="216"/>
      <c r="BU223" s="216"/>
      <c r="BV223" s="216"/>
      <c r="BW223" s="216"/>
      <c r="BX223" s="216"/>
      <c r="BY223" s="216"/>
      <c r="BZ223" s="216"/>
      <c r="CA223" s="216"/>
      <c r="CB223" s="216"/>
      <c r="CC223" s="216"/>
      <c r="CD223" s="216"/>
      <c r="CE223" s="216"/>
      <c r="CF223" s="216"/>
      <c r="CG223" s="216"/>
      <c r="CH223" s="216"/>
      <c r="CI223" s="216"/>
      <c r="CJ223" s="216"/>
      <c r="CK223" s="216"/>
      <c r="CL223" s="216"/>
      <c r="CM223" s="216"/>
      <c r="CN223" s="216"/>
      <c r="CO223" s="216"/>
      <c r="CP223" s="216"/>
      <c r="CQ223" s="216"/>
      <c r="CR223" s="216"/>
      <c r="CS223" s="216"/>
      <c r="CT223" s="216"/>
      <c r="CU223" s="216"/>
      <c r="CV223" s="216"/>
      <c r="CW223" s="216"/>
      <c r="CX223" s="216"/>
      <c r="CY223" s="216"/>
      <c r="CZ223" s="216"/>
      <c r="DA223" s="216"/>
      <c r="DB223" s="216"/>
      <c r="DC223" s="216"/>
      <c r="DD223" s="216"/>
      <c r="DE223" s="216"/>
      <c r="DF223" s="216"/>
      <c r="DG223" s="216"/>
      <c r="DH223" s="216"/>
      <c r="DI223" s="216"/>
      <c r="DJ223" s="216"/>
      <c r="DK223" s="216"/>
      <c r="DL223" s="216"/>
      <c r="DM223" s="216"/>
      <c r="DN223" s="216"/>
      <c r="DO223" s="216"/>
      <c r="DP223" s="216"/>
      <c r="DQ223" s="216"/>
      <c r="DR223" s="216"/>
      <c r="DS223" s="216"/>
      <c r="DT223" s="216"/>
      <c r="DU223" s="216"/>
      <c r="DV223" s="216"/>
      <c r="DW223" s="216"/>
      <c r="DX223" s="216"/>
      <c r="DY223" s="216"/>
      <c r="DZ223" s="216"/>
      <c r="EA223" s="216"/>
      <c r="EB223" s="216"/>
      <c r="EC223" s="216"/>
      <c r="ED223" s="216"/>
      <c r="EE223" s="216"/>
      <c r="EF223" s="216"/>
      <c r="EG223" s="216"/>
      <c r="EH223" s="216"/>
      <c r="EI223" s="216"/>
      <c r="EJ223" s="216"/>
      <c r="EK223" s="216"/>
      <c r="EL223" s="216"/>
      <c r="EM223" s="216"/>
      <c r="EN223" s="216"/>
      <c r="EO223" s="216"/>
      <c r="EP223" s="216"/>
      <c r="EQ223" s="216"/>
      <c r="ER223" s="216"/>
      <c r="ES223" s="216"/>
      <c r="ET223" s="216"/>
      <c r="EU223" s="216"/>
      <c r="EV223" s="216"/>
      <c r="EW223" s="216"/>
      <c r="EX223" s="216"/>
      <c r="EY223" s="216"/>
      <c r="EZ223" s="216"/>
      <c r="FA223" s="216"/>
      <c r="FB223" s="216"/>
      <c r="FC223" s="216"/>
      <c r="FD223" s="216"/>
      <c r="FE223" s="216"/>
      <c r="FF223" s="216"/>
      <c r="FG223" s="216"/>
      <c r="FH223" s="216"/>
      <c r="FI223" s="216"/>
      <c r="FJ223" s="216"/>
      <c r="FK223" s="216"/>
      <c r="FL223" s="216"/>
      <c r="FM223" s="216"/>
      <c r="FN223" s="216"/>
      <c r="FO223" s="216"/>
      <c r="FP223" s="216"/>
      <c r="FQ223" s="216"/>
      <c r="FR223" s="216"/>
      <c r="FS223" s="216"/>
      <c r="FT223" s="216"/>
      <c r="FU223" s="216"/>
      <c r="FV223" s="216"/>
      <c r="FW223" s="216"/>
      <c r="FX223" s="216"/>
      <c r="FY223" s="216"/>
      <c r="FZ223" s="216"/>
      <c r="GA223" s="216"/>
      <c r="GB223" s="216"/>
      <c r="GC223" s="216"/>
      <c r="GD223" s="216"/>
      <c r="GE223" s="216"/>
      <c r="GF223" s="216"/>
      <c r="GG223" s="216"/>
      <c r="GH223" s="216"/>
      <c r="GI223" s="216"/>
      <c r="GJ223" s="216"/>
      <c r="GK223" s="216"/>
      <c r="GL223" s="216"/>
      <c r="GM223" s="216"/>
      <c r="GN223" s="216"/>
      <c r="GO223" s="216"/>
      <c r="GP223" s="216"/>
      <c r="GQ223" s="216"/>
      <c r="GR223" s="216"/>
      <c r="GS223" s="216"/>
      <c r="GT223" s="216"/>
      <c r="GU223" s="216"/>
      <c r="GV223" s="216"/>
      <c r="GW223" s="216"/>
      <c r="GX223" s="216"/>
      <c r="GY223" s="216"/>
      <c r="GZ223" s="216"/>
      <c r="HA223" s="216"/>
      <c r="HB223" s="216"/>
      <c r="HC223" s="216"/>
      <c r="HD223" s="216"/>
      <c r="HE223" s="216"/>
      <c r="HF223" s="216"/>
      <c r="HG223" s="216"/>
      <c r="HH223" s="216"/>
      <c r="HI223" s="216"/>
      <c r="HJ223" s="216"/>
      <c r="HK223" s="216"/>
      <c r="HL223" s="216"/>
      <c r="HM223" s="216"/>
      <c r="HN223" s="216"/>
      <c r="HO223" s="216"/>
      <c r="HP223" s="216"/>
      <c r="HQ223" s="216"/>
      <c r="HR223" s="216"/>
      <c r="HS223" s="216"/>
      <c r="HT223" s="216"/>
      <c r="HU223" s="216"/>
      <c r="HV223" s="216"/>
      <c r="HW223" s="216"/>
      <c r="HX223" s="216"/>
      <c r="HY223" s="216"/>
      <c r="HZ223" s="216"/>
      <c r="IA223" s="216"/>
      <c r="IB223" s="216"/>
      <c r="IC223" s="216"/>
      <c r="ID223" s="216"/>
      <c r="IE223" s="216"/>
      <c r="IF223" s="216"/>
      <c r="IG223" s="216"/>
      <c r="IH223" s="216"/>
      <c r="II223" s="216"/>
    </row>
    <row r="224" spans="1:243" ht="12.75" customHeight="1">
      <c r="F224"/>
      <c r="K224" s="404"/>
      <c r="L224" s="357"/>
      <c r="M224" s="357"/>
      <c r="N224" s="357"/>
      <c r="O224" s="357"/>
    </row>
    <row r="225" spans="1:17">
      <c r="D225" t="s">
        <v>188</v>
      </c>
      <c r="F225"/>
      <c r="H225" s="25"/>
      <c r="I225" s="25"/>
      <c r="J225" s="25"/>
      <c r="K225" s="405">
        <f>J147/F222</f>
        <v>57.06136363636363</v>
      </c>
      <c r="L225" s="405">
        <f>IF((L220-$J$220)&lt;=$F$222,K225,MAX($J$147-SUM($K$225:K225),0))</f>
        <v>57.06136363636363</v>
      </c>
      <c r="M225" s="405">
        <f>IF((M220-$J$220)&lt;=$F$222,L225,MAX($J$147-SUM($K$225:L225),0))</f>
        <v>57.06136363636363</v>
      </c>
      <c r="N225" s="405">
        <f>IF((N220-$J$220)&lt;=$F$222,M225,MAX($J$147-SUM($K$225:M225),0))</f>
        <v>57.06136363636363</v>
      </c>
      <c r="O225" s="405">
        <f>IF((O220-$J$220)&lt;=$F$222,N225,MAX($J$147-SUM($K$225:N225),0))</f>
        <v>22.824545454545472</v>
      </c>
      <c r="Q225" s="401"/>
    </row>
    <row r="226" spans="1:17">
      <c r="F226"/>
      <c r="K226" s="357"/>
      <c r="L226" s="357"/>
      <c r="M226" s="357"/>
      <c r="N226" s="357"/>
      <c r="O226" s="357"/>
    </row>
    <row r="227" spans="1:17">
      <c r="E227" s="400" t="s">
        <v>187</v>
      </c>
      <c r="F227" s="400"/>
      <c r="K227" s="357"/>
      <c r="L227" s="357"/>
      <c r="M227" s="357"/>
      <c r="N227" s="357"/>
      <c r="O227" s="357"/>
    </row>
    <row r="228" spans="1:17">
      <c r="D228" s="220">
        <f>K220</f>
        <v>2026</v>
      </c>
      <c r="E228" s="410">
        <f>Assumptions!J55</f>
        <v>12.5</v>
      </c>
      <c r="F228" s="409"/>
      <c r="H228" s="215"/>
      <c r="I228" s="215"/>
      <c r="J228" s="215"/>
      <c r="K228" s="405">
        <f>IF(K$220=$D228,($E228/$F$223)/2,MIN($E228/$F$223,$E228-SUM($J$228:J228)))</f>
        <v>0.625</v>
      </c>
      <c r="L228" s="405">
        <f>IF(L$220=$D228,($E228/$F$223)/2,MIN($E228/$F$223,$E228-SUM($J$228:K228)))</f>
        <v>1.25</v>
      </c>
      <c r="M228" s="405">
        <f>IF(M$220=$D228,($E228/$F$223)/2,MIN($E228/$F$223,$E228-SUM($J$228:L228)))</f>
        <v>1.25</v>
      </c>
      <c r="N228" s="405">
        <f>IF(N$220=$D228,($E228/$F$223)/2,MIN($E228/$F$223,$E228-SUM($J$228:M228)))</f>
        <v>1.25</v>
      </c>
      <c r="O228" s="405">
        <f>IF(O$220=$D228,($E228/$F$223)/2,MIN($E228/$F$223,$E228-SUM($J$228:N228)))</f>
        <v>1.25</v>
      </c>
    </row>
    <row r="229" spans="1:17">
      <c r="D229" s="220">
        <f>D228+1</f>
        <v>2027</v>
      </c>
      <c r="E229" s="411">
        <f>Assumptions!K55</f>
        <v>9</v>
      </c>
      <c r="F229" s="409"/>
      <c r="H229" s="215"/>
      <c r="I229" s="215"/>
      <c r="J229" s="215"/>
      <c r="K229" s="405"/>
      <c r="L229" s="405">
        <f>IF(L$220=$D229,($E229/$F$223)/2,MIN($E229/$F$223,$E229-SUM($J$229:K229)))</f>
        <v>0.45</v>
      </c>
      <c r="M229" s="405">
        <f>IF(M$220=$D229,($E229/$F$223)/2,MIN($E229/$F$223,$E229-SUM($J$229:L229)))</f>
        <v>0.9</v>
      </c>
      <c r="N229" s="405">
        <f>IF(N$220=$D229,($E229/$F$223)/2,MIN($E229/$F$223,$E229-SUM($J$229:M229)))</f>
        <v>0.9</v>
      </c>
      <c r="O229" s="405">
        <f>IF(O$220=$D229,($E229/$F$223)/2,MIN($E229/$F$223,$E229-SUM($J$229:N229)))</f>
        <v>0.9</v>
      </c>
    </row>
    <row r="230" spans="1:17">
      <c r="D230" s="220">
        <f>D229+1</f>
        <v>2028</v>
      </c>
      <c r="E230" s="411">
        <f>Assumptions!L55</f>
        <v>5</v>
      </c>
      <c r="F230" s="409"/>
      <c r="H230" s="130"/>
      <c r="I230" s="130"/>
      <c r="J230" s="130"/>
      <c r="K230" s="405"/>
      <c r="L230" s="405"/>
      <c r="M230" s="405">
        <f>IF(M$220=$D230,($E230/$F$223)/2,MIN($E230/$F$223,$E230-SUM($J$230:L230)))</f>
        <v>0.25</v>
      </c>
      <c r="N230" s="405">
        <f>IF(N$220=$D230,($E230/$F$223)/2,MIN($E230/$F$223,$E230-SUM($J$230:M230)))</f>
        <v>0.5</v>
      </c>
      <c r="O230" s="405">
        <f>IF(O$220=$D230,($E230/$F$223)/2,MIN($E230/$F$223,$E230-SUM($J$230:N230)))</f>
        <v>0.5</v>
      </c>
    </row>
    <row r="231" spans="1:17">
      <c r="D231" s="220">
        <f>D230+1</f>
        <v>2029</v>
      </c>
      <c r="E231" s="411">
        <f>Assumptions!M55</f>
        <v>35</v>
      </c>
      <c r="F231" s="409"/>
      <c r="H231" s="130"/>
      <c r="I231" s="130"/>
      <c r="J231" s="130"/>
      <c r="K231" s="406"/>
      <c r="L231" s="405"/>
      <c r="M231" s="405"/>
      <c r="N231" s="405">
        <f>IF(N$220=$D231,($E231/$F$223)/2,MIN($E231/$F$223,$E231-SUM($J$231:M231)))</f>
        <v>1.75</v>
      </c>
      <c r="O231" s="405">
        <f>IF(O$220=$D231,($E231/$F$223)/2,MIN($E231/$F$223,$E231-SUM($J$231:N231)))</f>
        <v>3.5</v>
      </c>
    </row>
    <row r="232" spans="1:17">
      <c r="D232" s="220">
        <f>D231+1</f>
        <v>2030</v>
      </c>
      <c r="E232" s="412">
        <f>Assumptions!N55</f>
        <v>12</v>
      </c>
      <c r="F232" s="409"/>
      <c r="H232" s="130"/>
      <c r="I232" s="130"/>
      <c r="J232" s="130"/>
      <c r="K232" s="406"/>
      <c r="L232" s="406"/>
      <c r="M232" s="405"/>
      <c r="N232" s="405"/>
      <c r="O232" s="405">
        <f>IF(O$220=$D232,($E232/$F$223)/2,MIN($E232/$F$223,$E232-SUM($J$232:N232)))</f>
        <v>0.6</v>
      </c>
    </row>
    <row r="233" spans="1:17" ht="4.8" customHeight="1">
      <c r="K233" s="357"/>
      <c r="L233" s="357"/>
      <c r="M233" s="357"/>
      <c r="N233" s="357"/>
      <c r="O233" s="357"/>
    </row>
    <row r="234" spans="1:17" ht="13.8" thickBot="1">
      <c r="D234" s="221" t="s">
        <v>190</v>
      </c>
      <c r="H234" s="475"/>
      <c r="I234" s="475"/>
      <c r="J234" s="475"/>
      <c r="K234" s="407">
        <f>SUM(K225:K232)</f>
        <v>57.68636363636363</v>
      </c>
      <c r="L234" s="407">
        <f t="shared" ref="L234:O234" si="95">SUM(L225:L232)</f>
        <v>58.761363636363633</v>
      </c>
      <c r="M234" s="407">
        <f t="shared" si="95"/>
        <v>59.461363636363629</v>
      </c>
      <c r="N234" s="407">
        <f t="shared" si="95"/>
        <v>61.461363636363629</v>
      </c>
      <c r="O234" s="407">
        <f t="shared" si="95"/>
        <v>29.574545454545472</v>
      </c>
    </row>
    <row r="235" spans="1:17" ht="13.8" thickTop="1">
      <c r="B235" s="10"/>
      <c r="C235" s="10"/>
      <c r="D235" s="10"/>
      <c r="E235" s="10"/>
      <c r="F235" s="112"/>
      <c r="G235" s="10"/>
      <c r="H235" s="222"/>
      <c r="I235" s="222"/>
      <c r="J235" s="222"/>
      <c r="K235" s="222"/>
      <c r="L235" s="222"/>
      <c r="M235" s="222"/>
      <c r="N235" s="222"/>
      <c r="O235" s="10"/>
    </row>
    <row r="236" spans="1:17">
      <c r="F236"/>
    </row>
    <row r="237" spans="1:17" ht="12.75" customHeight="1">
      <c r="A237" s="86"/>
      <c r="B237" s="1"/>
      <c r="C237" s="3"/>
      <c r="D237" s="3"/>
      <c r="E237" s="3"/>
      <c r="F237" s="85"/>
      <c r="G237" s="3"/>
      <c r="H237" s="3"/>
      <c r="I237" s="3"/>
      <c r="J237" s="3"/>
      <c r="K237" s="3"/>
      <c r="L237" s="3"/>
      <c r="M237" s="3"/>
      <c r="N237" s="3"/>
      <c r="O237" s="113" t="str">
        <f>$O$1</f>
        <v>CURRENTLY RUNNING: BASE CASE SCENARIO</v>
      </c>
    </row>
    <row r="238" spans="1:17" ht="22.65" customHeight="1">
      <c r="B238" s="205" t="str">
        <f>B$2</f>
        <v>Dr Lal PathLabs Ltd</v>
      </c>
      <c r="C238" s="206"/>
      <c r="D238" s="206"/>
      <c r="E238" s="207"/>
      <c r="F238" s="207"/>
      <c r="G238" s="208"/>
      <c r="H238" s="208"/>
      <c r="I238" s="208"/>
      <c r="J238" s="208"/>
      <c r="K238" s="208"/>
      <c r="L238" s="208"/>
      <c r="M238" s="208"/>
      <c r="N238" s="208"/>
      <c r="O238" s="208"/>
    </row>
    <row r="239" spans="1:17" ht="17.399999999999999">
      <c r="B239" s="88" t="s">
        <v>191</v>
      </c>
      <c r="C239" s="88"/>
      <c r="D239" s="88"/>
      <c r="E239" s="209"/>
      <c r="F239" s="209"/>
      <c r="G239" s="88"/>
      <c r="H239" s="88"/>
      <c r="I239" s="88"/>
      <c r="J239" s="88"/>
      <c r="K239" s="88"/>
      <c r="L239" s="88"/>
      <c r="M239" s="88"/>
      <c r="N239" s="88"/>
      <c r="O239" s="88"/>
    </row>
    <row r="240" spans="1:17" ht="3" customHeight="1" thickBot="1">
      <c r="A240" s="87"/>
      <c r="B240" s="280"/>
      <c r="C240" s="281"/>
      <c r="D240" s="281"/>
      <c r="E240" s="281"/>
      <c r="F240" s="282"/>
      <c r="G240" s="281"/>
      <c r="H240" s="281"/>
      <c r="I240" s="281"/>
      <c r="J240" s="281"/>
      <c r="K240" s="281"/>
      <c r="L240" s="281"/>
      <c r="M240" s="281"/>
      <c r="N240" s="281"/>
      <c r="O240" s="281"/>
    </row>
    <row r="241" spans="2:18">
      <c r="B241" s="140" t="s">
        <v>120</v>
      </c>
      <c r="C241" s="168"/>
      <c r="E241" s="91"/>
      <c r="G241" s="168"/>
    </row>
    <row r="242" spans="2:18">
      <c r="E242" s="91"/>
      <c r="K242" s="93" t="s">
        <v>1</v>
      </c>
      <c r="L242" s="210"/>
      <c r="M242" s="210"/>
      <c r="N242" s="210"/>
      <c r="O242" s="210"/>
      <c r="R242" s="426"/>
    </row>
    <row r="243" spans="2:18">
      <c r="C243" s="107"/>
      <c r="D243" s="107"/>
      <c r="E243" s="127"/>
      <c r="F243" s="211"/>
      <c r="G243" s="114"/>
      <c r="H243" s="272">
        <f t="shared" ref="H243:J243" si="96">H$7</f>
        <v>2023</v>
      </c>
      <c r="I243" s="272">
        <f t="shared" si="96"/>
        <v>2024</v>
      </c>
      <c r="J243" s="272">
        <f t="shared" si="96"/>
        <v>2025</v>
      </c>
      <c r="K243" s="275">
        <f>K$7</f>
        <v>2026</v>
      </c>
      <c r="L243" s="275">
        <f>L$7</f>
        <v>2027</v>
      </c>
      <c r="M243" s="275">
        <f>M$7</f>
        <v>2028</v>
      </c>
      <c r="N243" s="275">
        <f>N$7</f>
        <v>2029</v>
      </c>
      <c r="O243" s="275">
        <f>O$7</f>
        <v>2030</v>
      </c>
    </row>
    <row r="244" spans="2:18">
      <c r="C244" s="107"/>
      <c r="D244" s="107"/>
      <c r="E244" s="127"/>
      <c r="F244" s="211"/>
      <c r="G244" s="114"/>
      <c r="H244" s="272"/>
      <c r="I244" s="272"/>
      <c r="J244" s="272"/>
      <c r="K244" s="423"/>
      <c r="L244" s="423"/>
      <c r="M244" s="423"/>
      <c r="N244" s="423"/>
      <c r="O244" s="423"/>
    </row>
    <row r="245" spans="2:18">
      <c r="B245" s="107"/>
      <c r="C245" s="24" t="s">
        <v>195</v>
      </c>
      <c r="D245" s="5"/>
      <c r="E245" s="427">
        <f>Assumptions!N24</f>
        <v>20</v>
      </c>
      <c r="F245" s="211"/>
      <c r="G245" s="114"/>
      <c r="H245" s="272"/>
      <c r="I245" s="272"/>
      <c r="J245" s="272"/>
      <c r="K245" s="423"/>
      <c r="L245" s="423"/>
      <c r="M245" s="423"/>
      <c r="N245" s="423"/>
      <c r="O245" s="423"/>
    </row>
    <row r="246" spans="2:18">
      <c r="C246" s="428" t="s">
        <v>196</v>
      </c>
      <c r="D246" s="10"/>
      <c r="E246" s="429">
        <f>Assumptions!N25</f>
        <v>7.4999999999999997E-2</v>
      </c>
      <c r="G246" s="114"/>
      <c r="H246" s="272"/>
      <c r="I246" s="272"/>
      <c r="J246" s="272"/>
      <c r="K246" s="423"/>
      <c r="L246" s="423"/>
      <c r="M246" s="423"/>
      <c r="N246" s="423"/>
      <c r="O246" s="423"/>
    </row>
    <row r="247" spans="2:18">
      <c r="G247" s="114"/>
      <c r="H247" s="272"/>
      <c r="I247" s="272"/>
      <c r="J247" s="272"/>
      <c r="K247" s="423"/>
      <c r="L247" s="423"/>
      <c r="M247" s="423"/>
      <c r="N247" s="423"/>
      <c r="O247" s="423"/>
    </row>
    <row r="248" spans="2:18">
      <c r="D248" s="365" t="s">
        <v>197</v>
      </c>
      <c r="F248" s="424"/>
      <c r="K248" s="425">
        <f>Assumptions!N23</f>
        <v>53</v>
      </c>
      <c r="L248" s="156">
        <f>K248+(K251/$E$245)</f>
        <v>55</v>
      </c>
      <c r="M248" s="156">
        <f>L248+(L251/$E$245)</f>
        <v>57.75</v>
      </c>
      <c r="N248" s="156">
        <f>M248+(M251/$E$245)</f>
        <v>60.75</v>
      </c>
      <c r="O248" s="156">
        <f>N248+(N251/$E$245)</f>
        <v>64.75</v>
      </c>
    </row>
    <row r="250" spans="2:18">
      <c r="D250" t="s">
        <v>194</v>
      </c>
      <c r="F250"/>
      <c r="K250" s="156">
        <f>J253</f>
        <v>102.65</v>
      </c>
      <c r="L250" s="156">
        <f>K253</f>
        <v>108.65</v>
      </c>
      <c r="M250" s="156">
        <f t="shared" ref="M250:O250" si="97">L253</f>
        <v>130.65</v>
      </c>
      <c r="N250" s="156">
        <f t="shared" si="97"/>
        <v>159.02500000000001</v>
      </c>
      <c r="O250" s="156">
        <f t="shared" si="97"/>
        <v>208.9</v>
      </c>
    </row>
    <row r="251" spans="2:18">
      <c r="D251" t="s">
        <v>192</v>
      </c>
      <c r="F251"/>
      <c r="K251" s="156">
        <f>E203</f>
        <v>40</v>
      </c>
      <c r="L251" s="156">
        <f>E204</f>
        <v>55</v>
      </c>
      <c r="M251" s="156">
        <f>E205</f>
        <v>60</v>
      </c>
      <c r="N251" s="156">
        <f>E206</f>
        <v>80</v>
      </c>
      <c r="O251" s="156">
        <f>E207</f>
        <v>85</v>
      </c>
    </row>
    <row r="252" spans="2:18">
      <c r="D252" t="s">
        <v>193</v>
      </c>
      <c r="F252"/>
      <c r="H252" s="327"/>
      <c r="I252" s="327"/>
      <c r="J252" s="10"/>
      <c r="K252" s="432">
        <f>Assumptions!N26</f>
        <v>34</v>
      </c>
      <c r="L252" s="353">
        <f>L248-L255</f>
        <v>33</v>
      </c>
      <c r="M252" s="353">
        <f t="shared" ref="M252:O252" si="98">M248-M255</f>
        <v>31.625</v>
      </c>
      <c r="N252" s="353">
        <f t="shared" si="98"/>
        <v>30.125</v>
      </c>
      <c r="O252" s="353">
        <f t="shared" si="98"/>
        <v>28.125</v>
      </c>
    </row>
    <row r="253" spans="2:18">
      <c r="D253" t="s">
        <v>46</v>
      </c>
      <c r="F253"/>
      <c r="H253" s="327"/>
      <c r="I253" s="327"/>
      <c r="J253" s="156">
        <f>J165</f>
        <v>102.65</v>
      </c>
      <c r="K253" s="156">
        <f>K250+K251-K252</f>
        <v>108.65</v>
      </c>
      <c r="L253" s="156">
        <f t="shared" ref="L253:O253" si="99">L250+L251-L252</f>
        <v>130.65</v>
      </c>
      <c r="M253" s="156">
        <f t="shared" si="99"/>
        <v>159.02500000000001</v>
      </c>
      <c r="N253" s="156">
        <f t="shared" si="99"/>
        <v>208.9</v>
      </c>
      <c r="O253" s="156">
        <f t="shared" si="99"/>
        <v>265.77499999999998</v>
      </c>
    </row>
    <row r="254" spans="2:18" ht="6" customHeight="1">
      <c r="F254"/>
    </row>
    <row r="255" spans="2:18" ht="13.8" thickBot="1">
      <c r="D255" s="107" t="s">
        <v>47</v>
      </c>
      <c r="F255"/>
      <c r="H255" s="434"/>
      <c r="I255" s="434"/>
      <c r="J255" s="434"/>
      <c r="K255" s="433">
        <f>K248-K252</f>
        <v>19</v>
      </c>
      <c r="L255" s="433">
        <f>K255+(K251*$E$246)</f>
        <v>22</v>
      </c>
      <c r="M255" s="433">
        <f>L255+(L251*$E$246)</f>
        <v>26.125</v>
      </c>
      <c r="N255" s="433">
        <f>M255+(M251*$E$246)</f>
        <v>30.625</v>
      </c>
      <c r="O255" s="433">
        <f>N255+(N251*$E$246)</f>
        <v>36.625</v>
      </c>
    </row>
    <row r="256" spans="2:18" ht="13.8" thickTop="1"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r="257" spans="1:16">
      <c r="F257"/>
    </row>
    <row r="258" spans="1:16" ht="12.75" customHeight="1">
      <c r="A258" s="86"/>
      <c r="B258" s="1"/>
      <c r="C258" s="3"/>
      <c r="D258" s="3"/>
      <c r="E258" s="3"/>
      <c r="F258" s="85"/>
      <c r="G258" s="3"/>
      <c r="H258" s="3"/>
      <c r="I258" s="3"/>
      <c r="J258" s="3"/>
      <c r="K258" s="3"/>
      <c r="L258" s="3"/>
      <c r="M258" s="3"/>
      <c r="N258" s="3"/>
      <c r="O258" s="113" t="str">
        <f>$O$1</f>
        <v>CURRENTLY RUNNING: BASE CASE SCENARIO</v>
      </c>
    </row>
    <row r="259" spans="1:16" ht="22.8">
      <c r="B259" s="1" t="str">
        <f>B$2</f>
        <v>Dr Lal PathLabs Ltd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spans="1:16" ht="17.399999999999999">
      <c r="B260" s="88" t="s">
        <v>35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spans="1:16" ht="3" customHeight="1" thickBot="1">
      <c r="A261" s="87"/>
      <c r="B261" s="280"/>
      <c r="C261" s="281"/>
      <c r="D261" s="281"/>
      <c r="E261" s="281"/>
      <c r="F261" s="282"/>
      <c r="G261" s="281"/>
      <c r="H261" s="281"/>
      <c r="I261" s="281"/>
      <c r="J261" s="281"/>
      <c r="K261" s="281"/>
      <c r="L261" s="281"/>
      <c r="M261" s="281"/>
      <c r="N261" s="281"/>
      <c r="O261" s="281"/>
    </row>
    <row r="262" spans="1:16">
      <c r="B262" s="140" t="s">
        <v>120</v>
      </c>
      <c r="F262"/>
    </row>
    <row r="263" spans="1:16">
      <c r="B263" s="357"/>
      <c r="C263" s="357"/>
      <c r="D263" s="357"/>
      <c r="E263" s="357"/>
      <c r="F263" s="357"/>
      <c r="G263" s="357"/>
      <c r="H263" s="436"/>
      <c r="I263" s="436"/>
      <c r="J263" s="436"/>
      <c r="K263" s="437" t="s">
        <v>1</v>
      </c>
      <c r="L263" s="438"/>
      <c r="M263" s="438"/>
      <c r="N263" s="438"/>
      <c r="O263" s="438"/>
      <c r="P263" s="357"/>
    </row>
    <row r="264" spans="1:16">
      <c r="B264" s="439"/>
      <c r="C264" s="660" t="s">
        <v>202</v>
      </c>
      <c r="D264" s="661"/>
      <c r="E264" s="661"/>
      <c r="F264" s="662">
        <f>Assumptions!N33</f>
        <v>0.25</v>
      </c>
      <c r="G264" s="357"/>
      <c r="H264" s="441"/>
      <c r="I264" s="441"/>
      <c r="J264" s="441"/>
      <c r="K264" s="442">
        <f>K$7</f>
        <v>2026</v>
      </c>
      <c r="L264" s="442">
        <f>L$7</f>
        <v>2027</v>
      </c>
      <c r="M264" s="442">
        <f>M$7</f>
        <v>2028</v>
      </c>
      <c r="N264" s="442">
        <f>N$7</f>
        <v>2029</v>
      </c>
      <c r="O264" s="442">
        <f>O$7</f>
        <v>2030</v>
      </c>
      <c r="P264" s="357"/>
    </row>
    <row r="265" spans="1:16">
      <c r="B265" s="439"/>
      <c r="C265" s="663" t="s">
        <v>203</v>
      </c>
      <c r="D265" s="664"/>
      <c r="E265" s="665"/>
      <c r="F265" s="666">
        <f>Assumptions!N34</f>
        <v>0.99</v>
      </c>
      <c r="G265" s="357"/>
      <c r="H265" s="441"/>
      <c r="I265" s="441"/>
      <c r="J265" s="441"/>
      <c r="K265" s="442"/>
      <c r="L265" s="442"/>
      <c r="M265" s="442"/>
      <c r="N265" s="442"/>
      <c r="O265" s="442"/>
      <c r="P265" s="357"/>
    </row>
    <row r="266" spans="1:16">
      <c r="B266" s="357"/>
      <c r="C266" s="357"/>
      <c r="D266" s="357"/>
      <c r="E266" s="357"/>
      <c r="F266" s="357"/>
      <c r="G266" s="357"/>
      <c r="H266" s="357"/>
      <c r="I266" s="357"/>
      <c r="J266" s="357"/>
      <c r="K266" s="357"/>
      <c r="L266" s="357"/>
      <c r="M266" s="357"/>
      <c r="N266" s="357"/>
      <c r="O266" s="357"/>
      <c r="P266" s="357"/>
    </row>
    <row r="267" spans="1:16">
      <c r="B267" s="357"/>
      <c r="C267" s="357"/>
      <c r="D267" s="444" t="s">
        <v>106</v>
      </c>
      <c r="E267" s="357"/>
      <c r="F267" s="357"/>
      <c r="G267" s="357"/>
      <c r="H267" s="445" t="s">
        <v>25</v>
      </c>
      <c r="I267" s="403"/>
      <c r="J267" s="403"/>
      <c r="K267" s="446">
        <f>K74</f>
        <v>705.0812863236365</v>
      </c>
      <c r="L267" s="446">
        <f>L74</f>
        <v>798.40637168137732</v>
      </c>
      <c r="M267" s="446">
        <f>M74</f>
        <v>897.99869655354826</v>
      </c>
      <c r="N267" s="446">
        <f>N74</f>
        <v>1012.7406351590494</v>
      </c>
      <c r="O267" s="446">
        <f>O74</f>
        <v>1156.8577124241613</v>
      </c>
      <c r="P267" s="357"/>
    </row>
    <row r="268" spans="1:16" ht="6" customHeight="1">
      <c r="B268" s="357"/>
      <c r="C268" s="357"/>
      <c r="D268" s="357"/>
      <c r="E268" s="447"/>
      <c r="F268" s="447"/>
      <c r="G268" s="357"/>
      <c r="H268" s="448"/>
      <c r="I268" s="448"/>
      <c r="J268" s="448"/>
      <c r="K268" s="448"/>
      <c r="L268" s="448"/>
      <c r="M268" s="448"/>
      <c r="N268" s="448"/>
      <c r="O268" s="448"/>
      <c r="P268" s="357"/>
    </row>
    <row r="269" spans="1:16" ht="15.6">
      <c r="B269" s="357"/>
      <c r="C269" s="357"/>
      <c r="D269" s="357" t="s">
        <v>199</v>
      </c>
      <c r="E269" s="357"/>
      <c r="F269" s="357"/>
      <c r="G269" s="357"/>
      <c r="H269" s="357"/>
      <c r="I269" s="357"/>
      <c r="J269" s="357"/>
      <c r="K269" s="449">
        <f>Assumptions!J64</f>
        <v>25</v>
      </c>
      <c r="L269" s="449">
        <f>Assumptions!K64</f>
        <v>25</v>
      </c>
      <c r="M269" s="449">
        <f>Assumptions!L64</f>
        <v>60</v>
      </c>
      <c r="N269" s="449">
        <f>Assumptions!M64</f>
        <v>60</v>
      </c>
      <c r="O269" s="449">
        <f>Assumptions!N64</f>
        <v>25</v>
      </c>
      <c r="P269" s="357"/>
    </row>
    <row r="270" spans="1:16">
      <c r="B270" s="357"/>
      <c r="C270" s="357"/>
      <c r="D270" s="444" t="s">
        <v>107</v>
      </c>
      <c r="E270" s="357"/>
      <c r="F270" s="447"/>
      <c r="G270" s="357"/>
      <c r="H270" s="445" t="s">
        <v>26</v>
      </c>
      <c r="I270" s="450"/>
      <c r="J270" s="450"/>
      <c r="K270" s="446">
        <f>K267+K269</f>
        <v>730.0812863236365</v>
      </c>
      <c r="L270" s="446">
        <f t="shared" ref="L270:O270" si="100">L267+L269</f>
        <v>823.40637168137732</v>
      </c>
      <c r="M270" s="446">
        <f t="shared" si="100"/>
        <v>957.99869655354826</v>
      </c>
      <c r="N270" s="446">
        <f t="shared" si="100"/>
        <v>1072.7406351590494</v>
      </c>
      <c r="O270" s="446">
        <f t="shared" si="100"/>
        <v>1181.8577124241613</v>
      </c>
      <c r="P270" s="357"/>
    </row>
    <row r="271" spans="1:16">
      <c r="B271" s="357"/>
      <c r="C271" s="357"/>
      <c r="D271" s="357"/>
      <c r="E271" s="435"/>
      <c r="F271" s="357"/>
      <c r="G271" s="357"/>
      <c r="H271" s="403"/>
      <c r="I271" s="403"/>
      <c r="J271" s="403"/>
      <c r="K271" s="405"/>
      <c r="L271" s="405"/>
      <c r="M271" s="405"/>
      <c r="N271" s="405"/>
      <c r="O271" s="405"/>
      <c r="P271" s="406"/>
    </row>
    <row r="272" spans="1:16">
      <c r="B272" s="357"/>
      <c r="C272" s="357"/>
      <c r="D272" s="451" t="str">
        <f>CONCATENATE("Accounting Taxes (",$F$264*100,"% of A)")</f>
        <v>Accounting Taxes (25% of A)</v>
      </c>
      <c r="E272" s="447"/>
      <c r="F272" s="448"/>
      <c r="G272" s="448"/>
      <c r="H272" s="403"/>
      <c r="I272" s="403"/>
      <c r="J272" s="403"/>
      <c r="K272" s="405">
        <f>K267*$F$264</f>
        <v>176.27032158090913</v>
      </c>
      <c r="L272" s="405">
        <f>L267*$F$264</f>
        <v>199.60159292034433</v>
      </c>
      <c r="M272" s="405">
        <f>M267*$F$264</f>
        <v>224.49967413838706</v>
      </c>
      <c r="N272" s="405">
        <f>N267*$F$264</f>
        <v>253.18515878976234</v>
      </c>
      <c r="O272" s="405">
        <f>O267*$F$264</f>
        <v>289.21442810604032</v>
      </c>
      <c r="P272" s="357"/>
    </row>
    <row r="273" spans="1:16">
      <c r="B273" s="357"/>
      <c r="C273" s="357"/>
      <c r="D273" s="357"/>
      <c r="E273" s="357"/>
      <c r="F273" s="452"/>
      <c r="G273" s="357"/>
      <c r="H273" s="403"/>
      <c r="I273" s="403"/>
      <c r="J273" s="403"/>
      <c r="K273" s="403"/>
      <c r="L273" s="403"/>
      <c r="M273" s="403"/>
      <c r="N273" s="403"/>
      <c r="O273" s="403"/>
      <c r="P273" s="357"/>
    </row>
    <row r="274" spans="1:16">
      <c r="B274" s="357"/>
      <c r="C274" s="357"/>
      <c r="D274" s="440" t="s">
        <v>62</v>
      </c>
      <c r="E274" s="453"/>
      <c r="F274" s="454"/>
      <c r="G274" s="454"/>
      <c r="H274" s="454"/>
      <c r="I274" s="454"/>
      <c r="J274" s="454"/>
      <c r="K274" s="454"/>
      <c r="L274" s="454"/>
      <c r="M274" s="454"/>
      <c r="N274" s="454"/>
      <c r="O274" s="455"/>
      <c r="P274" s="357"/>
    </row>
    <row r="275" spans="1:16">
      <c r="B275" s="357"/>
      <c r="C275" s="357"/>
      <c r="D275" s="456" t="str">
        <f>CONCATENATE("Current Tax (",$F$264*100,"% of B)")</f>
        <v>Current Tax (25% of B)</v>
      </c>
      <c r="E275" s="447"/>
      <c r="F275" s="448"/>
      <c r="G275" s="457"/>
      <c r="H275" s="403"/>
      <c r="I275" s="403"/>
      <c r="J275" s="403"/>
      <c r="K275" s="405">
        <f>K270*$F$264</f>
        <v>182.52032158090913</v>
      </c>
      <c r="L275" s="405">
        <f>L270*$F$264</f>
        <v>205.85159292034433</v>
      </c>
      <c r="M275" s="405">
        <f>M270*$F$264</f>
        <v>239.49967413838706</v>
      </c>
      <c r="N275" s="405">
        <f>N270*$F$264</f>
        <v>268.18515878976234</v>
      </c>
      <c r="O275" s="458">
        <f>O270*$F$264</f>
        <v>295.46442810604032</v>
      </c>
      <c r="P275" s="357"/>
    </row>
    <row r="276" spans="1:16">
      <c r="B276" s="357"/>
      <c r="C276" s="357"/>
      <c r="D276" s="459" t="s">
        <v>94</v>
      </c>
      <c r="E276" s="447"/>
      <c r="F276" s="448"/>
      <c r="G276" s="448"/>
      <c r="H276" s="403"/>
      <c r="I276" s="403"/>
      <c r="J276" s="403"/>
      <c r="K276" s="460">
        <f>K272-K275</f>
        <v>-6.25</v>
      </c>
      <c r="L276" s="460">
        <f t="shared" ref="L276:O276" si="101">L272-L275</f>
        <v>-6.25</v>
      </c>
      <c r="M276" s="460">
        <f t="shared" si="101"/>
        <v>-15</v>
      </c>
      <c r="N276" s="460">
        <f t="shared" si="101"/>
        <v>-15</v>
      </c>
      <c r="O276" s="461">
        <f t="shared" si="101"/>
        <v>-6.25</v>
      </c>
      <c r="P276" s="357"/>
    </row>
    <row r="277" spans="1:16">
      <c r="B277" s="357"/>
      <c r="C277" s="357"/>
      <c r="D277" s="443" t="s">
        <v>63</v>
      </c>
      <c r="E277" s="462"/>
      <c r="F277" s="463"/>
      <c r="G277" s="463"/>
      <c r="H277" s="464"/>
      <c r="I277" s="464"/>
      <c r="J277" s="464"/>
      <c r="K277" s="465">
        <f>SUM(K275:K276)</f>
        <v>176.27032158090913</v>
      </c>
      <c r="L277" s="465">
        <f t="shared" ref="L277:O277" si="102">SUM(L275:L276)</f>
        <v>199.60159292034433</v>
      </c>
      <c r="M277" s="465">
        <f t="shared" si="102"/>
        <v>224.49967413838706</v>
      </c>
      <c r="N277" s="465">
        <f t="shared" si="102"/>
        <v>253.18515878976234</v>
      </c>
      <c r="O277" s="466">
        <f t="shared" si="102"/>
        <v>289.21442810604032</v>
      </c>
      <c r="P277" s="357"/>
    </row>
    <row r="278" spans="1:16">
      <c r="B278" s="357"/>
      <c r="C278" s="357"/>
      <c r="D278" s="467"/>
      <c r="E278" s="468"/>
      <c r="F278" s="469"/>
      <c r="G278" s="469"/>
      <c r="H278" s="470"/>
      <c r="I278" s="470"/>
      <c r="J278" s="470"/>
      <c r="K278" s="471"/>
      <c r="L278" s="471"/>
      <c r="M278" s="471"/>
      <c r="N278" s="471"/>
      <c r="O278" s="471"/>
      <c r="P278" s="357"/>
    </row>
    <row r="279" spans="1:16">
      <c r="B279" s="357"/>
      <c r="C279" s="357"/>
      <c r="D279" s="472" t="s">
        <v>198</v>
      </c>
      <c r="E279" s="468"/>
      <c r="F279" s="469"/>
      <c r="G279" s="469"/>
      <c r="H279" s="470"/>
      <c r="I279" s="470"/>
      <c r="J279" s="470"/>
      <c r="K279" s="473">
        <f>K275*$F$265</f>
        <v>180.69511836510003</v>
      </c>
      <c r="L279" s="473">
        <f t="shared" ref="L279:O279" si="103">L275*$F$265</f>
        <v>203.79307699114088</v>
      </c>
      <c r="M279" s="473">
        <f t="shared" si="103"/>
        <v>237.1046773970032</v>
      </c>
      <c r="N279" s="473">
        <f t="shared" si="103"/>
        <v>265.50330720186469</v>
      </c>
      <c r="O279" s="473">
        <f t="shared" si="103"/>
        <v>292.50978382497993</v>
      </c>
      <c r="P279" s="357"/>
    </row>
    <row r="280" spans="1:16">
      <c r="B280" s="357"/>
      <c r="C280" s="357"/>
      <c r="D280" s="467" t="s">
        <v>134</v>
      </c>
      <c r="E280" s="468"/>
      <c r="F280" s="469"/>
      <c r="G280" s="469"/>
      <c r="H280" s="470"/>
      <c r="I280" s="470"/>
      <c r="J280" s="470"/>
      <c r="K280" s="471">
        <f>K275-K279</f>
        <v>1.8252032158090969</v>
      </c>
      <c r="L280" s="471">
        <f t="shared" ref="L280:O280" si="104">L275-L279</f>
        <v>2.0585159292034518</v>
      </c>
      <c r="M280" s="471">
        <f t="shared" si="104"/>
        <v>2.3949967413838635</v>
      </c>
      <c r="N280" s="471">
        <f t="shared" si="104"/>
        <v>2.6818515878976541</v>
      </c>
      <c r="O280" s="471">
        <f t="shared" si="104"/>
        <v>2.9546442810603821</v>
      </c>
      <c r="P280" s="357"/>
    </row>
    <row r="281" spans="1:16">
      <c r="E281" s="79"/>
      <c r="F281" s="148"/>
      <c r="G281" s="148"/>
      <c r="H281" s="148"/>
      <c r="I281" s="148"/>
      <c r="J281" s="148"/>
      <c r="K281" s="148"/>
      <c r="L281" s="148"/>
      <c r="M281" s="148"/>
      <c r="N281" s="148"/>
      <c r="O281" s="148"/>
    </row>
    <row r="282" spans="1:16">
      <c r="C282" s="223" t="s">
        <v>200</v>
      </c>
      <c r="E282" s="79"/>
      <c r="F282" s="148"/>
      <c r="G282" s="148"/>
      <c r="H282" s="148"/>
      <c r="I282" s="148"/>
      <c r="J282" s="148"/>
      <c r="K282" s="148"/>
      <c r="L282" s="148"/>
      <c r="M282" s="148"/>
      <c r="N282" s="148"/>
      <c r="O282" s="148"/>
    </row>
    <row r="283" spans="1:16" ht="6" customHeight="1">
      <c r="B283" s="10"/>
      <c r="C283" s="10"/>
      <c r="D283" s="10"/>
      <c r="E283" s="224"/>
      <c r="F283" s="224"/>
      <c r="G283" s="225"/>
      <c r="H283" s="225"/>
      <c r="I283" s="225"/>
      <c r="J283" s="225"/>
      <c r="K283" s="225"/>
      <c r="L283" s="225"/>
      <c r="M283" s="225"/>
      <c r="N283" s="225"/>
      <c r="O283" s="10"/>
    </row>
    <row r="285" spans="1:16" ht="12.75" customHeight="1">
      <c r="A285" s="86"/>
      <c r="B285" s="1"/>
      <c r="C285" s="3"/>
      <c r="D285" s="3"/>
      <c r="E285" s="3"/>
      <c r="F285" s="85"/>
      <c r="G285" s="3"/>
      <c r="H285" s="3"/>
      <c r="I285" s="3"/>
      <c r="J285" s="3"/>
      <c r="K285" s="3"/>
      <c r="L285" s="3"/>
      <c r="M285" s="3"/>
      <c r="N285" s="3"/>
      <c r="O285" s="113" t="str">
        <f>$O$1</f>
        <v>CURRENTLY RUNNING: BASE CASE SCENARIO</v>
      </c>
    </row>
    <row r="286" spans="1:16" ht="22.8">
      <c r="B286" s="1" t="str">
        <f>B$2</f>
        <v>Dr Lal PathLabs Ltd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spans="1:16" ht="17.399999999999999">
      <c r="B287" s="88" t="s">
        <v>36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spans="1:16" ht="3" customHeight="1" thickBot="1">
      <c r="A288" s="87"/>
      <c r="B288" s="280"/>
      <c r="C288" s="281"/>
      <c r="D288" s="281"/>
      <c r="E288" s="281"/>
      <c r="F288" s="282"/>
      <c r="G288" s="281"/>
      <c r="H288" s="281"/>
      <c r="I288" s="281"/>
      <c r="J288" s="281"/>
      <c r="K288" s="281"/>
      <c r="L288" s="281"/>
      <c r="M288" s="281"/>
      <c r="N288" s="281"/>
      <c r="O288" s="281"/>
    </row>
    <row r="289" spans="2:16">
      <c r="B289" s="140" t="s">
        <v>120</v>
      </c>
      <c r="F289"/>
      <c r="O289" s="15"/>
    </row>
    <row r="290" spans="2:16">
      <c r="F290"/>
      <c r="H290" s="3"/>
      <c r="I290" s="3"/>
      <c r="J290" s="3"/>
      <c r="K290" s="93" t="s">
        <v>1</v>
      </c>
      <c r="L290" s="16"/>
      <c r="M290" s="16"/>
      <c r="N290" s="16"/>
      <c r="O290" s="16"/>
    </row>
    <row r="291" spans="2:16" ht="12" customHeight="1">
      <c r="F291"/>
      <c r="G291" s="170"/>
      <c r="H291" s="272">
        <f t="shared" ref="H291:J291" si="105">H$7</f>
        <v>2023</v>
      </c>
      <c r="I291" s="272">
        <f t="shared" si="105"/>
        <v>2024</v>
      </c>
      <c r="J291" s="272">
        <f t="shared" si="105"/>
        <v>2025</v>
      </c>
      <c r="K291" s="274">
        <f>K$7</f>
        <v>2026</v>
      </c>
      <c r="L291" s="274">
        <f>L$7</f>
        <v>2027</v>
      </c>
      <c r="M291" s="274">
        <f>M$7</f>
        <v>2028</v>
      </c>
      <c r="N291" s="274">
        <f>N$7</f>
        <v>2029</v>
      </c>
      <c r="O291" s="274">
        <f>O$7</f>
        <v>2030</v>
      </c>
    </row>
    <row r="292" spans="2:16" ht="12" customHeight="1">
      <c r="F292"/>
      <c r="I292" s="357"/>
      <c r="J292" s="357"/>
      <c r="K292" s="357"/>
      <c r="L292" s="357"/>
      <c r="M292" s="357"/>
      <c r="N292" s="357"/>
      <c r="O292" s="357"/>
      <c r="P292" s="357"/>
    </row>
    <row r="293" spans="2:16">
      <c r="B293" s="141" t="s">
        <v>72</v>
      </c>
      <c r="C293" s="142"/>
      <c r="D293" s="142"/>
      <c r="E293" s="142"/>
      <c r="F293" s="226" t="s">
        <v>44</v>
      </c>
      <c r="G293" s="142"/>
      <c r="H293" s="356">
        <v>365</v>
      </c>
      <c r="I293" s="414">
        <f>DATE(I291,12,31)-DATE(H291,12,31)</f>
        <v>366</v>
      </c>
      <c r="J293" s="414">
        <f t="shared" ref="J293:O293" si="106">DATE(J291,12,31)-DATE(I291,12,31)</f>
        <v>365</v>
      </c>
      <c r="K293" s="414">
        <f t="shared" si="106"/>
        <v>365</v>
      </c>
      <c r="L293" s="414">
        <f t="shared" si="106"/>
        <v>365</v>
      </c>
      <c r="M293" s="414">
        <f t="shared" si="106"/>
        <v>366</v>
      </c>
      <c r="N293" s="414">
        <f t="shared" si="106"/>
        <v>365</v>
      </c>
      <c r="O293" s="415">
        <f t="shared" si="106"/>
        <v>365</v>
      </c>
      <c r="P293" s="357"/>
    </row>
    <row r="294" spans="2:16">
      <c r="F294" s="96"/>
      <c r="I294" s="357"/>
      <c r="J294" s="357"/>
      <c r="K294" s="357"/>
      <c r="L294" s="357"/>
      <c r="M294" s="357"/>
      <c r="N294" s="357"/>
      <c r="O294" s="357"/>
      <c r="P294" s="357"/>
    </row>
    <row r="295" spans="2:16">
      <c r="B295" s="107" t="s">
        <v>92</v>
      </c>
      <c r="F295" s="96"/>
      <c r="I295" s="357"/>
      <c r="J295" s="357"/>
      <c r="K295" s="357"/>
      <c r="L295" s="357"/>
      <c r="M295" s="357"/>
      <c r="N295" s="357"/>
      <c r="O295" s="357"/>
      <c r="P295" s="357"/>
    </row>
    <row r="296" spans="2:16">
      <c r="C296" t="s">
        <v>2</v>
      </c>
      <c r="F296" s="96" t="s">
        <v>163</v>
      </c>
      <c r="H296" s="156">
        <f t="shared" ref="H296:O296" si="107">H61</f>
        <v>2058.59</v>
      </c>
      <c r="I296" s="406">
        <f t="shared" si="107"/>
        <v>2295.7999999999997</v>
      </c>
      <c r="J296" s="406">
        <f t="shared" si="107"/>
        <v>2554.8199999999997</v>
      </c>
      <c r="K296" s="416">
        <f t="shared" si="107"/>
        <v>2840.4992000000002</v>
      </c>
      <c r="L296" s="416">
        <f t="shared" si="107"/>
        <v>3171.4027880000003</v>
      </c>
      <c r="M296" s="416">
        <f t="shared" si="107"/>
        <v>3541.8952457264004</v>
      </c>
      <c r="N296" s="416">
        <f t="shared" si="107"/>
        <v>3954.5795132477579</v>
      </c>
      <c r="O296" s="416">
        <f t="shared" si="107"/>
        <v>4390.6765669514407</v>
      </c>
      <c r="P296" s="357"/>
    </row>
    <row r="297" spans="2:16">
      <c r="C297" t="s">
        <v>3</v>
      </c>
      <c r="F297" s="96" t="s">
        <v>163</v>
      </c>
      <c r="H297" s="156">
        <f t="shared" ref="H297:O297" si="108">H63</f>
        <v>499.1</v>
      </c>
      <c r="I297" s="406">
        <f t="shared" si="108"/>
        <v>500</v>
      </c>
      <c r="J297" s="406">
        <f t="shared" si="108"/>
        <v>539.1</v>
      </c>
      <c r="K297" s="416">
        <f t="shared" si="108"/>
        <v>614.20995003999997</v>
      </c>
      <c r="L297" s="416">
        <f t="shared" si="108"/>
        <v>679.26165868225905</v>
      </c>
      <c r="M297" s="416">
        <f t="shared" si="108"/>
        <v>752.84056267328822</v>
      </c>
      <c r="N297" s="416">
        <f t="shared" si="108"/>
        <v>839.69075782846573</v>
      </c>
      <c r="O297" s="416">
        <f t="shared" si="108"/>
        <v>940.25902559701331</v>
      </c>
      <c r="P297" s="357"/>
    </row>
    <row r="298" spans="2:16">
      <c r="F298" s="96"/>
      <c r="I298" s="357"/>
      <c r="J298" s="357"/>
      <c r="K298" s="357"/>
      <c r="L298" s="357"/>
      <c r="M298" s="357"/>
      <c r="N298" s="357"/>
      <c r="O298" s="357"/>
      <c r="P298" s="357"/>
    </row>
    <row r="299" spans="2:16">
      <c r="B299" s="227" t="s">
        <v>21</v>
      </c>
      <c r="C299" s="228"/>
      <c r="F299" s="96"/>
      <c r="I299" s="357"/>
      <c r="J299" s="357"/>
      <c r="K299" s="357"/>
      <c r="L299" s="357"/>
      <c r="M299" s="357"/>
      <c r="N299" s="357"/>
      <c r="O299" s="357"/>
      <c r="P299" s="357"/>
    </row>
    <row r="300" spans="2:16">
      <c r="B300" s="229"/>
      <c r="C300" t="s">
        <v>11</v>
      </c>
      <c r="F300" s="96" t="s">
        <v>44</v>
      </c>
      <c r="G300" s="230"/>
      <c r="H300" s="354">
        <f>(H307/H296)*H293</f>
        <v>12.556798585439546</v>
      </c>
      <c r="I300" s="355">
        <f t="shared" ref="I300:J300" si="109">(I307/I296)*I293</f>
        <v>12.339228155762701</v>
      </c>
      <c r="J300" s="355">
        <f t="shared" si="109"/>
        <v>12.589458357144537</v>
      </c>
      <c r="K300" s="417">
        <f>Assumptions!J67</f>
        <v>11.7</v>
      </c>
      <c r="L300" s="417">
        <f>Assumptions!K67</f>
        <v>11.7</v>
      </c>
      <c r="M300" s="417">
        <f>Assumptions!L67</f>
        <v>11.5</v>
      </c>
      <c r="N300" s="417">
        <f>Assumptions!M67</f>
        <v>11.5</v>
      </c>
      <c r="O300" s="417">
        <f>Assumptions!N67</f>
        <v>11.6</v>
      </c>
      <c r="P300" s="357"/>
    </row>
    <row r="301" spans="2:16">
      <c r="B301" s="229"/>
      <c r="C301" s="231" t="s">
        <v>22</v>
      </c>
      <c r="F301" s="96" t="s">
        <v>44</v>
      </c>
      <c r="G301" s="230"/>
      <c r="H301" s="354">
        <f>(H308/H297)*H293</f>
        <v>24.71849328791825</v>
      </c>
      <c r="I301" s="355">
        <f t="shared" ref="I301:J301" si="110">(I308/I297)*I293</f>
        <v>27.303599999999999</v>
      </c>
      <c r="J301" s="355">
        <f t="shared" si="110"/>
        <v>24.461973659803373</v>
      </c>
      <c r="K301" s="417">
        <f>Assumptions!J68</f>
        <v>25.3</v>
      </c>
      <c r="L301" s="417">
        <f>Assumptions!K68</f>
        <v>24.9</v>
      </c>
      <c r="M301" s="417">
        <f>Assumptions!L68</f>
        <v>25.5</v>
      </c>
      <c r="N301" s="417">
        <f>Assumptions!M68</f>
        <v>25</v>
      </c>
      <c r="O301" s="417">
        <f>Assumptions!N68</f>
        <v>24.5</v>
      </c>
      <c r="P301" s="357"/>
    </row>
    <row r="302" spans="2:16">
      <c r="B302" s="229"/>
      <c r="C302" s="231" t="s">
        <v>119</v>
      </c>
      <c r="F302" s="96" t="s">
        <v>44</v>
      </c>
      <c r="G302" s="232"/>
      <c r="H302" s="355">
        <f>(H309/H297)*H293</f>
        <v>11.759567220997795</v>
      </c>
      <c r="I302" s="355">
        <f t="shared" ref="I302:J302" si="111">(I309/I297)*I293</f>
        <v>14.339879999999999</v>
      </c>
      <c r="J302" s="355">
        <f t="shared" si="111"/>
        <v>15.159246892969765</v>
      </c>
      <c r="K302" s="417">
        <f>Assumptions!J69</f>
        <v>14.3</v>
      </c>
      <c r="L302" s="417">
        <f>Assumptions!K69</f>
        <v>14.5</v>
      </c>
      <c r="M302" s="417">
        <f>Assumptions!L69</f>
        <v>14.5</v>
      </c>
      <c r="N302" s="417">
        <f>Assumptions!M69</f>
        <v>14.9</v>
      </c>
      <c r="O302" s="417">
        <f>Assumptions!N69</f>
        <v>14.9</v>
      </c>
      <c r="P302" s="357"/>
    </row>
    <row r="303" spans="2:16">
      <c r="B303" s="229"/>
      <c r="C303" s="228" t="s">
        <v>16</v>
      </c>
      <c r="F303" s="96" t="s">
        <v>44</v>
      </c>
      <c r="G303" s="232"/>
      <c r="H303" s="355">
        <f>(H310/H297)*H293</f>
        <v>114.15848527349227</v>
      </c>
      <c r="I303" s="355">
        <f t="shared" ref="I303:J303" si="112">(I310/I297)*I293</f>
        <v>136.56192000000001</v>
      </c>
      <c r="J303" s="355">
        <f t="shared" si="112"/>
        <v>134.62548692264886</v>
      </c>
      <c r="K303" s="417">
        <f>Assumptions!J70</f>
        <v>132</v>
      </c>
      <c r="L303" s="417">
        <f>Assumptions!K70</f>
        <v>132</v>
      </c>
      <c r="M303" s="417">
        <f>Assumptions!L70</f>
        <v>135</v>
      </c>
      <c r="N303" s="417">
        <f>Assumptions!M70</f>
        <v>135</v>
      </c>
      <c r="O303" s="417">
        <f>Assumptions!N70</f>
        <v>138</v>
      </c>
      <c r="P303" s="357"/>
    </row>
    <row r="304" spans="2:16">
      <c r="B304" s="229"/>
      <c r="C304" s="228" t="s">
        <v>135</v>
      </c>
      <c r="F304" s="96" t="s">
        <v>44</v>
      </c>
      <c r="G304" s="232"/>
      <c r="H304" s="355">
        <f>(H311/H297)*H293</f>
        <v>23.109597275095172</v>
      </c>
      <c r="I304" s="355">
        <f t="shared" ref="I304:J304" si="113">(I311/I297)*I293</f>
        <v>25.532160000000001</v>
      </c>
      <c r="J304" s="355">
        <f t="shared" si="113"/>
        <v>29.079484325728068</v>
      </c>
      <c r="K304" s="417">
        <f>Assumptions!J71</f>
        <v>26.3</v>
      </c>
      <c r="L304" s="417">
        <f>Assumptions!K71</f>
        <v>26.6</v>
      </c>
      <c r="M304" s="417">
        <f>Assumptions!L71</f>
        <v>26.8</v>
      </c>
      <c r="N304" s="417">
        <f>Assumptions!M71</f>
        <v>26.8</v>
      </c>
      <c r="O304" s="417">
        <f>Assumptions!N71</f>
        <v>27.1</v>
      </c>
      <c r="P304" s="357"/>
    </row>
    <row r="305" spans="1:16">
      <c r="B305" s="229"/>
      <c r="C305" s="228"/>
      <c r="F305" s="96"/>
      <c r="H305" s="220"/>
      <c r="I305" s="418"/>
      <c r="J305" s="418"/>
      <c r="K305" s="418"/>
      <c r="L305" s="418"/>
      <c r="M305" s="418"/>
      <c r="N305" s="418"/>
      <c r="O305" s="418"/>
      <c r="P305" s="357"/>
    </row>
    <row r="306" spans="1:16">
      <c r="B306" s="227" t="s">
        <v>23</v>
      </c>
      <c r="C306" s="228"/>
      <c r="F306" s="96"/>
      <c r="H306" s="220"/>
      <c r="I306" s="418"/>
      <c r="J306" s="418"/>
      <c r="K306" s="418"/>
      <c r="L306" s="418"/>
      <c r="M306" s="418"/>
      <c r="N306" s="418"/>
      <c r="O306" s="418"/>
      <c r="P306" s="357"/>
    </row>
    <row r="307" spans="1:16">
      <c r="B307" s="229"/>
      <c r="C307" s="228" t="s">
        <v>11</v>
      </c>
      <c r="F307" s="96" t="s">
        <v>163</v>
      </c>
      <c r="H307" s="156">
        <f t="shared" ref="H307:J308" si="114">H138</f>
        <v>70.819999999999993</v>
      </c>
      <c r="I307" s="406">
        <f t="shared" si="114"/>
        <v>77.400000000000006</v>
      </c>
      <c r="J307" s="406">
        <f t="shared" si="114"/>
        <v>88.12</v>
      </c>
      <c r="K307" s="416">
        <f>(K300/K293)*K296</f>
        <v>91.051618191780818</v>
      </c>
      <c r="L307" s="416">
        <f t="shared" ref="L307:O307" si="115">(L300/L293)*L296</f>
        <v>101.65866471123287</v>
      </c>
      <c r="M307" s="416">
        <f t="shared" si="115"/>
        <v>111.28905826735958</v>
      </c>
      <c r="N307" s="416">
        <f t="shared" si="115"/>
        <v>124.59634082835403</v>
      </c>
      <c r="O307" s="416">
        <f t="shared" si="115"/>
        <v>139.53931007297729</v>
      </c>
      <c r="P307" s="357"/>
    </row>
    <row r="308" spans="1:16">
      <c r="B308" s="229"/>
      <c r="C308" s="231" t="s">
        <v>22</v>
      </c>
      <c r="F308" s="96" t="s">
        <v>163</v>
      </c>
      <c r="H308" s="156">
        <f t="shared" si="114"/>
        <v>33.799999999999997</v>
      </c>
      <c r="I308" s="406">
        <f t="shared" si="114"/>
        <v>37.299999999999997</v>
      </c>
      <c r="J308" s="406">
        <f t="shared" si="114"/>
        <v>36.130000000000003</v>
      </c>
      <c r="K308" s="416">
        <f>(K301/K$293)*K$297</f>
        <v>42.574004756197255</v>
      </c>
      <c r="L308" s="416">
        <f t="shared" ref="L308:O308" si="116">(L301/L$293)*L$297</f>
        <v>46.338672058049994</v>
      </c>
      <c r="M308" s="416">
        <f t="shared" si="116"/>
        <v>52.452006415761879</v>
      </c>
      <c r="N308" s="416">
        <f t="shared" si="116"/>
        <v>57.51306560468943</v>
      </c>
      <c r="O308" s="416">
        <f t="shared" si="116"/>
        <v>63.113277060621442</v>
      </c>
      <c r="P308" s="357"/>
    </row>
    <row r="309" spans="1:16">
      <c r="B309" s="229"/>
      <c r="C309" s="231" t="s">
        <v>119</v>
      </c>
      <c r="F309" s="96" t="s">
        <v>163</v>
      </c>
      <c r="H309" s="156">
        <f>H142</f>
        <v>16.079999999999998</v>
      </c>
      <c r="I309" s="406">
        <f>I142</f>
        <v>19.59</v>
      </c>
      <c r="J309" s="406">
        <f>J142</f>
        <v>22.39</v>
      </c>
      <c r="K309" s="416">
        <f t="shared" ref="K309:O311" si="117">(K302/K$293)*K$297</f>
        <v>24.063567905676713</v>
      </c>
      <c r="L309" s="416">
        <f t="shared" si="117"/>
        <v>26.984367262719882</v>
      </c>
      <c r="M309" s="416">
        <f t="shared" si="117"/>
        <v>29.825650707001856</v>
      </c>
      <c r="N309" s="416">
        <f t="shared" si="117"/>
        <v>34.277787100394903</v>
      </c>
      <c r="O309" s="416">
        <f t="shared" si="117"/>
        <v>38.383176661357531</v>
      </c>
      <c r="P309" s="357"/>
    </row>
    <row r="310" spans="1:16">
      <c r="B310" s="229"/>
      <c r="C310" s="228" t="s">
        <v>16</v>
      </c>
      <c r="F310" s="96" t="s">
        <v>163</v>
      </c>
      <c r="H310" s="156">
        <f>H158</f>
        <v>156.1</v>
      </c>
      <c r="I310" s="406">
        <f>I158</f>
        <v>186.56</v>
      </c>
      <c r="J310" s="406">
        <f>J158</f>
        <v>198.84</v>
      </c>
      <c r="K310" s="416">
        <f t="shared" si="117"/>
        <v>222.12524220624658</v>
      </c>
      <c r="L310" s="416">
        <f t="shared" si="117"/>
        <v>245.65079163303616</v>
      </c>
      <c r="M310" s="416">
        <f t="shared" si="117"/>
        <v>277.68709278932766</v>
      </c>
      <c r="N310" s="416">
        <f t="shared" si="117"/>
        <v>310.57055426532293</v>
      </c>
      <c r="O310" s="416">
        <f t="shared" si="117"/>
        <v>355.49519323941871</v>
      </c>
      <c r="P310" s="357"/>
    </row>
    <row r="311" spans="1:16">
      <c r="B311" s="229"/>
      <c r="C311" s="228" t="s">
        <v>135</v>
      </c>
      <c r="F311" s="96" t="s">
        <v>163</v>
      </c>
      <c r="H311" s="353">
        <f>H162</f>
        <v>31.6</v>
      </c>
      <c r="I311" s="419">
        <f>I162</f>
        <v>34.880000000000003</v>
      </c>
      <c r="J311" s="419">
        <f>J162</f>
        <v>42.95</v>
      </c>
      <c r="K311" s="420">
        <f t="shared" si="117"/>
        <v>44.256771742608215</v>
      </c>
      <c r="L311" s="420">
        <f t="shared" si="117"/>
        <v>49.502356495748195</v>
      </c>
      <c r="M311" s="420">
        <f t="shared" si="117"/>
        <v>55.126030272251704</v>
      </c>
      <c r="N311" s="420">
        <f t="shared" si="117"/>
        <v>61.654006328227076</v>
      </c>
      <c r="O311" s="420">
        <f t="shared" si="117"/>
        <v>69.811012585422091</v>
      </c>
      <c r="P311" s="357"/>
    </row>
    <row r="312" spans="1:16">
      <c r="B312" s="229"/>
      <c r="C312" s="233" t="s">
        <v>24</v>
      </c>
      <c r="D312" s="107"/>
      <c r="E312" s="107"/>
      <c r="F312" s="108" t="s">
        <v>163</v>
      </c>
      <c r="H312" s="156">
        <f>(H307+H308+H309)-(H310+H311)</f>
        <v>-67</v>
      </c>
      <c r="I312" s="406">
        <f t="shared" ref="I312:O312" si="118">(I307+I308+I309)-(I310+I311)</f>
        <v>-87.15</v>
      </c>
      <c r="J312" s="406">
        <f t="shared" si="118"/>
        <v>-95.150000000000034</v>
      </c>
      <c r="K312" s="406">
        <f t="shared" si="118"/>
        <v>-108.69282309520005</v>
      </c>
      <c r="L312" s="406">
        <f t="shared" si="118"/>
        <v>-120.17144409678164</v>
      </c>
      <c r="M312" s="406">
        <f t="shared" si="118"/>
        <v>-139.24640767145604</v>
      </c>
      <c r="N312" s="406">
        <f t="shared" si="118"/>
        <v>-155.83736706011163</v>
      </c>
      <c r="O312" s="406">
        <f t="shared" si="118"/>
        <v>-184.27044202988452</v>
      </c>
      <c r="P312" s="357"/>
    </row>
    <row r="313" spans="1:16">
      <c r="B313" s="229"/>
      <c r="C313" s="228"/>
      <c r="F313" s="96"/>
      <c r="H313" s="220"/>
      <c r="I313" s="418"/>
      <c r="J313" s="418"/>
      <c r="K313" s="418"/>
      <c r="L313" s="418"/>
      <c r="M313" s="418"/>
      <c r="N313" s="418"/>
      <c r="O313" s="418"/>
      <c r="P313" s="357"/>
    </row>
    <row r="314" spans="1:16" ht="13.8" thickBot="1">
      <c r="B314" s="233" t="s">
        <v>76</v>
      </c>
      <c r="C314" s="229"/>
      <c r="F314" s="108" t="s">
        <v>163</v>
      </c>
      <c r="H314" s="220"/>
      <c r="I314" s="418"/>
      <c r="J314" s="418"/>
      <c r="K314" s="421">
        <f t="shared" ref="K314:O314" si="119">J312-K312</f>
        <v>13.542823095200021</v>
      </c>
      <c r="L314" s="421">
        <f t="shared" si="119"/>
        <v>11.478621001581587</v>
      </c>
      <c r="M314" s="421">
        <f t="shared" si="119"/>
        <v>19.074963574674399</v>
      </c>
      <c r="N314" s="421">
        <f t="shared" si="119"/>
        <v>16.590959388655591</v>
      </c>
      <c r="O314" s="421">
        <f t="shared" si="119"/>
        <v>28.433074969772889</v>
      </c>
      <c r="P314" s="357"/>
    </row>
    <row r="315" spans="1:16" ht="13.8" thickTop="1">
      <c r="B315" s="10"/>
      <c r="C315" s="234"/>
      <c r="D315" s="10"/>
      <c r="E315" s="10"/>
      <c r="F315" s="10"/>
      <c r="G315" s="10"/>
      <c r="H315" s="10"/>
      <c r="I315" s="422"/>
      <c r="J315" s="422"/>
      <c r="K315" s="422"/>
      <c r="L315" s="422"/>
      <c r="M315" s="422"/>
      <c r="N315" s="422"/>
      <c r="O315" s="422"/>
      <c r="P315" s="357"/>
    </row>
    <row r="317" spans="1:16" ht="12.75" customHeight="1">
      <c r="A317" s="86"/>
      <c r="B317" s="1"/>
      <c r="C317" s="3"/>
      <c r="D317" s="3"/>
      <c r="E317" s="3"/>
      <c r="F317" s="85"/>
      <c r="G317" s="3"/>
      <c r="H317" s="3"/>
      <c r="I317" s="3"/>
      <c r="J317" s="3"/>
      <c r="K317" s="3"/>
      <c r="L317" s="3"/>
      <c r="M317" s="3"/>
      <c r="N317" s="3"/>
      <c r="O317" s="113" t="str">
        <f>$O$1</f>
        <v>CURRENTLY RUNNING: BASE CASE SCENARIO</v>
      </c>
    </row>
    <row r="318" spans="1:16" ht="22.8">
      <c r="B318" s="1" t="str">
        <f>B$2</f>
        <v>Dr Lal PathLabs Ltd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spans="1:16" ht="17.399999999999999">
      <c r="B319" s="88" t="s">
        <v>208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spans="1:16" ht="3" customHeight="1" thickBot="1">
      <c r="A320" s="87"/>
      <c r="B320" s="280"/>
      <c r="C320" s="281"/>
      <c r="D320" s="281"/>
      <c r="E320" s="281"/>
      <c r="F320" s="282"/>
      <c r="G320" s="281"/>
      <c r="H320" s="281"/>
      <c r="I320" s="281"/>
      <c r="J320" s="281"/>
      <c r="K320" s="281"/>
      <c r="L320" s="281"/>
      <c r="M320" s="281"/>
      <c r="N320" s="281"/>
      <c r="O320" s="281"/>
    </row>
    <row r="321" spans="2:15">
      <c r="B321" s="140" t="s">
        <v>120</v>
      </c>
      <c r="F321"/>
      <c r="O321" s="15"/>
    </row>
    <row r="322" spans="2:15">
      <c r="F322"/>
      <c r="H322" s="3"/>
      <c r="I322" s="3"/>
      <c r="J322" s="3"/>
      <c r="K322" s="93" t="s">
        <v>1</v>
      </c>
      <c r="L322" s="16"/>
      <c r="M322" s="16"/>
      <c r="N322" s="16"/>
      <c r="O322" s="16"/>
    </row>
    <row r="323" spans="2:15">
      <c r="F323"/>
      <c r="G323" s="170"/>
      <c r="H323" s="235"/>
      <c r="I323" s="235"/>
      <c r="J323" s="272">
        <f t="shared" ref="J323:O323" si="120">J$7</f>
        <v>2025</v>
      </c>
      <c r="K323" s="274">
        <f t="shared" si="120"/>
        <v>2026</v>
      </c>
      <c r="L323" s="274">
        <f t="shared" si="120"/>
        <v>2027</v>
      </c>
      <c r="M323" s="274">
        <f t="shared" si="120"/>
        <v>2028</v>
      </c>
      <c r="N323" s="274">
        <f t="shared" si="120"/>
        <v>2029</v>
      </c>
      <c r="O323" s="274">
        <f t="shared" si="120"/>
        <v>2030</v>
      </c>
    </row>
    <row r="324" spans="2:15">
      <c r="C324" s="667" t="s">
        <v>216</v>
      </c>
      <c r="D324" s="668"/>
      <c r="E324" s="668"/>
      <c r="F324" s="668"/>
      <c r="G324" s="669">
        <f>Assumptions!N16</f>
        <v>0.3</v>
      </c>
      <c r="H324" s="510"/>
      <c r="I324" s="235"/>
      <c r="J324" s="272"/>
      <c r="K324" s="274"/>
      <c r="L324" s="274"/>
      <c r="M324" s="274"/>
      <c r="N324" s="274"/>
      <c r="O324" s="274"/>
    </row>
    <row r="325" spans="2:15">
      <c r="C325" s="428" t="s">
        <v>217</v>
      </c>
      <c r="D325" s="670"/>
      <c r="E325" s="670"/>
      <c r="F325" s="670"/>
      <c r="G325" s="671">
        <f>Assumptions!N17</f>
        <v>0.15</v>
      </c>
      <c r="I325" s="235"/>
      <c r="J325" s="272"/>
      <c r="K325" s="274"/>
      <c r="L325" s="274"/>
      <c r="M325" s="274"/>
      <c r="N325" s="274"/>
      <c r="O325" s="274"/>
    </row>
    <row r="326" spans="2:15">
      <c r="F326"/>
      <c r="G326" s="170"/>
      <c r="H326" s="235"/>
      <c r="I326" s="235"/>
      <c r="J326" s="272"/>
      <c r="K326" s="274"/>
      <c r="L326" s="274"/>
      <c r="M326" s="274"/>
      <c r="N326" s="274"/>
      <c r="O326" s="274"/>
    </row>
    <row r="327" spans="2:15" s="365" customFormat="1">
      <c r="C327" s="365" t="s">
        <v>215</v>
      </c>
      <c r="G327" s="511"/>
      <c r="H327" s="512"/>
      <c r="I327" s="512"/>
      <c r="J327" s="513"/>
      <c r="K327" s="514">
        <f>K103+K107</f>
        <v>572.61703310919097</v>
      </c>
      <c r="L327" s="514">
        <f>L103+L107</f>
        <v>642.02368640783743</v>
      </c>
      <c r="M327" s="514">
        <f>M103+M107</f>
        <v>716.57767222919597</v>
      </c>
      <c r="N327" s="514">
        <f>N103+N107</f>
        <v>808.00149219244156</v>
      </c>
      <c r="O327" s="514">
        <f>O103+O107</f>
        <v>923.78812091745954</v>
      </c>
    </row>
    <row r="329" spans="2:15" ht="13.35" customHeight="1">
      <c r="B329" s="107"/>
      <c r="C329" s="107" t="s">
        <v>210</v>
      </c>
      <c r="I329" s="357"/>
      <c r="J329" s="357"/>
      <c r="K329" s="357"/>
      <c r="L329" s="357"/>
      <c r="M329" s="357"/>
      <c r="N329" s="357"/>
      <c r="O329" s="357"/>
    </row>
    <row r="330" spans="2:15" ht="13.35" customHeight="1">
      <c r="D330" t="s">
        <v>45</v>
      </c>
      <c r="I330" s="357"/>
      <c r="J330" s="357"/>
      <c r="K330" s="406">
        <f>J332</f>
        <v>546.04999999999995</v>
      </c>
      <c r="L330" s="406">
        <f t="shared" ref="L330:O330" si="121">K332</f>
        <v>717.83510993275718</v>
      </c>
      <c r="M330" s="406">
        <f t="shared" si="121"/>
        <v>910.44221585510843</v>
      </c>
      <c r="N330" s="406">
        <f t="shared" si="121"/>
        <v>1125.4155175238673</v>
      </c>
      <c r="O330" s="406">
        <f t="shared" si="121"/>
        <v>1367.8159651815997</v>
      </c>
    </row>
    <row r="331" spans="2:15" ht="13.35" customHeight="1">
      <c r="D331" t="s">
        <v>212</v>
      </c>
      <c r="I331" s="357"/>
      <c r="J331" s="357"/>
      <c r="K331" s="406">
        <f>K327*$G$324</f>
        <v>171.78510993275728</v>
      </c>
      <c r="L331" s="406">
        <f t="shared" ref="L331:O331" si="122">L327*$G$324</f>
        <v>192.60710592235122</v>
      </c>
      <c r="M331" s="406">
        <f t="shared" si="122"/>
        <v>214.97330166875878</v>
      </c>
      <c r="N331" s="406">
        <f t="shared" si="122"/>
        <v>242.40044765773246</v>
      </c>
      <c r="O331" s="406">
        <f t="shared" si="122"/>
        <v>277.13643627523783</v>
      </c>
    </row>
    <row r="332" spans="2:15" ht="13.35" customHeight="1">
      <c r="D332" s="107" t="s">
        <v>46</v>
      </c>
      <c r="E332" s="107"/>
      <c r="F332" s="127"/>
      <c r="G332" s="107"/>
      <c r="H332" s="107"/>
      <c r="I332" s="435"/>
      <c r="J332" s="508">
        <v>546.04999999999995</v>
      </c>
      <c r="K332" s="413">
        <f>SUM(K330:K331)</f>
        <v>717.83510993275718</v>
      </c>
      <c r="L332" s="413">
        <f t="shared" ref="L332:O332" si="123">SUM(L330:L331)</f>
        <v>910.44221585510843</v>
      </c>
      <c r="M332" s="413">
        <f t="shared" si="123"/>
        <v>1125.4155175238673</v>
      </c>
      <c r="N332" s="413">
        <f t="shared" si="123"/>
        <v>1367.8159651815997</v>
      </c>
      <c r="O332" s="413">
        <f t="shared" si="123"/>
        <v>1644.9524014568376</v>
      </c>
    </row>
    <row r="333" spans="2:15" ht="13.35" customHeight="1">
      <c r="D333" s="107"/>
      <c r="E333" s="107"/>
      <c r="F333" s="127"/>
      <c r="G333" s="107"/>
      <c r="H333" s="107"/>
      <c r="I333" s="435"/>
      <c r="J333" s="507"/>
      <c r="K333" s="515"/>
      <c r="L333" s="515"/>
      <c r="M333" s="515"/>
      <c r="N333" s="515"/>
      <c r="O333" s="515"/>
    </row>
    <row r="334" spans="2:15" ht="13.35" customHeight="1">
      <c r="B334" s="107"/>
      <c r="C334" s="107" t="s">
        <v>209</v>
      </c>
      <c r="I334" s="357"/>
      <c r="J334" s="357"/>
      <c r="K334" s="357"/>
      <c r="L334" s="357"/>
      <c r="M334" s="357"/>
      <c r="N334" s="357"/>
      <c r="O334" s="357"/>
    </row>
    <row r="335" spans="2:15" ht="13.35" customHeight="1">
      <c r="D335" t="s">
        <v>45</v>
      </c>
      <c r="G335" s="96"/>
      <c r="I335" s="357"/>
      <c r="J335" s="357"/>
      <c r="K335" s="406">
        <f>J337</f>
        <v>326.69</v>
      </c>
      <c r="L335" s="406">
        <f t="shared" ref="L335:O335" si="124">K337</f>
        <v>412.58255496637867</v>
      </c>
      <c r="M335" s="406">
        <f t="shared" si="124"/>
        <v>508.88610792755429</v>
      </c>
      <c r="N335" s="406">
        <f t="shared" si="124"/>
        <v>616.37275876193371</v>
      </c>
      <c r="O335" s="406">
        <f t="shared" si="124"/>
        <v>737.57298259079994</v>
      </c>
    </row>
    <row r="336" spans="2:15" ht="13.35" customHeight="1">
      <c r="D336" t="s">
        <v>211</v>
      </c>
      <c r="I336" s="357"/>
      <c r="J336" s="506"/>
      <c r="K336" s="516">
        <f>K327*$G$325</f>
        <v>85.89255496637864</v>
      </c>
      <c r="L336" s="516">
        <f t="shared" ref="L336:O336" si="125">L327*$G$325</f>
        <v>96.303552961175612</v>
      </c>
      <c r="M336" s="516">
        <f t="shared" si="125"/>
        <v>107.48665083437939</v>
      </c>
      <c r="N336" s="516">
        <f t="shared" si="125"/>
        <v>121.20022382886623</v>
      </c>
      <c r="O336" s="516">
        <f t="shared" si="125"/>
        <v>138.56821813761891</v>
      </c>
    </row>
    <row r="337" spans="1:15" s="107" customFormat="1" ht="13.35" customHeight="1">
      <c r="D337" s="107" t="s">
        <v>46</v>
      </c>
      <c r="F337" s="127"/>
      <c r="I337" s="435"/>
      <c r="J337" s="672">
        <f>J140</f>
        <v>326.69</v>
      </c>
      <c r="K337" s="477">
        <f>SUM(K335:K336)</f>
        <v>412.58255496637867</v>
      </c>
      <c r="L337" s="477">
        <f t="shared" ref="L337:O337" si="126">SUM(L335:L336)</f>
        <v>508.88610792755429</v>
      </c>
      <c r="M337" s="477">
        <f t="shared" si="126"/>
        <v>616.37275876193371</v>
      </c>
      <c r="N337" s="477">
        <f t="shared" si="126"/>
        <v>737.57298259079994</v>
      </c>
      <c r="O337" s="477">
        <f t="shared" si="126"/>
        <v>876.14120072841888</v>
      </c>
    </row>
    <row r="338" spans="1:15" s="107" customFormat="1" ht="13.35" customHeight="1">
      <c r="B338" s="136"/>
      <c r="C338" s="136"/>
      <c r="D338" s="136"/>
      <c r="E338" s="136"/>
      <c r="F338" s="137"/>
      <c r="G338" s="136"/>
      <c r="H338" s="136"/>
      <c r="I338" s="517"/>
      <c r="J338" s="518"/>
      <c r="K338" s="509"/>
      <c r="L338" s="509"/>
      <c r="M338" s="509"/>
      <c r="N338" s="509"/>
      <c r="O338" s="509"/>
    </row>
    <row r="339" spans="1:15">
      <c r="I339" s="357"/>
      <c r="J339" s="357"/>
      <c r="K339" s="357"/>
      <c r="L339" s="357"/>
      <c r="M339" s="357"/>
      <c r="N339" s="357"/>
      <c r="O339" s="357"/>
    </row>
    <row r="340" spans="1:15" ht="12.75" customHeight="1">
      <c r="A340" s="86"/>
      <c r="B340" s="1"/>
      <c r="C340" s="3"/>
      <c r="D340" s="3"/>
      <c r="E340" s="3"/>
      <c r="F340" s="85"/>
      <c r="G340" s="3"/>
      <c r="H340" s="3"/>
      <c r="I340" s="3"/>
      <c r="J340" s="3"/>
      <c r="K340" s="3"/>
      <c r="L340" s="3"/>
      <c r="M340" s="3"/>
      <c r="N340" s="3"/>
      <c r="O340" s="113" t="str">
        <f>$O$1</f>
        <v>CURRENTLY RUNNING: BASE CASE SCENARIO</v>
      </c>
    </row>
    <row r="341" spans="1:15" ht="22.8">
      <c r="B341" s="1" t="str">
        <f>B$2</f>
        <v>Dr Lal PathLabs Ltd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spans="1:15" ht="17.399999999999999">
      <c r="B342" s="88" t="s">
        <v>77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spans="1:15" ht="3" customHeight="1" thickBot="1">
      <c r="A343" s="87"/>
      <c r="B343" s="280"/>
      <c r="C343" s="281"/>
      <c r="D343" s="281"/>
      <c r="E343" s="281"/>
      <c r="F343" s="282"/>
      <c r="G343" s="281"/>
      <c r="H343" s="281"/>
      <c r="I343" s="281"/>
      <c r="J343" s="281"/>
      <c r="K343" s="281"/>
      <c r="L343" s="281"/>
      <c r="M343" s="281"/>
      <c r="N343" s="281"/>
      <c r="O343" s="281"/>
    </row>
    <row r="344" spans="1:15">
      <c r="B344" s="140" t="s">
        <v>120</v>
      </c>
      <c r="F344"/>
      <c r="O344" s="15"/>
    </row>
    <row r="345" spans="1:15">
      <c r="F345"/>
      <c r="H345" s="3"/>
      <c r="I345" s="3"/>
      <c r="J345" s="3"/>
      <c r="K345" s="93" t="s">
        <v>1</v>
      </c>
      <c r="L345" s="16"/>
      <c r="M345" s="16"/>
      <c r="N345" s="16"/>
      <c r="O345" s="16"/>
    </row>
    <row r="346" spans="1:15">
      <c r="F346"/>
      <c r="G346" s="170"/>
      <c r="H346" s="235"/>
      <c r="I346" s="235"/>
      <c r="J346" s="272">
        <f t="shared" ref="J346:O346" si="127">J$7</f>
        <v>2025</v>
      </c>
      <c r="K346" s="274">
        <f t="shared" si="127"/>
        <v>2026</v>
      </c>
      <c r="L346" s="274">
        <f t="shared" si="127"/>
        <v>2027</v>
      </c>
      <c r="M346" s="274">
        <f t="shared" si="127"/>
        <v>2028</v>
      </c>
      <c r="N346" s="274">
        <f t="shared" si="127"/>
        <v>2029</v>
      </c>
      <c r="O346" s="274">
        <f t="shared" si="127"/>
        <v>2030</v>
      </c>
    </row>
    <row r="348" spans="1:15" ht="13.35" customHeight="1">
      <c r="B348" s="107"/>
      <c r="C348" s="107" t="s">
        <v>78</v>
      </c>
      <c r="I348" s="357"/>
      <c r="J348" s="357"/>
      <c r="K348" s="357"/>
      <c r="L348" s="357"/>
      <c r="M348" s="357"/>
      <c r="N348" s="357"/>
      <c r="O348" s="357"/>
    </row>
    <row r="349" spans="1:15" ht="13.35" customHeight="1">
      <c r="D349" t="s">
        <v>45</v>
      </c>
      <c r="G349" s="96"/>
      <c r="I349" s="357"/>
      <c r="J349" s="357"/>
      <c r="K349" s="406">
        <f>J351</f>
        <v>83.59</v>
      </c>
      <c r="L349" s="406">
        <f t="shared" ref="L349:O349" si="128">K351</f>
        <v>83.59</v>
      </c>
      <c r="M349" s="406">
        <f t="shared" si="128"/>
        <v>83.59</v>
      </c>
      <c r="N349" s="406">
        <f t="shared" si="128"/>
        <v>83.59</v>
      </c>
      <c r="O349" s="406">
        <f t="shared" si="128"/>
        <v>83.59</v>
      </c>
    </row>
    <row r="350" spans="1:15" ht="13.35" customHeight="1">
      <c r="D350" t="s">
        <v>85</v>
      </c>
      <c r="I350" s="357"/>
      <c r="J350" s="422"/>
      <c r="K350" s="476">
        <f>Assumptions!J75</f>
        <v>0</v>
      </c>
      <c r="L350" s="476">
        <f>Assumptions!K75</f>
        <v>0</v>
      </c>
      <c r="M350" s="476">
        <f>Assumptions!L75</f>
        <v>0</v>
      </c>
      <c r="N350" s="476">
        <f>Assumptions!M75</f>
        <v>0</v>
      </c>
      <c r="O350" s="476">
        <f>Assumptions!N75</f>
        <v>0</v>
      </c>
    </row>
    <row r="351" spans="1:15" s="107" customFormat="1" ht="13.35" customHeight="1">
      <c r="D351" s="107" t="s">
        <v>46</v>
      </c>
      <c r="F351" s="127"/>
      <c r="I351" s="435"/>
      <c r="J351" s="477">
        <f>J168</f>
        <v>83.59</v>
      </c>
      <c r="K351" s="477">
        <f>SUM(K349:K350)</f>
        <v>83.59</v>
      </c>
      <c r="L351" s="477">
        <f t="shared" ref="L351:O351" si="129">SUM(L349:L350)</f>
        <v>83.59</v>
      </c>
      <c r="M351" s="477">
        <f t="shared" si="129"/>
        <v>83.59</v>
      </c>
      <c r="N351" s="477">
        <f t="shared" si="129"/>
        <v>83.59</v>
      </c>
      <c r="O351" s="477">
        <f t="shared" si="129"/>
        <v>83.59</v>
      </c>
    </row>
    <row r="352" spans="1:15" ht="6" customHeight="1">
      <c r="I352" s="357"/>
      <c r="J352" s="357"/>
      <c r="K352" s="357"/>
      <c r="L352" s="357"/>
      <c r="M352" s="357"/>
      <c r="N352" s="357"/>
      <c r="O352" s="357"/>
    </row>
    <row r="353" spans="2:15" ht="13.35" customHeight="1">
      <c r="D353" t="s">
        <v>79</v>
      </c>
      <c r="I353" s="357"/>
      <c r="J353" s="357"/>
      <c r="K353" s="478">
        <f>Assumptions!N7</f>
        <v>0.45</v>
      </c>
      <c r="L353" s="479">
        <f>K353</f>
        <v>0.45</v>
      </c>
      <c r="M353" s="479">
        <f>L353</f>
        <v>0.45</v>
      </c>
      <c r="N353" s="479">
        <f>M353</f>
        <v>0.45</v>
      </c>
      <c r="O353" s="479">
        <f>N353</f>
        <v>0.45</v>
      </c>
    </row>
    <row r="354" spans="2:15" ht="13.35" customHeight="1">
      <c r="D354" t="s">
        <v>7</v>
      </c>
      <c r="I354" s="357"/>
      <c r="J354" s="357"/>
      <c r="K354" s="406">
        <f>K80</f>
        <v>528.81096474272738</v>
      </c>
      <c r="L354" s="406">
        <f>L80</f>
        <v>598.80477876103305</v>
      </c>
      <c r="M354" s="406">
        <f>M80</f>
        <v>673.49902241516122</v>
      </c>
      <c r="N354" s="406">
        <f>N80</f>
        <v>759.55547636928702</v>
      </c>
      <c r="O354" s="406">
        <f>O80</f>
        <v>867.643284318121</v>
      </c>
    </row>
    <row r="355" spans="2:15" ht="13.35" customHeight="1">
      <c r="C355" s="107"/>
      <c r="D355" s="107" t="s">
        <v>80</v>
      </c>
      <c r="I355" s="357"/>
      <c r="J355" s="357"/>
      <c r="K355" s="413">
        <f>MAX(K354*K353,0)</f>
        <v>237.96493413422732</v>
      </c>
      <c r="L355" s="413">
        <f t="shared" ref="L355:O355" si="130">MAX(L354*L353,0)</f>
        <v>269.46215044246486</v>
      </c>
      <c r="M355" s="413">
        <f t="shared" si="130"/>
        <v>303.07456008682254</v>
      </c>
      <c r="N355" s="413">
        <f t="shared" si="130"/>
        <v>341.79996436617915</v>
      </c>
      <c r="O355" s="413">
        <f t="shared" si="130"/>
        <v>390.43947794315449</v>
      </c>
    </row>
    <row r="356" spans="2:15">
      <c r="I356" s="357"/>
      <c r="J356" s="357"/>
      <c r="K356" s="357"/>
      <c r="L356" s="357"/>
      <c r="M356" s="357"/>
      <c r="N356" s="357"/>
      <c r="O356" s="357"/>
    </row>
    <row r="357" spans="2:15">
      <c r="I357" s="357"/>
      <c r="J357" s="357"/>
      <c r="K357" s="357"/>
      <c r="L357" s="357"/>
      <c r="M357" s="357"/>
      <c r="N357" s="357"/>
      <c r="O357" s="357"/>
    </row>
    <row r="358" spans="2:15" ht="13.35" customHeight="1">
      <c r="B358" s="107"/>
      <c r="C358" s="107" t="s">
        <v>81</v>
      </c>
      <c r="I358" s="357"/>
      <c r="J358" s="357"/>
      <c r="K358" s="357"/>
      <c r="L358" s="357"/>
      <c r="M358" s="357"/>
      <c r="N358" s="357"/>
      <c r="O358" s="357"/>
    </row>
    <row r="359" spans="2:15" ht="13.35" customHeight="1">
      <c r="D359" t="s">
        <v>45</v>
      </c>
      <c r="I359" s="357"/>
      <c r="J359" s="357"/>
      <c r="K359" s="406">
        <f>J362</f>
        <v>1859.95</v>
      </c>
      <c r="L359" s="406">
        <f t="shared" ref="L359:O359" si="131">K362</f>
        <v>2150.7960306085001</v>
      </c>
      <c r="M359" s="406">
        <f t="shared" si="131"/>
        <v>2480.1386589270683</v>
      </c>
      <c r="N359" s="406">
        <f t="shared" si="131"/>
        <v>2850.5631212554067</v>
      </c>
      <c r="O359" s="406">
        <f t="shared" si="131"/>
        <v>3268.3186332585146</v>
      </c>
    </row>
    <row r="360" spans="2:15" ht="13.35" customHeight="1">
      <c r="D360" t="s">
        <v>7</v>
      </c>
      <c r="I360" s="357"/>
      <c r="J360" s="357"/>
      <c r="K360" s="406">
        <f>K80</f>
        <v>528.81096474272738</v>
      </c>
      <c r="L360" s="406">
        <f>L80</f>
        <v>598.80477876103305</v>
      </c>
      <c r="M360" s="406">
        <f>M80</f>
        <v>673.49902241516122</v>
      </c>
      <c r="N360" s="406">
        <f>N80</f>
        <v>759.55547636928702</v>
      </c>
      <c r="O360" s="406">
        <f>O80</f>
        <v>867.643284318121</v>
      </c>
    </row>
    <row r="361" spans="2:15" ht="13.35" customHeight="1">
      <c r="D361" t="s">
        <v>80</v>
      </c>
      <c r="I361" s="357"/>
      <c r="J361" s="422"/>
      <c r="K361" s="419">
        <f>-K355</f>
        <v>-237.96493413422732</v>
      </c>
      <c r="L361" s="419">
        <f t="shared" ref="L361:O361" si="132">-L355</f>
        <v>-269.46215044246486</v>
      </c>
      <c r="M361" s="419">
        <f t="shared" si="132"/>
        <v>-303.07456008682254</v>
      </c>
      <c r="N361" s="419">
        <f t="shared" si="132"/>
        <v>-341.79996436617915</v>
      </c>
      <c r="O361" s="419">
        <f t="shared" si="132"/>
        <v>-390.43947794315449</v>
      </c>
    </row>
    <row r="362" spans="2:15" ht="13.35" customHeight="1">
      <c r="D362" s="107" t="s">
        <v>46</v>
      </c>
      <c r="E362" s="107"/>
      <c r="F362" s="127"/>
      <c r="G362" s="107"/>
      <c r="H362" s="107"/>
      <c r="I362" s="435"/>
      <c r="J362" s="477">
        <f>J169</f>
        <v>1859.95</v>
      </c>
      <c r="K362" s="477">
        <f>SUM(K359:K361)</f>
        <v>2150.7960306085001</v>
      </c>
      <c r="L362" s="477">
        <f t="shared" ref="L362:O362" si="133">SUM(L359:L361)</f>
        <v>2480.1386589270683</v>
      </c>
      <c r="M362" s="477">
        <f t="shared" si="133"/>
        <v>2850.5631212554067</v>
      </c>
      <c r="N362" s="477">
        <f t="shared" si="133"/>
        <v>3268.3186332585146</v>
      </c>
      <c r="O362" s="477">
        <f t="shared" si="133"/>
        <v>3745.5224396334811</v>
      </c>
    </row>
    <row r="363" spans="2:15" ht="13.35" customHeight="1">
      <c r="D363" s="107"/>
      <c r="E363" s="107"/>
      <c r="F363" s="127"/>
      <c r="G363" s="107"/>
      <c r="H363" s="107"/>
      <c r="I363" s="435"/>
      <c r="J363" s="480"/>
      <c r="K363" s="480"/>
      <c r="L363" s="480"/>
      <c r="M363" s="480"/>
      <c r="N363" s="480"/>
      <c r="O363" s="480"/>
    </row>
    <row r="364" spans="2:15" ht="13.35" customHeight="1">
      <c r="D364" s="107"/>
      <c r="E364" s="107"/>
      <c r="F364" s="127"/>
      <c r="G364" s="107"/>
      <c r="H364" s="107"/>
      <c r="I364" s="435"/>
      <c r="J364" s="480"/>
      <c r="K364" s="480"/>
      <c r="L364" s="480"/>
      <c r="M364" s="480"/>
      <c r="N364" s="480"/>
      <c r="O364" s="480"/>
    </row>
    <row r="365" spans="2:15" ht="13.35" customHeight="1">
      <c r="B365" s="107"/>
      <c r="C365" s="107" t="s">
        <v>205</v>
      </c>
      <c r="I365" s="357"/>
      <c r="J365" s="357"/>
      <c r="K365" s="357"/>
      <c r="L365" s="357"/>
      <c r="M365" s="357"/>
      <c r="N365" s="357"/>
      <c r="O365" s="357"/>
    </row>
    <row r="366" spans="2:15" ht="13.35" customHeight="1">
      <c r="D366" t="s">
        <v>45</v>
      </c>
      <c r="I366" s="357"/>
      <c r="J366" s="357"/>
      <c r="K366" s="406">
        <f>J368</f>
        <v>229.17</v>
      </c>
      <c r="L366" s="406">
        <f t="shared" ref="L366:O366" si="134">K368</f>
        <v>234.17</v>
      </c>
      <c r="M366" s="406">
        <f t="shared" si="134"/>
        <v>239.17</v>
      </c>
      <c r="N366" s="406">
        <f t="shared" si="134"/>
        <v>244.17</v>
      </c>
      <c r="O366" s="406">
        <f t="shared" si="134"/>
        <v>249.17</v>
      </c>
    </row>
    <row r="367" spans="2:15" ht="13.35" customHeight="1">
      <c r="D367" t="s">
        <v>206</v>
      </c>
      <c r="I367" s="357"/>
      <c r="J367" s="357"/>
      <c r="K367" s="481">
        <f>Assumptions!J76</f>
        <v>5</v>
      </c>
      <c r="L367" s="481">
        <f>Assumptions!K76</f>
        <v>5</v>
      </c>
      <c r="M367" s="481">
        <f>Assumptions!L76</f>
        <v>5</v>
      </c>
      <c r="N367" s="481">
        <f>Assumptions!M76</f>
        <v>5</v>
      </c>
      <c r="O367" s="481">
        <f>Assumptions!N76</f>
        <v>5</v>
      </c>
    </row>
    <row r="368" spans="2:15" ht="13.35" customHeight="1">
      <c r="D368" s="107" t="s">
        <v>46</v>
      </c>
      <c r="E368" s="107"/>
      <c r="F368" s="127"/>
      <c r="G368" s="107"/>
      <c r="H368" s="107"/>
      <c r="I368" s="435"/>
      <c r="J368" s="413">
        <f>J170</f>
        <v>229.17</v>
      </c>
      <c r="K368" s="413">
        <f>SUM(K366:K367)</f>
        <v>234.17</v>
      </c>
      <c r="L368" s="413">
        <f t="shared" ref="L368:O368" si="135">SUM(L366:L367)</f>
        <v>239.17</v>
      </c>
      <c r="M368" s="413">
        <f t="shared" si="135"/>
        <v>244.17</v>
      </c>
      <c r="N368" s="413">
        <f t="shared" si="135"/>
        <v>249.17</v>
      </c>
      <c r="O368" s="413">
        <f t="shared" si="135"/>
        <v>254.17</v>
      </c>
    </row>
    <row r="369" spans="2:15">
      <c r="B369" s="10"/>
      <c r="C369" s="10"/>
      <c r="D369" s="10"/>
      <c r="E369" s="10"/>
      <c r="F369" s="112"/>
      <c r="G369" s="10"/>
      <c r="H369" s="10"/>
      <c r="I369" s="10"/>
      <c r="J369" s="10"/>
      <c r="K369" s="10"/>
      <c r="L369" s="10"/>
      <c r="M369" s="10"/>
      <c r="N369" s="10"/>
      <c r="O369" s="10"/>
    </row>
  </sheetData>
  <sheetProtection formatCells="0" formatColumns="0" formatRows="0" insertColumns="0" insertRows="0"/>
  <phoneticPr fontId="0" type="noConversion"/>
  <printOptions horizontalCentered="1"/>
  <pageMargins left="0.25" right="0.25" top="0.25" bottom="0.25" header="0.25" footer="0.25"/>
  <pageSetup scale="94" orientation="landscape" r:id="rId1"/>
  <headerFooter alignWithMargins="0">
    <oddFooter>&amp;CPage &amp;P of &amp;N</oddFooter>
  </headerFooter>
  <rowBreaks count="11" manualBreakCount="11">
    <brk id="18" min="1" max="14" man="1"/>
    <brk id="47" min="1" max="14" man="1"/>
    <brk id="88" min="1" max="14" man="1"/>
    <brk id="128" min="1" max="14" man="1"/>
    <brk id="177" min="1" max="14" man="1"/>
    <brk id="213" min="1" max="14" man="1"/>
    <brk id="236" min="1" max="14" man="1"/>
    <brk id="257" min="1" max="14" man="1"/>
    <brk id="284" min="1" max="14" man="1"/>
    <brk id="316" min="1" max="14" man="1"/>
    <brk id="339" min="1" max="14" man="1"/>
  </rowBreaks>
  <colBreaks count="1" manualBreakCount="1">
    <brk id="1" max="1048575" man="1"/>
  </colBreaks>
  <ignoredErrors>
    <ignoredError sqref="H97:J99 H151:J151 K151:O151" unlockedFormula="1"/>
    <ignoredError sqref="K147:O147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"/>
  <sheetViews>
    <sheetView showGridLines="0" zoomScale="85" zoomScaleNormal="85" workbookViewId="0">
      <selection activeCell="N46" sqref="N46"/>
    </sheetView>
  </sheetViews>
  <sheetFormatPr defaultRowHeight="13.2"/>
  <cols>
    <col min="1" max="1" width="3.109375" customWidth="1"/>
    <col min="2" max="2" width="8" customWidth="1"/>
    <col min="3" max="3" width="5" customWidth="1"/>
    <col min="4" max="4" width="2.44140625" customWidth="1"/>
    <col min="5" max="5" width="2.33203125" customWidth="1"/>
    <col min="7" max="7" width="10.6640625" bestFit="1" customWidth="1"/>
    <col min="8" max="8" width="9.88671875" customWidth="1"/>
    <col min="9" max="12" width="10.6640625" bestFit="1" customWidth="1"/>
    <col min="13" max="13" width="10.88671875" customWidth="1"/>
    <col min="14" max="14" width="13" customWidth="1"/>
    <col min="15" max="16" width="9.6640625" bestFit="1" customWidth="1"/>
  </cols>
  <sheetData>
    <row r="1" spans="1:15" ht="12.75" customHeight="1">
      <c r="A1" s="84"/>
      <c r="B1" s="2"/>
      <c r="C1" s="3"/>
      <c r="D1" s="3"/>
      <c r="E1" s="3"/>
      <c r="F1" s="85"/>
      <c r="G1" s="3"/>
      <c r="H1" s="3"/>
      <c r="I1" s="3"/>
      <c r="J1" s="3"/>
      <c r="K1" s="3"/>
      <c r="L1" s="3"/>
      <c r="M1" s="3"/>
      <c r="N1" s="3"/>
      <c r="O1" s="535" t="str">
        <f>UPPER("Currently Running: "&amp;CHOOSE(Scenarios!$D$6,Scenarios!C14,Scenarios!C15,Scenarios!C16)&amp;" Scenario")</f>
        <v>CURRENTLY RUNNING: BASE CASE SCENARIO</v>
      </c>
    </row>
    <row r="2" spans="1:15" ht="22.8">
      <c r="A2" s="86"/>
      <c r="B2" s="1" t="str">
        <f>Scenarios!B1</f>
        <v>Dr Lal PathLabs Ltd</v>
      </c>
      <c r="C2" s="3"/>
      <c r="D2" s="3"/>
      <c r="E2" s="3"/>
      <c r="F2" s="85"/>
      <c r="G2" s="3"/>
      <c r="H2" s="3"/>
      <c r="I2" s="3"/>
      <c r="J2" s="3"/>
      <c r="K2" s="3"/>
      <c r="L2" s="3"/>
      <c r="M2" s="3"/>
      <c r="N2" s="3"/>
      <c r="O2" s="3"/>
    </row>
    <row r="3" spans="1:15" ht="17.399999999999999">
      <c r="A3" s="87"/>
      <c r="B3" s="88" t="s">
        <v>228</v>
      </c>
      <c r="C3" s="89"/>
      <c r="D3" s="89"/>
      <c r="E3" s="89"/>
      <c r="F3" s="90"/>
      <c r="G3" s="89"/>
      <c r="H3" s="89"/>
      <c r="I3" s="89"/>
      <c r="J3" s="89"/>
      <c r="K3" s="89"/>
      <c r="L3" s="89"/>
      <c r="M3" s="89"/>
      <c r="N3" s="89"/>
      <c r="O3" s="89"/>
    </row>
    <row r="4" spans="1:15" ht="3" customHeight="1" thickBot="1">
      <c r="A4" s="87"/>
      <c r="B4" s="280"/>
      <c r="C4" s="281"/>
      <c r="D4" s="281"/>
      <c r="E4" s="281"/>
      <c r="F4" s="282"/>
      <c r="G4" s="281"/>
      <c r="H4" s="281"/>
      <c r="I4" s="281"/>
      <c r="J4" s="281"/>
      <c r="K4" s="281"/>
      <c r="L4" s="281"/>
      <c r="M4" s="281"/>
      <c r="N4" s="281"/>
      <c r="O4" s="281"/>
    </row>
    <row r="5" spans="1:15" ht="12.75" customHeight="1">
      <c r="A5" s="88"/>
      <c r="B5" s="140" t="s">
        <v>120</v>
      </c>
      <c r="C5" s="89"/>
      <c r="D5" s="89"/>
      <c r="E5" s="89"/>
      <c r="F5" s="90"/>
      <c r="G5" s="89"/>
      <c r="H5" s="89"/>
      <c r="I5" s="89"/>
      <c r="J5" s="89"/>
      <c r="K5" s="89"/>
      <c r="L5" s="89"/>
      <c r="M5" s="89"/>
      <c r="N5" s="89"/>
      <c r="O5" s="89"/>
    </row>
    <row r="6" spans="1:15">
      <c r="F6" s="91"/>
      <c r="G6" s="92"/>
      <c r="K6" s="93" t="s">
        <v>1</v>
      </c>
      <c r="L6" s="16"/>
      <c r="M6" s="16"/>
      <c r="N6" s="16"/>
      <c r="O6" s="16"/>
    </row>
    <row r="7" spans="1:15">
      <c r="F7" s="91"/>
      <c r="G7" s="17"/>
      <c r="H7" s="272"/>
      <c r="I7" s="272"/>
      <c r="J7" s="272">
        <f>K7-1</f>
        <v>2025</v>
      </c>
      <c r="K7" s="107">
        <f>Scenarios!G6</f>
        <v>2026</v>
      </c>
      <c r="L7" s="107">
        <f>Scenarios!H6</f>
        <v>2027</v>
      </c>
      <c r="M7" s="107">
        <f>Scenarios!I6</f>
        <v>2028</v>
      </c>
      <c r="N7" s="107">
        <f>Scenarios!J6</f>
        <v>2029</v>
      </c>
      <c r="O7" s="107">
        <f>Scenarios!K6</f>
        <v>2030</v>
      </c>
    </row>
    <row r="8" spans="1:15">
      <c r="B8" s="24" t="s">
        <v>202</v>
      </c>
      <c r="C8" s="556">
        <f>Assumptions!N33</f>
        <v>0.25</v>
      </c>
      <c r="F8" s="91"/>
      <c r="G8" s="17"/>
      <c r="H8" s="272"/>
      <c r="I8" s="272"/>
      <c r="J8" s="272"/>
      <c r="K8" s="107"/>
      <c r="L8" s="107"/>
      <c r="M8" s="107"/>
      <c r="N8" s="107"/>
      <c r="O8" s="107"/>
    </row>
    <row r="9" spans="1:15">
      <c r="B9" s="11" t="s">
        <v>233</v>
      </c>
      <c r="C9" s="563">
        <f>Assumptions!N10</f>
        <v>9.5000000000000001E-2</v>
      </c>
      <c r="F9" s="91"/>
      <c r="G9" s="17"/>
      <c r="H9" s="272"/>
      <c r="I9" s="272"/>
      <c r="J9" s="272"/>
      <c r="K9" s="107"/>
      <c r="L9" s="107"/>
      <c r="M9" s="107"/>
      <c r="N9" s="107"/>
      <c r="O9" s="107"/>
    </row>
    <row r="10" spans="1:15">
      <c r="D10" t="s">
        <v>6</v>
      </c>
      <c r="K10" s="325">
        <f>Model!K71</f>
        <v>724.0812863236365</v>
      </c>
      <c r="L10" s="325">
        <f>Model!L71</f>
        <v>820.40637168137732</v>
      </c>
      <c r="M10" s="325">
        <f>Model!M71</f>
        <v>924.12369655354826</v>
      </c>
      <c r="N10" s="325">
        <f>Model!N71</f>
        <v>1043.3656351590494</v>
      </c>
      <c r="O10" s="325">
        <f>Model!O71</f>
        <v>1193.4827124241613</v>
      </c>
    </row>
    <row r="11" spans="1:15">
      <c r="D11" t="s">
        <v>229</v>
      </c>
      <c r="K11" s="558">
        <f>-K10*$C$8</f>
        <v>-181.02032158090913</v>
      </c>
      <c r="L11" s="558">
        <f t="shared" ref="L11:O11" si="0">-L10*$C$8</f>
        <v>-205.10159292034433</v>
      </c>
      <c r="M11" s="558">
        <f t="shared" si="0"/>
        <v>-231.03092413838706</v>
      </c>
      <c r="N11" s="558">
        <f t="shared" si="0"/>
        <v>-260.84140878976234</v>
      </c>
      <c r="O11" s="558">
        <f t="shared" si="0"/>
        <v>-298.37067810604032</v>
      </c>
    </row>
    <row r="12" spans="1:15" s="107" customFormat="1">
      <c r="D12" s="107" t="s">
        <v>230</v>
      </c>
      <c r="K12" s="559">
        <f>SUM(K10:K11)</f>
        <v>543.06096474272738</v>
      </c>
      <c r="L12" s="559">
        <f t="shared" ref="L12:O12" si="1">SUM(L10:L11)</f>
        <v>615.30477876103305</v>
      </c>
      <c r="M12" s="559">
        <f t="shared" si="1"/>
        <v>693.09277241516122</v>
      </c>
      <c r="N12" s="559">
        <f t="shared" si="1"/>
        <v>782.52422636928702</v>
      </c>
      <c r="O12" s="559">
        <f t="shared" si="1"/>
        <v>895.112034318121</v>
      </c>
    </row>
    <row r="13" spans="1:15" ht="4.2" customHeight="1"/>
    <row r="14" spans="1:15">
      <c r="D14" t="s">
        <v>5</v>
      </c>
      <c r="K14" s="557">
        <f>Model!K98</f>
        <v>136.95836363636363</v>
      </c>
      <c r="L14" s="557">
        <f>Model!L98</f>
        <v>148.53336363636365</v>
      </c>
      <c r="M14" s="557">
        <f>Model!M98</f>
        <v>160.98336363636363</v>
      </c>
      <c r="N14" s="557">
        <f>Model!N98</f>
        <v>176.73336363636361</v>
      </c>
      <c r="O14" s="557">
        <f>Model!O98</f>
        <v>160.59654545454546</v>
      </c>
    </row>
    <row r="15" spans="1:15">
      <c r="D15" t="s">
        <v>37</v>
      </c>
      <c r="K15" s="557">
        <f>Model!K107</f>
        <v>-55</v>
      </c>
      <c r="L15" s="557">
        <f>Model!L107</f>
        <v>-60</v>
      </c>
      <c r="M15" s="557">
        <f>Model!M107</f>
        <v>-60</v>
      </c>
      <c r="N15" s="557">
        <f>Model!N107</f>
        <v>-75</v>
      </c>
      <c r="O15" s="557">
        <f>Model!O107</f>
        <v>-75</v>
      </c>
    </row>
    <row r="16" spans="1:15">
      <c r="D16" t="s">
        <v>76</v>
      </c>
      <c r="K16" s="560">
        <f>Model!K101</f>
        <v>13.542823095200021</v>
      </c>
      <c r="L16" s="560">
        <f>Model!L101</f>
        <v>11.478621001581587</v>
      </c>
      <c r="M16" s="560">
        <f>Model!M101</f>
        <v>19.074963574674399</v>
      </c>
      <c r="N16" s="560">
        <f>Model!N101</f>
        <v>16.590959388655591</v>
      </c>
      <c r="O16" s="560">
        <f>Model!O101</f>
        <v>28.433074969772889</v>
      </c>
    </row>
    <row r="17" spans="1:15" ht="4.2" customHeight="1">
      <c r="K17" s="557"/>
      <c r="L17" s="557"/>
      <c r="M17" s="557"/>
      <c r="N17" s="557"/>
      <c r="O17" s="557"/>
    </row>
    <row r="18" spans="1:15" s="107" customFormat="1">
      <c r="D18" s="107" t="s">
        <v>231</v>
      </c>
      <c r="K18" s="561">
        <f>SUM(K12:K16)</f>
        <v>638.562151474291</v>
      </c>
      <c r="L18" s="561">
        <f t="shared" ref="L18:O18" si="2">SUM(L12:L16)</f>
        <v>715.31676339897831</v>
      </c>
      <c r="M18" s="561">
        <f t="shared" si="2"/>
        <v>813.1510996261992</v>
      </c>
      <c r="N18" s="561">
        <f t="shared" si="2"/>
        <v>900.84854939430625</v>
      </c>
      <c r="O18" s="561">
        <f t="shared" si="2"/>
        <v>1009.1416547424394</v>
      </c>
    </row>
    <row r="19" spans="1:15" ht="6" customHeight="1"/>
    <row r="20" spans="1:15" s="107" customFormat="1" ht="13.8" thickBot="1">
      <c r="D20" s="107" t="s">
        <v>234</v>
      </c>
      <c r="K20" s="566">
        <f>K18/(1+$C$9)^(K7-$J$7)</f>
        <v>583.16178216830235</v>
      </c>
      <c r="L20" s="566">
        <f t="shared" ref="L20:O20" si="3">L18/(1+$C$9)^(L7-$J$7)</f>
        <v>596.58202572838627</v>
      </c>
      <c r="M20" s="566">
        <f t="shared" si="3"/>
        <v>619.33966677164108</v>
      </c>
      <c r="N20" s="566">
        <f t="shared" si="3"/>
        <v>626.60709328070493</v>
      </c>
      <c r="O20" s="566">
        <f t="shared" si="3"/>
        <v>641.034697280714</v>
      </c>
    </row>
    <row r="21" spans="1:15" ht="13.8" thickTop="1"/>
    <row r="22" spans="1:15" s="107" customFormat="1">
      <c r="D22" s="564" t="s">
        <v>238</v>
      </c>
      <c r="E22" s="565"/>
      <c r="F22" s="565"/>
      <c r="G22" s="565"/>
      <c r="H22" s="565"/>
      <c r="I22" s="565"/>
      <c r="J22" s="565"/>
      <c r="K22" s="565"/>
      <c r="L22" s="565"/>
      <c r="M22" s="565"/>
      <c r="N22" s="565"/>
      <c r="O22" s="567">
        <f>SUM(K20:O20)</f>
        <v>3066.7252652297484</v>
      </c>
    </row>
    <row r="23" spans="1:15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5" spans="1:15" ht="12.75" customHeight="1">
      <c r="A25" s="86"/>
      <c r="B25" s="1"/>
      <c r="C25" s="3"/>
      <c r="D25" s="3"/>
      <c r="E25" s="3"/>
      <c r="F25" s="85"/>
      <c r="G25" s="3"/>
      <c r="H25" s="3"/>
      <c r="I25" s="3"/>
      <c r="J25" s="3"/>
      <c r="K25" s="3"/>
      <c r="L25" s="3"/>
      <c r="M25" s="3"/>
      <c r="N25" s="3"/>
      <c r="O25" s="113" t="str">
        <f>$O$1</f>
        <v>CURRENTLY RUNNING: BASE CASE SCENARIO</v>
      </c>
    </row>
    <row r="26" spans="1:15" ht="22.8">
      <c r="B26" s="1" t="str">
        <f>B$2</f>
        <v>Dr Lal PathLabs Ltd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3" customHeight="1" thickBot="1">
      <c r="A27" s="87"/>
      <c r="B27" s="280"/>
      <c r="C27" s="281"/>
      <c r="D27" s="281"/>
      <c r="E27" s="281"/>
      <c r="F27" s="282"/>
      <c r="G27" s="281"/>
      <c r="H27" s="281"/>
      <c r="I27" s="281"/>
      <c r="J27" s="281"/>
      <c r="K27" s="281"/>
      <c r="L27" s="281"/>
      <c r="M27" s="281"/>
      <c r="N27" s="281"/>
      <c r="O27" s="281"/>
    </row>
    <row r="28" spans="1:15">
      <c r="B28" s="140"/>
      <c r="O28" s="15"/>
    </row>
    <row r="29" spans="1:15">
      <c r="D29" s="597"/>
      <c r="E29" s="570" t="s">
        <v>270</v>
      </c>
      <c r="F29" s="571"/>
      <c r="G29" s="571"/>
      <c r="H29" s="571"/>
      <c r="I29" s="571"/>
      <c r="J29" s="571"/>
      <c r="K29" s="571"/>
      <c r="L29" s="571"/>
      <c r="M29" s="572"/>
      <c r="N29" s="597"/>
    </row>
    <row r="30" spans="1:15" ht="3" customHeight="1">
      <c r="D30" s="594"/>
      <c r="E30" s="573"/>
      <c r="F30" s="569"/>
      <c r="G30" s="569"/>
      <c r="H30" s="569"/>
      <c r="I30" s="569"/>
      <c r="J30" s="569"/>
      <c r="K30" s="569"/>
      <c r="L30" s="569"/>
      <c r="M30" s="574"/>
      <c r="N30" s="594"/>
    </row>
    <row r="31" spans="1:15">
      <c r="E31" s="575"/>
      <c r="F31" s="327" t="s">
        <v>239</v>
      </c>
      <c r="G31" s="327"/>
      <c r="H31" s="327"/>
      <c r="I31" s="587" t="s">
        <v>162</v>
      </c>
      <c r="J31" s="327"/>
      <c r="K31" s="327"/>
      <c r="L31" s="327"/>
      <c r="M31" s="576">
        <f>Model!O68</f>
        <v>1354.0792578787068</v>
      </c>
    </row>
    <row r="32" spans="1:15">
      <c r="E32" s="575"/>
      <c r="F32" s="327" t="s">
        <v>235</v>
      </c>
      <c r="G32" s="327"/>
      <c r="H32" s="327"/>
      <c r="I32" s="587"/>
      <c r="J32" s="327"/>
      <c r="K32" s="327"/>
      <c r="L32" s="327"/>
      <c r="M32" s="577">
        <f>Assumptions!N9</f>
        <v>25</v>
      </c>
    </row>
    <row r="33" spans="5:16">
      <c r="E33" s="575"/>
      <c r="F33" s="327" t="s">
        <v>240</v>
      </c>
      <c r="G33" s="327"/>
      <c r="H33" s="327"/>
      <c r="I33" s="587" t="s">
        <v>162</v>
      </c>
      <c r="J33" s="327"/>
      <c r="K33" s="327"/>
      <c r="L33" s="327"/>
      <c r="M33" s="578">
        <f>M31*M32</f>
        <v>33851.981446967671</v>
      </c>
    </row>
    <row r="34" spans="5:16">
      <c r="E34" s="575"/>
      <c r="F34" s="327" t="s">
        <v>241</v>
      </c>
      <c r="G34" s="327"/>
      <c r="H34" s="327"/>
      <c r="I34" s="587" t="s">
        <v>162</v>
      </c>
      <c r="J34" s="327"/>
      <c r="K34" s="327"/>
      <c r="L34" s="327"/>
      <c r="M34" s="576">
        <f>M33/(1+$C$9)^(O7-$J$7)</f>
        <v>21503.715139722161</v>
      </c>
    </row>
    <row r="35" spans="5:16" ht="4.2" customHeight="1">
      <c r="E35" s="575"/>
      <c r="F35" s="327"/>
      <c r="G35" s="327"/>
      <c r="H35" s="327"/>
      <c r="I35" s="587"/>
      <c r="J35" s="327"/>
      <c r="K35" s="327"/>
      <c r="L35" s="327"/>
      <c r="M35" s="576"/>
    </row>
    <row r="36" spans="5:16">
      <c r="E36" s="575"/>
      <c r="F36" s="327" t="s">
        <v>242</v>
      </c>
      <c r="G36" s="327"/>
      <c r="H36" s="327"/>
      <c r="I36" s="587" t="s">
        <v>162</v>
      </c>
      <c r="J36" s="327"/>
      <c r="K36" s="327"/>
      <c r="L36" s="327"/>
      <c r="M36" s="576">
        <f>O22</f>
        <v>3066.7252652297484</v>
      </c>
    </row>
    <row r="37" spans="5:16">
      <c r="E37" s="575"/>
      <c r="F37" s="327" t="s">
        <v>244</v>
      </c>
      <c r="G37" s="327"/>
      <c r="H37" s="327"/>
      <c r="I37" s="587" t="s">
        <v>162</v>
      </c>
      <c r="J37" s="327"/>
      <c r="K37" s="327"/>
      <c r="L37" s="327"/>
      <c r="M37" s="578">
        <f>M34</f>
        <v>21503.715139722161</v>
      </c>
    </row>
    <row r="38" spans="5:16" s="107" customFormat="1" ht="13.8" thickBot="1">
      <c r="E38" s="581"/>
      <c r="F38" s="434" t="s">
        <v>271</v>
      </c>
      <c r="G38" s="434"/>
      <c r="H38" s="434"/>
      <c r="I38" s="587" t="s">
        <v>162</v>
      </c>
      <c r="J38" s="434"/>
      <c r="K38" s="434"/>
      <c r="L38" s="434"/>
      <c r="M38" s="582">
        <f>SUM(M36:M37)</f>
        <v>24570.440404951907</v>
      </c>
    </row>
    <row r="39" spans="5:16" ht="5.4" customHeight="1" thickTop="1">
      <c r="E39" s="575"/>
      <c r="F39" s="327"/>
      <c r="G39" s="327"/>
      <c r="H39" s="327"/>
      <c r="I39" s="587"/>
      <c r="J39" s="327"/>
      <c r="K39" s="327"/>
      <c r="L39" s="327"/>
      <c r="M39" s="576"/>
    </row>
    <row r="40" spans="5:16">
      <c r="E40" s="575"/>
      <c r="F40" s="327" t="s">
        <v>245</v>
      </c>
      <c r="G40" s="327"/>
      <c r="H40" s="327"/>
      <c r="I40" s="587" t="s">
        <v>162</v>
      </c>
      <c r="J40" s="327"/>
      <c r="K40" s="327"/>
      <c r="L40" s="327"/>
      <c r="M40" s="576">
        <f>Model!K137</f>
        <v>1128.6195440085839</v>
      </c>
    </row>
    <row r="41" spans="5:16">
      <c r="E41" s="575"/>
      <c r="F41" s="327" t="s">
        <v>246</v>
      </c>
      <c r="G41" s="327"/>
      <c r="H41" s="327"/>
      <c r="I41" s="587" t="s">
        <v>162</v>
      </c>
      <c r="J41" s="327"/>
      <c r="K41" s="327"/>
      <c r="L41" s="327"/>
      <c r="M41" s="583">
        <f>-(Model!K157+Model!K164+Model!K165)</f>
        <v>-136.04500000000002</v>
      </c>
    </row>
    <row r="42" spans="5:16" s="107" customFormat="1" ht="13.8" thickBot="1">
      <c r="E42" s="581"/>
      <c r="F42" s="434" t="s">
        <v>272</v>
      </c>
      <c r="G42" s="434"/>
      <c r="H42" s="434"/>
      <c r="I42" s="587" t="s">
        <v>162</v>
      </c>
      <c r="J42" s="434"/>
      <c r="K42" s="434"/>
      <c r="L42" s="434"/>
      <c r="M42" s="582">
        <f>SUM(M38:M41)</f>
        <v>25563.014948960492</v>
      </c>
    </row>
    <row r="43" spans="5:16" ht="13.8" thickTop="1">
      <c r="E43" s="575"/>
      <c r="F43" s="327" t="s">
        <v>243</v>
      </c>
      <c r="G43" s="327"/>
      <c r="H43" s="327"/>
      <c r="I43" s="587" t="s">
        <v>162</v>
      </c>
      <c r="J43" s="327"/>
      <c r="K43" s="327"/>
      <c r="L43" s="327"/>
      <c r="M43" s="584">
        <f>Assumptions!N8</f>
        <v>8.36</v>
      </c>
    </row>
    <row r="44" spans="5:16" ht="13.8" thickBot="1">
      <c r="E44" s="575"/>
      <c r="F44" s="434" t="s">
        <v>273</v>
      </c>
      <c r="G44" s="434"/>
      <c r="H44" s="327"/>
      <c r="I44" s="587" t="s">
        <v>247</v>
      </c>
      <c r="J44" s="434"/>
      <c r="K44" s="434"/>
      <c r="L44" s="434"/>
      <c r="M44" s="582">
        <f>M42/M43</f>
        <v>3057.7769077703938</v>
      </c>
    </row>
    <row r="45" spans="5:16" s="107" customFormat="1" ht="4.2" customHeight="1" thickTop="1">
      <c r="E45" s="579"/>
      <c r="F45" s="580"/>
      <c r="G45" s="580"/>
      <c r="H45" s="580"/>
      <c r="I45" s="580"/>
      <c r="J45" s="580"/>
      <c r="K45" s="580"/>
      <c r="L45" s="580"/>
      <c r="M45" s="586"/>
      <c r="P45" s="585"/>
    </row>
    <row r="46" spans="5:16">
      <c r="P46" s="325"/>
    </row>
    <row r="47" spans="5:16">
      <c r="P47" s="325"/>
    </row>
    <row r="48" spans="5:16">
      <c r="E48" s="570" t="s">
        <v>248</v>
      </c>
      <c r="F48" s="571"/>
      <c r="G48" s="571"/>
      <c r="H48" s="571"/>
      <c r="I48" s="571"/>
      <c r="J48" s="571"/>
      <c r="K48" s="571"/>
      <c r="L48" s="571"/>
      <c r="M48" s="572"/>
    </row>
    <row r="49" spans="3:19" ht="3" customHeight="1">
      <c r="E49" s="602"/>
      <c r="F49" s="569"/>
      <c r="G49" s="569"/>
      <c r="H49" s="569"/>
      <c r="I49" s="569"/>
      <c r="J49" s="569"/>
      <c r="K49" s="569"/>
      <c r="L49" s="569"/>
      <c r="M49" s="574"/>
      <c r="R49" s="595"/>
      <c r="S49" s="594"/>
    </row>
    <row r="50" spans="3:19" ht="13.8" thickBot="1">
      <c r="C50" s="327"/>
      <c r="D50" s="596"/>
      <c r="E50" s="603" t="s">
        <v>249</v>
      </c>
      <c r="F50" s="596"/>
      <c r="G50" s="596"/>
      <c r="H50" s="596"/>
      <c r="I50" s="596"/>
      <c r="J50" s="596"/>
      <c r="K50" s="596"/>
      <c r="L50" s="596"/>
      <c r="M50" s="604"/>
    </row>
    <row r="51" spans="3:19">
      <c r="C51" s="568"/>
      <c r="D51" s="568"/>
      <c r="E51" s="605"/>
      <c r="F51" s="592"/>
      <c r="G51" s="592"/>
      <c r="H51" s="592"/>
      <c r="I51" s="592"/>
      <c r="J51" s="592"/>
      <c r="K51" s="592"/>
      <c r="L51" s="592"/>
      <c r="M51" s="606"/>
    </row>
    <row r="52" spans="3:19" ht="13.8" thickBot="1">
      <c r="E52" s="575"/>
      <c r="F52" s="327"/>
      <c r="G52" s="593"/>
      <c r="H52" s="590" t="s">
        <v>235</v>
      </c>
      <c r="I52" s="591"/>
      <c r="J52" s="591"/>
      <c r="K52" s="591"/>
      <c r="L52" s="591"/>
      <c r="M52" s="607"/>
      <c r="N52" s="593"/>
      <c r="Q52" s="599" t="s">
        <v>251</v>
      </c>
      <c r="R52" s="600"/>
    </row>
    <row r="53" spans="3:19">
      <c r="E53" s="575"/>
      <c r="F53" s="327" t="s">
        <v>250</v>
      </c>
      <c r="G53" s="608">
        <f>M38</f>
        <v>24570.440404951907</v>
      </c>
      <c r="H53" s="609">
        <f>I53-R54</f>
        <v>21</v>
      </c>
      <c r="I53" s="609">
        <f>J53-R54</f>
        <v>23</v>
      </c>
      <c r="J53" s="610">
        <f>Assumptions!N9</f>
        <v>25</v>
      </c>
      <c r="K53" s="609">
        <f>J53+R54</f>
        <v>27</v>
      </c>
      <c r="L53" s="609">
        <f>K53+R54</f>
        <v>29</v>
      </c>
      <c r="M53" s="607"/>
      <c r="Q53" s="6"/>
      <c r="R53" s="588"/>
    </row>
    <row r="54" spans="3:19">
      <c r="E54" s="575"/>
      <c r="F54" s="589"/>
      <c r="G54" s="611">
        <f>G55-R55</f>
        <v>8.4999999999999992E-2</v>
      </c>
      <c r="H54" s="614">
        <f t="dataTable" ref="H54:L58" dt2D="1" dtr="1" r1="M32" r2="C9" ca="1"/>
        <v>22064.951396548782</v>
      </c>
      <c r="I54" s="615">
        <v>23865.999822992853</v>
      </c>
      <c r="J54" s="615">
        <v>25667.048249436928</v>
      </c>
      <c r="K54" s="615">
        <v>27468.096675881003</v>
      </c>
      <c r="L54" s="615">
        <v>29269.14510232507</v>
      </c>
      <c r="M54" s="607"/>
      <c r="Q54" s="6" t="s">
        <v>252</v>
      </c>
      <c r="R54" s="601">
        <v>2</v>
      </c>
    </row>
    <row r="55" spans="3:19">
      <c r="E55" s="575"/>
      <c r="F55" s="588"/>
      <c r="G55" s="611">
        <f>G56-R55</f>
        <v>0.09</v>
      </c>
      <c r="H55" s="616">
        <v>21591.093942971285</v>
      </c>
      <c r="I55" s="617">
        <v>23351.211161433166</v>
      </c>
      <c r="J55" s="617">
        <v>25111.328379895054</v>
      </c>
      <c r="K55" s="617">
        <v>26871.445598356939</v>
      </c>
      <c r="L55" s="617">
        <v>28631.562816818823</v>
      </c>
      <c r="M55" s="607"/>
      <c r="Q55" s="11" t="s">
        <v>253</v>
      </c>
      <c r="R55" s="598">
        <v>5.0000000000000001E-3</v>
      </c>
    </row>
    <row r="56" spans="3:19">
      <c r="E56" s="575"/>
      <c r="F56" s="589" t="s">
        <v>232</v>
      </c>
      <c r="G56" s="612">
        <f>Assumptions!N10</f>
        <v>9.5000000000000001E-2</v>
      </c>
      <c r="H56" s="616">
        <v>21129.845982596366</v>
      </c>
      <c r="I56" s="617">
        <v>22850.143193774136</v>
      </c>
      <c r="J56" s="617">
        <v>24570.440404951907</v>
      </c>
      <c r="K56" s="617">
        <v>26290.737616129685</v>
      </c>
      <c r="L56" s="617">
        <v>28011.034827307449</v>
      </c>
      <c r="M56" s="607"/>
    </row>
    <row r="57" spans="3:19">
      <c r="E57" s="575"/>
      <c r="F57" s="588"/>
      <c r="G57" s="611">
        <f>G56+R55</f>
        <v>0.1</v>
      </c>
      <c r="H57" s="616">
        <v>20680.814004963806</v>
      </c>
      <c r="I57" s="617">
        <v>22362.367373621815</v>
      </c>
      <c r="J57" s="617">
        <v>24043.920742279828</v>
      </c>
      <c r="K57" s="617">
        <v>25725.474110937837</v>
      </c>
      <c r="L57" s="617">
        <v>27407.027479595847</v>
      </c>
      <c r="M57" s="607"/>
    </row>
    <row r="58" spans="3:19">
      <c r="E58" s="575"/>
      <c r="F58" s="588"/>
      <c r="G58" s="611">
        <f>G57+R55</f>
        <v>0.10500000000000001</v>
      </c>
      <c r="H58" s="616">
        <v>20243.618527562714</v>
      </c>
      <c r="I58" s="617">
        <v>21887.470439348865</v>
      </c>
      <c r="J58" s="617">
        <v>23531.322351135022</v>
      </c>
      <c r="K58" s="617">
        <v>25175.174262921177</v>
      </c>
      <c r="L58" s="617">
        <v>26819.026174707327</v>
      </c>
      <c r="M58" s="607"/>
    </row>
    <row r="59" spans="3:19">
      <c r="E59" s="575"/>
      <c r="F59" s="327"/>
      <c r="G59" s="611"/>
      <c r="H59" s="327"/>
      <c r="I59" s="327"/>
      <c r="J59" s="327"/>
      <c r="K59" s="327"/>
      <c r="L59" s="327"/>
      <c r="M59" s="607"/>
    </row>
    <row r="60" spans="3:19">
      <c r="E60" s="575"/>
      <c r="F60" s="327"/>
      <c r="G60" s="327"/>
      <c r="H60" s="327"/>
      <c r="I60" s="327"/>
      <c r="J60" s="327"/>
      <c r="K60" s="327"/>
      <c r="L60" s="327"/>
      <c r="M60" s="607"/>
    </row>
    <row r="61" spans="3:19" ht="13.8" thickBot="1">
      <c r="C61" s="327"/>
      <c r="D61" s="596"/>
      <c r="E61" s="603" t="s">
        <v>274</v>
      </c>
      <c r="F61" s="596"/>
      <c r="G61" s="596"/>
      <c r="H61" s="596"/>
      <c r="I61" s="596"/>
      <c r="J61" s="596"/>
      <c r="K61" s="596"/>
      <c r="L61" s="596"/>
      <c r="M61" s="604"/>
    </row>
    <row r="62" spans="3:19">
      <c r="C62" s="568"/>
      <c r="D62" s="568"/>
      <c r="E62" s="605"/>
      <c r="F62" s="592"/>
      <c r="G62" s="592"/>
      <c r="H62" s="592"/>
      <c r="I62" s="592"/>
      <c r="J62" s="592"/>
      <c r="K62" s="592"/>
      <c r="L62" s="592"/>
      <c r="M62" s="606"/>
    </row>
    <row r="63" spans="3:19" ht="13.8" thickBot="1">
      <c r="E63" s="575"/>
      <c r="F63" s="327"/>
      <c r="G63" s="593"/>
      <c r="H63" s="590" t="s">
        <v>235</v>
      </c>
      <c r="I63" s="591"/>
      <c r="J63" s="591"/>
      <c r="K63" s="591"/>
      <c r="L63" s="591"/>
      <c r="M63" s="607"/>
      <c r="N63" s="593"/>
    </row>
    <row r="64" spans="3:19">
      <c r="E64" s="575"/>
      <c r="F64" s="327" t="s">
        <v>254</v>
      </c>
      <c r="G64" s="608">
        <f>M44</f>
        <v>3057.7769077703938</v>
      </c>
      <c r="H64" s="609">
        <f>I64-R54</f>
        <v>21</v>
      </c>
      <c r="I64" s="609">
        <f>J64-R54</f>
        <v>23</v>
      </c>
      <c r="J64" s="610">
        <f>Assumptions!N9</f>
        <v>25</v>
      </c>
      <c r="K64" s="609">
        <f>J64+R54</f>
        <v>27</v>
      </c>
      <c r="L64" s="609">
        <f>K64+R54</f>
        <v>29</v>
      </c>
      <c r="M64" s="607"/>
    </row>
    <row r="65" spans="2:15">
      <c r="E65" s="575"/>
      <c r="F65" s="589"/>
      <c r="G65" s="611">
        <f>G66-R55</f>
        <v>8.4999999999999992E-2</v>
      </c>
      <c r="H65" s="614">
        <f t="dataTable" ref="H65:L69" dt2D="1" dtr="1" r1="M32" r2="C9"/>
        <v>2758.0772656169102</v>
      </c>
      <c r="I65" s="615">
        <v>2973.5136802633301</v>
      </c>
      <c r="J65" s="615">
        <v>3188.9500949097505</v>
      </c>
      <c r="K65" s="615">
        <v>3404.3865095561709</v>
      </c>
      <c r="L65" s="615">
        <v>3619.8229242025905</v>
      </c>
      <c r="M65" s="607"/>
    </row>
    <row r="66" spans="2:15">
      <c r="E66" s="575"/>
      <c r="F66" s="588"/>
      <c r="G66" s="611">
        <f>G67-R55</f>
        <v>0.09</v>
      </c>
      <c r="H66" s="616">
        <v>2701.3957520310851</v>
      </c>
      <c r="I66" s="617">
        <v>2911.9360891676738</v>
      </c>
      <c r="J66" s="617">
        <v>3122.4764263042634</v>
      </c>
      <c r="K66" s="617">
        <v>3333.0167634408522</v>
      </c>
      <c r="L66" s="617">
        <v>3543.5571005774414</v>
      </c>
      <c r="M66" s="607"/>
    </row>
    <row r="67" spans="2:15">
      <c r="E67" s="575"/>
      <c r="F67" s="589" t="s">
        <v>232</v>
      </c>
      <c r="G67" s="612">
        <f>Assumptions!N10</f>
        <v>9.5000000000000001E-2</v>
      </c>
      <c r="H67" s="616">
        <v>2646.2225510293006</v>
      </c>
      <c r="I67" s="617">
        <v>2851.9997293998472</v>
      </c>
      <c r="J67" s="617">
        <v>3057.7769077703938</v>
      </c>
      <c r="K67" s="617">
        <v>3263.5540861409418</v>
      </c>
      <c r="L67" s="617">
        <v>3469.3312645114875</v>
      </c>
      <c r="M67" s="607"/>
    </row>
    <row r="68" spans="2:15">
      <c r="E68" s="575"/>
      <c r="F68" s="588"/>
      <c r="G68" s="611">
        <f>G67+R55</f>
        <v>0.1</v>
      </c>
      <c r="H68" s="616">
        <v>2592.5105919823436</v>
      </c>
      <c r="I68" s="617">
        <v>2793.6533394294738</v>
      </c>
      <c r="J68" s="617">
        <v>2994.7960868766045</v>
      </c>
      <c r="K68" s="617">
        <v>3195.9388343237351</v>
      </c>
      <c r="L68" s="617">
        <v>3397.0815817708653</v>
      </c>
      <c r="M68" s="607"/>
    </row>
    <row r="69" spans="2:15">
      <c r="E69" s="575"/>
      <c r="F69" s="588"/>
      <c r="G69" s="611">
        <f>G68+R55</f>
        <v>0.10500000000000001</v>
      </c>
      <c r="H69" s="616">
        <v>2540.2144822453706</v>
      </c>
      <c r="I69" s="617">
        <v>2736.8474860475421</v>
      </c>
      <c r="J69" s="617">
        <v>2933.4804898497141</v>
      </c>
      <c r="K69" s="617">
        <v>3130.1134936518856</v>
      </c>
      <c r="L69" s="617">
        <v>3326.7464974540567</v>
      </c>
      <c r="M69" s="607"/>
    </row>
    <row r="70" spans="2:15">
      <c r="E70" s="575"/>
      <c r="F70" s="327"/>
      <c r="G70" s="611"/>
      <c r="H70" s="327"/>
      <c r="I70" s="327"/>
      <c r="J70" s="327"/>
      <c r="K70" s="327"/>
      <c r="L70" s="327"/>
      <c r="M70" s="607"/>
    </row>
    <row r="71" spans="2:15">
      <c r="E71" s="579"/>
      <c r="F71" s="580"/>
      <c r="G71" s="580"/>
      <c r="H71" s="580"/>
      <c r="I71" s="580"/>
      <c r="J71" s="580"/>
      <c r="K71" s="580"/>
      <c r="L71" s="580"/>
      <c r="M71" s="613"/>
    </row>
    <row r="72" spans="2:15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</row>
  </sheetData>
  <printOptions horizontalCentered="1"/>
  <pageMargins left="0.25" right="0.25" top="0.25" bottom="0.25" header="0.25" footer="0.25"/>
  <pageSetup scale="95" orientation="landscape" r:id="rId1"/>
  <headerFooter alignWithMargins="0">
    <oddFooter>&amp;CPage &amp;P of &amp;N</oddFooter>
  </headerFooter>
  <rowBreaks count="1" manualBreakCount="1">
    <brk id="24" min="1" max="14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98D8306A1034782492F3567A273F2" ma:contentTypeVersion="12" ma:contentTypeDescription="Create a new document." ma:contentTypeScope="" ma:versionID="4c5b699968f7936cc9e2b89b7e5f9cbe">
  <xsd:schema xmlns:xsd="http://www.w3.org/2001/XMLSchema" xmlns:xs="http://www.w3.org/2001/XMLSchema" xmlns:p="http://schemas.microsoft.com/office/2006/metadata/properties" xmlns:ns2="90f44690-06d1-49fb-852d-53eb500a6f07" xmlns:ns3="7c7e0179-495a-4ef3-8969-463b3802bcab" targetNamespace="http://schemas.microsoft.com/office/2006/metadata/properties" ma:root="true" ma:fieldsID="dadd706c7ce454de55746a2a3b085249" ns2:_="" ns3:_="">
    <xsd:import namespace="90f44690-06d1-49fb-852d-53eb500a6f07"/>
    <xsd:import namespace="7c7e0179-495a-4ef3-8969-463b3802bc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f44690-06d1-49fb-852d-53eb500a6f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571d408-0d8c-48a4-adcf-444c1a3db99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7e0179-495a-4ef3-8969-463b3802bca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5205484f-7026-451c-87e6-e05ed3f56675}" ma:internalName="TaxCatchAll" ma:showField="CatchAllData" ma:web="7c7e0179-495a-4ef3-8969-463b3802bc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f44690-06d1-49fb-852d-53eb500a6f07">
      <Terms xmlns="http://schemas.microsoft.com/office/infopath/2007/PartnerControls"/>
    </lcf76f155ced4ddcb4097134ff3c332f>
    <TaxCatchAll xmlns="7c7e0179-495a-4ef3-8969-463b3802bcab" xsi:nil="true"/>
  </documentManagement>
</p:properties>
</file>

<file path=customXml/itemProps1.xml><?xml version="1.0" encoding="utf-8"?>
<ds:datastoreItem xmlns:ds="http://schemas.openxmlformats.org/officeDocument/2006/customXml" ds:itemID="{547B2F2C-E8EE-4BB5-A717-F68210001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f44690-06d1-49fb-852d-53eb500a6f07"/>
    <ds:schemaRef ds:uri="7c7e0179-495a-4ef3-8969-463b3802bc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9E450A-0AD5-4057-8FCE-28839633CB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85162E-4F6A-4F9A-AA32-41B2CBEE217C}">
  <ds:schemaRefs>
    <ds:schemaRef ds:uri="http://purl.org/dc/dcmitype/"/>
    <ds:schemaRef ds:uri="http://schemas.microsoft.com/office/2006/documentManagement/types"/>
    <ds:schemaRef ds:uri="http://purl.org/dc/terms/"/>
    <ds:schemaRef ds:uri="7c7e0179-495a-4ef3-8969-463b3802bcab"/>
    <ds:schemaRef ds:uri="http://www.w3.org/XML/1998/namespace"/>
    <ds:schemaRef ds:uri="90f44690-06d1-49fb-852d-53eb500a6f07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Cover</vt:lpstr>
      <vt:lpstr>Summary</vt:lpstr>
      <vt:lpstr>Assumptions</vt:lpstr>
      <vt:lpstr>Scenarios</vt:lpstr>
      <vt:lpstr>Model</vt:lpstr>
      <vt:lpstr>Valuation</vt:lpstr>
      <vt:lpstr>Assumptions!Print_Area</vt:lpstr>
      <vt:lpstr>Cover!Print_Area</vt:lpstr>
      <vt:lpstr>Model!Print_Area</vt:lpstr>
      <vt:lpstr>Scenarios!Print_Area</vt:lpstr>
      <vt:lpstr>Summary!Print_Area</vt:lpstr>
      <vt:lpstr>Valuation!Print_Area</vt:lpstr>
    </vt:vector>
  </TitlesOfParts>
  <Company>Financial Modeling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tituthomas17@gmail.com</dc:creator>
  <cp:lastModifiedBy>ADMIN</cp:lastModifiedBy>
  <cp:lastPrinted>2025-07-14T11:40:32Z</cp:lastPrinted>
  <dcterms:created xsi:type="dcterms:W3CDTF">2018-03-28T17:44:41Z</dcterms:created>
  <dcterms:modified xsi:type="dcterms:W3CDTF">2025-07-15T06:42:02Z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0x01010023898D8306A1034782492F3567A273F2</vt:lpwstr>
  </property>
</Properties>
</file>