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DieseArbeitsmappe"/>
  <mc:AlternateContent xmlns:mc="http://schemas.openxmlformats.org/markup-compatibility/2006">
    <mc:Choice Requires="x15">
      <x15ac:absPath xmlns:x15ac="http://schemas.microsoft.com/office/spreadsheetml/2010/11/ac" url="X:\Protokolle\PS-018\BYD_Oldham Coupling\"/>
    </mc:Choice>
  </mc:AlternateContent>
  <xr:revisionPtr revIDLastSave="0" documentId="13_ncr:1_{56465511-46BC-421B-8006-9456DC906917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Protokoll" sheetId="1" r:id="rId1"/>
    <sheet name="Startlast" sheetId="2" r:id="rId2"/>
    <sheet name="Treppe" sheetId="3" r:id="rId3"/>
    <sheet name="Treppe Hilfe" sheetId="4" r:id="rId4"/>
  </sheets>
  <externalReferences>
    <externalReference r:id="rId5"/>
    <externalReference r:id="rId6"/>
  </externalReferences>
  <definedNames>
    <definedName name="_xlnm.Print_Area" localSheetId="0">Protokoll!$A$1:$AA$30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" l="1"/>
  <c r="W31" i="1"/>
  <c r="Y31" i="1" s="1"/>
  <c r="X31" i="1"/>
  <c r="Z31" i="1"/>
  <c r="AA31" i="1"/>
  <c r="D47" i="4"/>
  <c r="C47" i="4"/>
  <c r="B48" i="4"/>
  <c r="D46" i="4"/>
  <c r="C46" i="4"/>
  <c r="B47" i="4"/>
  <c r="D45" i="4"/>
  <c r="C45" i="4"/>
  <c r="B46" i="4"/>
  <c r="D44" i="4"/>
  <c r="C44" i="4"/>
  <c r="B45" i="4"/>
  <c r="D43" i="4"/>
  <c r="C43" i="4"/>
  <c r="B44" i="4"/>
  <c r="D42" i="4"/>
  <c r="C42" i="4"/>
  <c r="B43" i="4"/>
  <c r="D41" i="4"/>
  <c r="C41" i="4"/>
  <c r="B42" i="4"/>
  <c r="D40" i="4"/>
  <c r="C40" i="4"/>
  <c r="B41" i="4"/>
  <c r="D39" i="4"/>
  <c r="C39" i="4"/>
  <c r="B40" i="4"/>
  <c r="D38" i="4"/>
  <c r="C38" i="4"/>
  <c r="B39" i="4"/>
  <c r="D37" i="4"/>
  <c r="C37" i="4"/>
  <c r="B38" i="4"/>
  <c r="D36" i="4"/>
  <c r="C36" i="4"/>
  <c r="B37" i="4"/>
  <c r="D35" i="4"/>
  <c r="C35" i="4"/>
  <c r="B36" i="4"/>
  <c r="D34" i="4"/>
  <c r="C34" i="4"/>
  <c r="B35" i="4"/>
  <c r="D33" i="4"/>
  <c r="C33" i="4"/>
  <c r="B34" i="4"/>
  <c r="D32" i="4"/>
  <c r="C32" i="4"/>
  <c r="B33" i="4"/>
  <c r="D31" i="4"/>
  <c r="C31" i="4"/>
  <c r="B32" i="4"/>
  <c r="D30" i="4"/>
  <c r="C30" i="4"/>
  <c r="B31" i="4"/>
  <c r="D29" i="4"/>
  <c r="C29" i="4"/>
  <c r="B30" i="4"/>
  <c r="D28" i="4"/>
  <c r="C28" i="4"/>
  <c r="B29" i="4"/>
  <c r="D27" i="4"/>
  <c r="C27" i="4"/>
  <c r="B28" i="4"/>
  <c r="D26" i="4"/>
  <c r="C26" i="4"/>
  <c r="B27" i="4"/>
  <c r="D25" i="4"/>
  <c r="C25" i="4"/>
  <c r="B26" i="4"/>
  <c r="D24" i="4"/>
  <c r="C24" i="4"/>
  <c r="B25" i="4"/>
  <c r="D23" i="4"/>
  <c r="C23" i="4"/>
  <c r="B24" i="4"/>
  <c r="D22" i="4"/>
  <c r="C22" i="4"/>
  <c r="B23" i="4"/>
  <c r="D21" i="4"/>
  <c r="C21" i="4"/>
  <c r="B22" i="4"/>
  <c r="B21" i="4"/>
  <c r="C6" i="4"/>
  <c r="D3" i="4"/>
  <c r="F13" i="4" s="1"/>
  <c r="F19" i="4" l="1"/>
  <c r="F18" i="4"/>
  <c r="F30" i="4"/>
  <c r="E18" i="4"/>
  <c r="F47" i="4"/>
  <c r="F22" i="4"/>
  <c r="F42" i="4"/>
  <c r="E28" i="4"/>
  <c r="E7" i="4"/>
  <c r="E17" i="4"/>
  <c r="F28" i="4"/>
  <c r="E34" i="4"/>
  <c r="E22" i="4"/>
  <c r="E42" i="4"/>
  <c r="F17" i="4"/>
  <c r="E20" i="4"/>
  <c r="F34" i="4"/>
  <c r="E40" i="4"/>
  <c r="E9" i="4"/>
  <c r="F9" i="4"/>
  <c r="F20" i="4"/>
  <c r="E26" i="4"/>
  <c r="F40" i="4"/>
  <c r="E46" i="4"/>
  <c r="E36" i="4"/>
  <c r="F12" i="4"/>
  <c r="E14" i="4"/>
  <c r="F36" i="4"/>
  <c r="F15" i="4"/>
  <c r="F10" i="4"/>
  <c r="F26" i="4"/>
  <c r="E32" i="4"/>
  <c r="F46" i="4"/>
  <c r="E11" i="4"/>
  <c r="F32" i="4"/>
  <c r="E38" i="4"/>
  <c r="E12" i="4"/>
  <c r="E24" i="4"/>
  <c r="F38" i="4"/>
  <c r="E44" i="4"/>
  <c r="E13" i="4"/>
  <c r="F24" i="4"/>
  <c r="E30" i="4"/>
  <c r="F44" i="4"/>
  <c r="E47" i="4"/>
  <c r="E10" i="4"/>
  <c r="F14" i="4"/>
  <c r="E15" i="4"/>
  <c r="F11" i="4"/>
  <c r="E8" i="4"/>
  <c r="F8" i="4"/>
  <c r="E16" i="4"/>
  <c r="F7" i="4"/>
  <c r="F16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I21" i="2" l="1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B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F6" i="2"/>
  <c r="E6" i="2"/>
  <c r="F4" i="2"/>
  <c r="E4" i="2"/>
  <c r="I3" i="2"/>
  <c r="H3" i="2"/>
  <c r="G3" i="2"/>
  <c r="F3" i="2"/>
  <c r="E3" i="2"/>
  <c r="D3" i="2"/>
  <c r="C3" i="2"/>
  <c r="H2" i="2"/>
  <c r="G2" i="2"/>
  <c r="B15" i="2" l="1"/>
  <c r="C15" i="2" s="1"/>
  <c r="K16" i="2" s="1"/>
  <c r="B13" i="2"/>
  <c r="C13" i="2" s="1"/>
  <c r="J14" i="2" s="1"/>
  <c r="C14" i="2"/>
  <c r="C6" i="2" s="1"/>
  <c r="B16" i="2" l="1"/>
  <c r="C16" i="2" s="1"/>
  <c r="E14" i="2"/>
  <c r="D15" i="2"/>
  <c r="F15" i="2" s="1"/>
  <c r="E15" i="2"/>
  <c r="J16" i="2"/>
  <c r="M16" i="2"/>
  <c r="O16" i="2"/>
  <c r="N16" i="2"/>
  <c r="E13" i="2"/>
  <c r="K14" i="2"/>
  <c r="M14" i="2" s="1"/>
  <c r="B6" i="2"/>
  <c r="D13" i="2"/>
  <c r="F13" i="2" s="1"/>
  <c r="B12" i="2"/>
  <c r="C12" i="2" s="1"/>
  <c r="E12" i="2" s="1"/>
  <c r="L16" i="2"/>
  <c r="K15" i="2"/>
  <c r="L15" i="2" s="1"/>
  <c r="D14" i="2"/>
  <c r="F14" i="2" s="1"/>
  <c r="J15" i="2"/>
  <c r="B17" i="2" l="1"/>
  <c r="B18" i="2" s="1"/>
  <c r="L14" i="2"/>
  <c r="B11" i="2"/>
  <c r="C11" i="2" s="1"/>
  <c r="E11" i="2" s="1"/>
  <c r="M15" i="2"/>
  <c r="D12" i="2"/>
  <c r="F12" i="2" s="1"/>
  <c r="O14" i="2"/>
  <c r="N14" i="2"/>
  <c r="K17" i="2"/>
  <c r="M17" i="2" s="1"/>
  <c r="J17" i="2"/>
  <c r="E16" i="2"/>
  <c r="N15" i="2"/>
  <c r="O15" i="2"/>
  <c r="K13" i="2"/>
  <c r="J13" i="2"/>
  <c r="D16" i="2"/>
  <c r="F16" i="2" s="1"/>
  <c r="B10" i="2" l="1"/>
  <c r="C17" i="2"/>
  <c r="D17" i="2" s="1"/>
  <c r="F17" i="2" s="1"/>
  <c r="D11" i="2"/>
  <c r="F11" i="2" s="1"/>
  <c r="L17" i="2"/>
  <c r="N13" i="2"/>
  <c r="O13" i="2"/>
  <c r="L13" i="2"/>
  <c r="B19" i="2"/>
  <c r="C18" i="2"/>
  <c r="D18" i="2" s="1"/>
  <c r="F18" i="2" s="1"/>
  <c r="C10" i="2"/>
  <c r="B9" i="2"/>
  <c r="M13" i="2"/>
  <c r="K12" i="2"/>
  <c r="L12" i="2" s="1"/>
  <c r="J12" i="2"/>
  <c r="O17" i="2"/>
  <c r="N17" i="2"/>
  <c r="J18" i="2" l="1"/>
  <c r="K18" i="2"/>
  <c r="M18" i="2" s="1"/>
  <c r="E17" i="2"/>
  <c r="K11" i="2"/>
  <c r="M11" i="2" s="1"/>
  <c r="J11" i="2"/>
  <c r="E10" i="2"/>
  <c r="C19" i="2"/>
  <c r="D19" i="2" s="1"/>
  <c r="F19" i="2" s="1"/>
  <c r="B20" i="2"/>
  <c r="N12" i="2"/>
  <c r="O12" i="2"/>
  <c r="C9" i="2"/>
  <c r="E9" i="2" s="1"/>
  <c r="B8" i="2"/>
  <c r="M12" i="2"/>
  <c r="D10" i="2"/>
  <c r="F10" i="2" s="1"/>
  <c r="K19" i="2"/>
  <c r="M19" i="2" s="1"/>
  <c r="J19" i="2"/>
  <c r="E18" i="2"/>
  <c r="L11" i="2" l="1"/>
  <c r="L18" i="2"/>
  <c r="N18" i="2"/>
  <c r="O18" i="2"/>
  <c r="E19" i="2"/>
  <c r="C8" i="2"/>
  <c r="B7" i="2"/>
  <c r="K10" i="2"/>
  <c r="M10" i="2" s="1"/>
  <c r="J10" i="2"/>
  <c r="B21" i="2"/>
  <c r="C20" i="2"/>
  <c r="K20" i="2"/>
  <c r="M20" i="2" s="1"/>
  <c r="J20" i="2"/>
  <c r="O19" i="2"/>
  <c r="N19" i="2"/>
  <c r="D9" i="2"/>
  <c r="F9" i="2" s="1"/>
  <c r="L19" i="2"/>
  <c r="N11" i="2"/>
  <c r="O11" i="2"/>
  <c r="L10" i="2" l="1"/>
  <c r="L20" i="2"/>
  <c r="K21" i="2"/>
  <c r="L21" i="2" s="1"/>
  <c r="J21" i="2"/>
  <c r="N20" i="2"/>
  <c r="O20" i="2"/>
  <c r="D20" i="2"/>
  <c r="F20" i="2" s="1"/>
  <c r="K9" i="2"/>
  <c r="L9" i="2" s="1"/>
  <c r="J9" i="2"/>
  <c r="E20" i="2"/>
  <c r="C21" i="2"/>
  <c r="E21" i="2" s="1"/>
  <c r="D8" i="2"/>
  <c r="F8" i="2" s="1"/>
  <c r="E8" i="2"/>
  <c r="N10" i="2"/>
  <c r="O10" i="2"/>
  <c r="C7" i="2"/>
  <c r="E7" i="2" s="1"/>
  <c r="M21" i="2" l="1"/>
  <c r="D7" i="2"/>
  <c r="F7" i="2" s="1"/>
  <c r="D21" i="2"/>
  <c r="F21" i="2" s="1"/>
  <c r="K8" i="2"/>
  <c r="L8" i="2" s="1"/>
  <c r="J8" i="2"/>
  <c r="O9" i="2"/>
  <c r="N9" i="2"/>
  <c r="M9" i="2"/>
  <c r="N21" i="2"/>
  <c r="O21" i="2"/>
  <c r="O8" i="2" l="1"/>
  <c r="N8" i="2"/>
  <c r="M8" i="2"/>
  <c r="W11" i="1"/>
  <c r="AA11" i="1" s="1"/>
  <c r="W12" i="1"/>
  <c r="X12" i="1" s="1"/>
  <c r="W13" i="1"/>
  <c r="Y13" i="1" s="1"/>
  <c r="W14" i="1"/>
  <c r="Z14" i="1" s="1"/>
  <c r="W15" i="1"/>
  <c r="AA15" i="1" s="1"/>
  <c r="W16" i="1"/>
  <c r="X16" i="1" s="1"/>
  <c r="W17" i="1"/>
  <c r="Y17" i="1" s="1"/>
  <c r="W18" i="1"/>
  <c r="Z18" i="1" s="1"/>
  <c r="W19" i="1"/>
  <c r="AA19" i="1" s="1"/>
  <c r="W20" i="1"/>
  <c r="X20" i="1" s="1"/>
  <c r="W21" i="1"/>
  <c r="Y21" i="1" s="1"/>
  <c r="W22" i="1"/>
  <c r="Z22" i="1" s="1"/>
  <c r="W23" i="1"/>
  <c r="AA23" i="1" s="1"/>
  <c r="W24" i="1"/>
  <c r="X24" i="1" s="1"/>
  <c r="W25" i="1"/>
  <c r="Y25" i="1" s="1"/>
  <c r="W26" i="1"/>
  <c r="Z26" i="1" s="1"/>
  <c r="W27" i="1"/>
  <c r="AA27" i="1" s="1"/>
  <c r="W28" i="1"/>
  <c r="X28" i="1" s="1"/>
  <c r="W29" i="1"/>
  <c r="Y29" i="1" s="1"/>
  <c r="W30" i="1"/>
  <c r="Z30" i="1" s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Y28" i="1" l="1"/>
  <c r="Y12" i="1"/>
  <c r="Y24" i="1"/>
  <c r="Y20" i="1"/>
  <c r="Y16" i="1"/>
  <c r="X23" i="1"/>
  <c r="X15" i="1"/>
  <c r="Z29" i="1"/>
  <c r="Z25" i="1"/>
  <c r="Z21" i="1"/>
  <c r="Z17" i="1"/>
  <c r="Z13" i="1"/>
  <c r="AA30" i="1"/>
  <c r="AA26" i="1"/>
  <c r="AA22" i="1"/>
  <c r="AA18" i="1"/>
  <c r="AA14" i="1"/>
  <c r="X19" i="1"/>
  <c r="X30" i="1"/>
  <c r="X26" i="1"/>
  <c r="X22" i="1"/>
  <c r="X18" i="1"/>
  <c r="X14" i="1"/>
  <c r="Y27" i="1"/>
  <c r="Y23" i="1"/>
  <c r="Y19" i="1"/>
  <c r="Y15" i="1"/>
  <c r="Y11" i="1"/>
  <c r="Z28" i="1"/>
  <c r="Z24" i="1"/>
  <c r="Z20" i="1"/>
  <c r="Z16" i="1"/>
  <c r="Z12" i="1"/>
  <c r="AA29" i="1"/>
  <c r="AA25" i="1"/>
  <c r="AA21" i="1"/>
  <c r="AA17" i="1"/>
  <c r="AA13" i="1"/>
  <c r="X27" i="1"/>
  <c r="X11" i="1"/>
  <c r="X29" i="1"/>
  <c r="X25" i="1"/>
  <c r="X21" i="1"/>
  <c r="X17" i="1"/>
  <c r="X13" i="1"/>
  <c r="Y30" i="1"/>
  <c r="Y26" i="1"/>
  <c r="Y22" i="1"/>
  <c r="Y18" i="1"/>
  <c r="Y14" i="1"/>
  <c r="Z27" i="1"/>
  <c r="Z23" i="1"/>
  <c r="Z19" i="1"/>
  <c r="Z15" i="1"/>
  <c r="Z11" i="1"/>
  <c r="AA28" i="1"/>
  <c r="AA24" i="1"/>
  <c r="AA20" i="1"/>
  <c r="AA16" i="1"/>
  <c r="A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liebetor</author>
    <author>Liebel, Thorsten  ST/HZA-ES</author>
  </authors>
  <commentList>
    <comment ref="B8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liebetor:</t>
        </r>
        <r>
          <rPr>
            <sz val="9"/>
            <color indexed="81"/>
            <rFont val="Segoe UI"/>
            <family val="2"/>
          </rPr>
          <t xml:space="preserve">
Auf Nomenklatur achten !
LIEB 18 05 a 01
Name, Jahr, Woche, Wochentag, lfd. Numemr</t>
        </r>
      </text>
    </comment>
    <comment ref="O8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Liebel, Thorsten  ST/HZA-ES:</t>
        </r>
        <r>
          <rPr>
            <sz val="9"/>
            <color indexed="81"/>
            <rFont val="Segoe UI"/>
            <family val="2"/>
          </rPr>
          <t xml:space="preserve">
liebetor:
Bruchlage bedeutet z.B. Kerbe innen, Übergang Ölbohrung usw. Inakzeptabel ist der Eintrag Riss / Bruch oder ja/nein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gundeami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Erklärung zu:</t>
        </r>
        <r>
          <rPr>
            <sz val="9"/>
            <color indexed="81"/>
            <rFont val="Tahoma"/>
            <family val="2"/>
          </rPr>
          <t xml:space="preserve">
1: "Fu" = (Oberlastbezogen), konstante Unterlast, Stufensprung immer der gleiche Kraftwert.
2: "R=X" = (Oberlastbezogen), Stufensprungschritte gleichmäßig, Unterlast prozentual (im "R"-Verhältnis) abhängig von Oberlast.
3: "log d" = (Oberlastbezogen), konstante Unterlast, Stufensprung Prozentual zu vorgänger - Schwingbreite.
4: "Fu - mit Feder" = siehe "1" mit Berechnung Federvorspannung für z.B. Tassenstößel (um tats. zu entlasten).
5: "R=X - mit Feder" = siehe "2" mit Berechnung Federvorspannung für z.B. Tassenstößel (um tats. zu entlasten).
6: "log d - mit Feder" = siehe "3" mit Berechnung Federvorspannung für z.B. Tassenstößel (um tats. zu entlasten).
7: "R = X log d" = (Oberlastbezogen), Stufensprungschritte prozentual, Unterlast prozentual (im "R"-Verhältnis) abhängig von Oberlast.
8: "Mittel log d" = Stufensprungschritte prozentual (Mittellastbezogen).
9: "Mittel konst." = Stufensprungschritte konstant (Mittellastbezogen).</t>
        </r>
      </text>
    </comment>
    <comment ref="B4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Gesammtlast:</t>
        </r>
        <r>
          <rPr>
            <sz val="8"/>
            <color indexed="81"/>
            <rFont val="Tahoma"/>
            <family val="2"/>
          </rPr>
          <t xml:space="preserve">
kann in Kraftrichtung eingegeben werden: pos = Zugrichtung / 
neg = Druckrichtung
Vorsicht!! Nicht bei Mittellastabhängigkeit
--&gt;Amplitude immer positiv.</t>
        </r>
      </text>
    </comment>
    <comment ref="C4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Gleichbleibende Last [kN]:</t>
        </r>
        <r>
          <rPr>
            <sz val="8"/>
            <color indexed="81"/>
            <rFont val="Tahoma"/>
            <family val="2"/>
          </rPr>
          <t xml:space="preserve">
kann in Kraftrichtung eingegeben werden: pos. = Zugrichtung / 
neg. = Druckrichtung
</t>
        </r>
        <r>
          <rPr>
            <b/>
            <sz val="8"/>
            <color indexed="81"/>
            <rFont val="Tahoma"/>
            <family val="2"/>
          </rPr>
          <t>R [%] (0,1 = 10% von Fo):</t>
        </r>
        <r>
          <rPr>
            <sz val="8"/>
            <color indexed="81"/>
            <rFont val="Tahoma"/>
            <family val="2"/>
          </rPr>
          <t xml:space="preserve">
pos. = schwellend
neg. = wechselnd
</t>
        </r>
        <r>
          <rPr>
            <b/>
            <sz val="8"/>
            <color indexed="81"/>
            <rFont val="Tahoma"/>
            <family val="2"/>
          </rPr>
          <t>Mittellastabhängigkeit:</t>
        </r>
        <r>
          <rPr>
            <sz val="8"/>
            <color indexed="81"/>
            <rFont val="Tahoma"/>
            <family val="2"/>
          </rPr>
          <t xml:space="preserve">
pos. = Zugrichtung / 
neg. = Druckrichtung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liebetor</author>
    <author>Liebel, Thorsten  ST/HZA-ES</author>
  </authors>
  <commentList>
    <comment ref="I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liebetor:</t>
        </r>
        <r>
          <rPr>
            <sz val="9"/>
            <color indexed="81"/>
            <rFont val="Segoe UI"/>
            <family val="2"/>
          </rPr>
          <t xml:space="preserve">
Auf Nomenklatur achten !
LIEB 18 05 a 01
Name, Jahr, Woche, Wochentag, lfd. Numemr</t>
        </r>
      </text>
    </comment>
    <comment ref="V1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>Liebel, Thorsten  ST/HZA-ES:</t>
        </r>
        <r>
          <rPr>
            <sz val="9"/>
            <color indexed="81"/>
            <rFont val="Segoe UI"/>
            <family val="2"/>
          </rPr>
          <t xml:space="preserve">
liebetor:
Bruchlage bedeutet z.B. Kerbe innen, Übergang Ölbohrung usw. Inakzeptabel ist der Eintrag Riss / Bruch oder ja/nein</t>
        </r>
      </text>
    </comment>
  </commentList>
</comments>
</file>

<file path=xl/sharedStrings.xml><?xml version="1.0" encoding="utf-8"?>
<sst xmlns="http://schemas.openxmlformats.org/spreadsheetml/2006/main" count="274" uniqueCount="120">
  <si>
    <t>Pulser :</t>
  </si>
  <si>
    <t>PSP :</t>
  </si>
  <si>
    <t>allg. Hydro</t>
  </si>
  <si>
    <t>d</t>
  </si>
  <si>
    <t>f</t>
  </si>
  <si>
    <t>Start</t>
  </si>
  <si>
    <r>
      <t>F</t>
    </r>
    <r>
      <rPr>
        <vertAlign val="subscript"/>
        <sz val="12"/>
        <rFont val="Arial"/>
        <family val="2"/>
      </rPr>
      <t>O97</t>
    </r>
  </si>
  <si>
    <r>
      <t>F</t>
    </r>
    <r>
      <rPr>
        <vertAlign val="subscript"/>
        <sz val="12"/>
        <rFont val="Arial"/>
        <family val="2"/>
      </rPr>
      <t>U103</t>
    </r>
  </si>
  <si>
    <r>
      <t>F</t>
    </r>
    <r>
      <rPr>
        <vertAlign val="subscript"/>
        <sz val="12"/>
        <rFont val="Arial"/>
        <family val="2"/>
      </rPr>
      <t>O103</t>
    </r>
  </si>
  <si>
    <r>
      <t>F</t>
    </r>
    <r>
      <rPr>
        <vertAlign val="subscript"/>
        <sz val="12"/>
        <rFont val="Arial"/>
        <family val="2"/>
      </rPr>
      <t>U97</t>
    </r>
  </si>
  <si>
    <r>
      <t>F</t>
    </r>
    <r>
      <rPr>
        <vertAlign val="subscript"/>
        <sz val="12"/>
        <rFont val="Arial"/>
        <family val="2"/>
      </rPr>
      <t>m</t>
    </r>
  </si>
  <si>
    <r>
      <t>F</t>
    </r>
    <r>
      <rPr>
        <vertAlign val="subscript"/>
        <sz val="12"/>
        <rFont val="Arial"/>
        <family val="2"/>
      </rPr>
      <t>a</t>
    </r>
  </si>
  <si>
    <t>N</t>
  </si>
  <si>
    <t>Hz</t>
  </si>
  <si>
    <t>Hartrampf; 85162</t>
  </si>
  <si>
    <t>ok/nok</t>
  </si>
  <si>
    <t>Anzahl der Spitzenwerte abweichend den 3% Fa</t>
  </si>
  <si>
    <t xml:space="preserve"> titel:</t>
  </si>
  <si>
    <t>application :</t>
  </si>
  <si>
    <t>F - No. :</t>
  </si>
  <si>
    <t>test no. :</t>
  </si>
  <si>
    <t>permissible deviation
acc. DIN 50100 (3% of amplitude)</t>
  </si>
  <si>
    <t>see plausibility checklist</t>
  </si>
  <si>
    <t>application engineer / Tel.-Nr.:</t>
  </si>
  <si>
    <t>test lab. engineer / Tel.-Nr.:</t>
  </si>
  <si>
    <t>ES engineer / 
Tel.-Nr.:</t>
  </si>
  <si>
    <t>plausibility checked
date / signature</t>
  </si>
  <si>
    <t xml:space="preserve">no. </t>
  </si>
  <si>
    <t>specimen</t>
  </si>
  <si>
    <r>
      <t>N</t>
    </r>
    <r>
      <rPr>
        <vertAlign val="subscript"/>
        <sz val="12"/>
        <rFont val="Arial"/>
        <family val="2"/>
      </rPr>
      <t>transient oscillation</t>
    </r>
  </si>
  <si>
    <t>cycles</t>
  </si>
  <si>
    <t>transient
oscillation</t>
  </si>
  <si>
    <r>
      <t>N</t>
    </r>
    <r>
      <rPr>
        <vertAlign val="subscript"/>
        <sz val="12"/>
        <rFont val="Arial"/>
        <family val="2"/>
      </rPr>
      <t>cyclic</t>
    </r>
  </si>
  <si>
    <t>End</t>
  </si>
  <si>
    <t>assessment
ok / nok</t>
  </si>
  <si>
    <t>failure 
position</t>
  </si>
  <si>
    <t>remark</t>
  </si>
  <si>
    <t>date</t>
  </si>
  <si>
    <t>name</t>
  </si>
  <si>
    <t>upper Angle
Xo</t>
  </si>
  <si>
    <t>lower Angle
Xu</t>
  </si>
  <si>
    <t>°</t>
  </si>
  <si>
    <t>PS-018</t>
  </si>
  <si>
    <t>shut off criteria 
ΔX [°] :</t>
  </si>
  <si>
    <t>calibration range pulser [Nm] :</t>
  </si>
  <si>
    <t>M dyn,max application  [Nm] :</t>
  </si>
  <si>
    <t>Measurement uncertainty M / Nm (%)</t>
  </si>
  <si>
    <t>Measurement uncertainty W / ° (%)</t>
  </si>
  <si>
    <t>Measurement Error</t>
  </si>
  <si>
    <r>
      <t>M</t>
    </r>
    <r>
      <rPr>
        <vertAlign val="subscript"/>
        <sz val="12"/>
        <rFont val="Arial"/>
        <family val="2"/>
      </rPr>
      <t>upper load</t>
    </r>
  </si>
  <si>
    <r>
      <t>M</t>
    </r>
    <r>
      <rPr>
        <vertAlign val="subscript"/>
        <sz val="12"/>
        <rFont val="Arial"/>
        <family val="2"/>
      </rPr>
      <t>base load</t>
    </r>
  </si>
  <si>
    <t>Nm</t>
  </si>
  <si>
    <t>Arunachalam; 85138</t>
  </si>
  <si>
    <t xml:space="preserve">Oldham Coupling - Dynamic Torque test		</t>
  </si>
  <si>
    <t>Nach 2 Teilen den Zentralstift wechseln</t>
  </si>
  <si>
    <t>Einstellteil für PID optimieren bei 15 Hz und 5,73 Nm</t>
  </si>
  <si>
    <t>große Verschleiß erwartet- daher bitte das für PID regelung berücksichtigen.
Abschaltkriterium ist dementsprechend auf 4° wie in altem Versuch gegeben.</t>
  </si>
  <si>
    <t>BYD</t>
  </si>
  <si>
    <t>P-091903-08-03-03-54</t>
  </si>
  <si>
    <t>K.Höfler</t>
  </si>
  <si>
    <t xml:space="preserve">Eingabe bitte         </t>
  </si>
  <si>
    <r>
      <t>1 = F</t>
    </r>
    <r>
      <rPr>
        <b/>
        <vertAlign val="subscript"/>
        <sz val="12"/>
        <color indexed="10"/>
        <rFont val="Arial"/>
        <family val="2"/>
      </rPr>
      <t>u</t>
    </r>
    <r>
      <rPr>
        <b/>
        <vertAlign val="subscript"/>
        <sz val="12"/>
        <rFont val="Arial"/>
        <family val="2"/>
      </rPr>
      <t xml:space="preserve">                           
</t>
    </r>
    <r>
      <rPr>
        <b/>
        <sz val="12"/>
        <color indexed="10"/>
        <rFont val="Arial"/>
        <family val="2"/>
      </rPr>
      <t>2 = "R = X"                     
3 = log d
8 = Mittel log.</t>
    </r>
  </si>
  <si>
    <t>4 = Fu - mit Feder                         
5 = "R = X" - mit Feder                    
6 = log d - mit Feder                  
7 = "R=X-log d"
9 = Mittellast konst.</t>
  </si>
  <si>
    <t>Einzuhaltende Regelgenauigkeit nach DIN 50100:</t>
  </si>
  <si>
    <t>der Amplitude</t>
  </si>
  <si>
    <t>kN</t>
  </si>
  <si>
    <t>Mo [Nm]</t>
  </si>
  <si>
    <t>Schwingbr. [Nm]</t>
  </si>
  <si>
    <t>F-357412.35-0801</t>
  </si>
  <si>
    <t>2339b01</t>
  </si>
  <si>
    <t>Ey</t>
  </si>
  <si>
    <t xml:space="preserve">ok </t>
  </si>
  <si>
    <t>ok</t>
  </si>
  <si>
    <t>2339b02</t>
  </si>
  <si>
    <t>Ha</t>
  </si>
  <si>
    <t>Nach 188064 Lw in 0,3°, nach 518720 Lw in 0,6°
Abschaltkr. Gelaufen, nach
2566649 Lw kontrolle, nach
3395733 Lw wieder abgeschaltet, Abschaltkr. Erhöt auf 2°
# 5</t>
  </si>
  <si>
    <t># 1</t>
  </si>
  <si>
    <t>2339b03</t>
  </si>
  <si>
    <t>0,3°/ 2°</t>
  </si>
  <si>
    <t>#2 @ 2360587 cyc.shaft replaced</t>
  </si>
  <si>
    <t>4130329 cyc Zwischenkontrolle Abschalt neu +2°</t>
  </si>
  <si>
    <t>Weiterlauf</t>
  </si>
  <si>
    <t>fail</t>
  </si>
  <si>
    <t>2 cracks</t>
  </si>
  <si>
    <t>2339b04</t>
  </si>
  <si>
    <t># 4, new shaft
shutoff 4° delta
Dripoil added @ 1,8 mio cyc.</t>
  </si>
  <si>
    <t>2339b05</t>
  </si>
  <si>
    <t># 6 shutoff 2° delta</t>
  </si>
  <si>
    <t>2339b06</t>
  </si>
  <si>
    <t>io</t>
  </si>
  <si>
    <t>2339b07</t>
  </si>
  <si>
    <t>nio</t>
  </si>
  <si>
    <t>crack radius</t>
  </si>
  <si>
    <t>2339b08</t>
  </si>
  <si>
    <t>2339b09</t>
  </si>
  <si>
    <t># 10</t>
  </si>
  <si>
    <t># 9</t>
  </si>
  <si>
    <t>2339b10</t>
  </si>
  <si>
    <t># 11</t>
  </si>
  <si>
    <t># 12</t>
  </si>
  <si>
    <t>2339b11</t>
  </si>
  <si>
    <t>2339b12</t>
  </si>
  <si>
    <t># 13</t>
  </si>
  <si>
    <t>2339b13</t>
  </si>
  <si>
    <t># 14 Ausfall Vorrichtung @ 626625 cycylen</t>
  </si>
  <si>
    <t>2339b14</t>
  </si>
  <si>
    <t>2339b15</t>
  </si>
  <si>
    <t># 15</t>
  </si>
  <si>
    <t>#16</t>
  </si>
  <si>
    <t>Ng</t>
  </si>
  <si>
    <t>Nmin</t>
  </si>
  <si>
    <t>Prüfling</t>
  </si>
  <si>
    <t>Zyklen</t>
  </si>
  <si>
    <t>passed</t>
  </si>
  <si>
    <t>failed</t>
  </si>
  <si>
    <t>2339b16</t>
  </si>
  <si>
    <t># 17</t>
  </si>
  <si>
    <t>2339b17</t>
  </si>
  <si>
    <t>#18</t>
  </si>
  <si>
    <t>2339b04+1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</si>
</sst>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#"/>
  </numFmts>
  <fonts count="30" x14ac:knownFonts="1"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bscript"/>
      <sz val="12"/>
      <name val="Arial"/>
      <family val="2"/>
    </font>
    <font>
      <sz val="1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sz val="18"/>
      <color rgb="FFFF000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color indexed="10"/>
      <name val="Arial"/>
      <family val="2"/>
    </font>
    <font>
      <b/>
      <vertAlign val="subscript"/>
      <sz val="12"/>
      <color indexed="10"/>
      <name val="Arial"/>
      <family val="2"/>
    </font>
    <font>
      <b/>
      <vertAlign val="subscript"/>
      <sz val="12"/>
      <name val="Arial"/>
      <family val="2"/>
    </font>
    <font>
      <sz val="3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1"/>
      <color indexed="57"/>
      <name val="Arial"/>
      <family val="2"/>
    </font>
    <font>
      <sz val="16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41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0" fillId="5" borderId="6" xfId="0" applyFill="1" applyBorder="1"/>
    <xf numFmtId="0" fontId="2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/>
    </xf>
    <xf numFmtId="0" fontId="2" fillId="5" borderId="8" xfId="0" applyFont="1" applyFill="1" applyBorder="1" applyAlignment="1">
      <alignment horizontal="center" vertical="top" wrapText="1"/>
    </xf>
    <xf numFmtId="0" fontId="2" fillId="5" borderId="19" xfId="0" applyFont="1" applyFill="1" applyBorder="1" applyAlignment="1">
      <alignment horizontal="center" vertical="top"/>
    </xf>
    <xf numFmtId="0" fontId="2" fillId="5" borderId="1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1" fillId="5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6" fillId="6" borderId="34" xfId="0" applyFont="1" applyFill="1" applyBorder="1" applyAlignment="1" applyProtection="1">
      <alignment horizontal="center" vertical="center"/>
      <protection locked="0"/>
    </xf>
    <xf numFmtId="0" fontId="17" fillId="2" borderId="37" xfId="0" applyFont="1" applyFill="1" applyBorder="1" applyAlignment="1">
      <alignment horizontal="center" vertical="center" wrapText="1"/>
    </xf>
    <xf numFmtId="164" fontId="18" fillId="2" borderId="38" xfId="0" applyNumberFormat="1" applyFont="1" applyFill="1" applyBorder="1" applyAlignment="1">
      <alignment horizontal="center" vertical="center"/>
    </xf>
    <xf numFmtId="0" fontId="19" fillId="0" borderId="0" xfId="0" applyFont="1"/>
    <xf numFmtId="0" fontId="18" fillId="2" borderId="14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21" fillId="6" borderId="43" xfId="0" applyFont="1" applyFill="1" applyBorder="1" applyAlignment="1" applyProtection="1">
      <alignment horizontal="center" vertical="center"/>
      <protection locked="0"/>
    </xf>
    <xf numFmtId="0" fontId="21" fillId="6" borderId="44" xfId="0" applyFont="1" applyFill="1" applyBorder="1" applyAlignment="1" applyProtection="1">
      <alignment horizontal="center" vertical="center"/>
      <protection locked="0"/>
    </xf>
    <xf numFmtId="165" fontId="21" fillId="6" borderId="44" xfId="0" applyNumberFormat="1" applyFont="1" applyFill="1" applyBorder="1" applyAlignment="1" applyProtection="1">
      <alignment horizontal="center" vertical="center"/>
      <protection locked="0"/>
    </xf>
    <xf numFmtId="0" fontId="18" fillId="2" borderId="10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164" fontId="18" fillId="6" borderId="10" xfId="0" applyNumberFormat="1" applyFont="1" applyFill="1" applyBorder="1" applyAlignment="1" applyProtection="1">
      <alignment horizontal="center"/>
      <protection locked="0"/>
    </xf>
    <xf numFmtId="164" fontId="18" fillId="6" borderId="11" xfId="0" applyNumberFormat="1" applyFont="1" applyFill="1" applyBorder="1" applyAlignment="1" applyProtection="1">
      <alignment horizontal="center"/>
      <protection locked="0"/>
    </xf>
    <xf numFmtId="164" fontId="22" fillId="6" borderId="13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9" fontId="0" fillId="0" borderId="0" xfId="1" applyFont="1"/>
    <xf numFmtId="0" fontId="18" fillId="0" borderId="45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/>
    </xf>
    <xf numFmtId="164" fontId="1" fillId="3" borderId="46" xfId="0" applyNumberFormat="1" applyFont="1" applyFill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25" fillId="0" borderId="46" xfId="0" applyNumberFormat="1" applyFont="1" applyBorder="1" applyAlignment="1">
      <alignment horizontal="center"/>
    </xf>
    <xf numFmtId="164" fontId="1" fillId="7" borderId="48" xfId="0" applyNumberFormat="1" applyFont="1" applyFill="1" applyBorder="1" applyAlignment="1">
      <alignment horizontal="center"/>
    </xf>
    <xf numFmtId="164" fontId="1" fillId="7" borderId="48" xfId="0" applyNumberFormat="1" applyFont="1" applyFill="1" applyBorder="1" applyAlignment="1">
      <alignment horizontal="center" vertical="center"/>
    </xf>
    <xf numFmtId="164" fontId="1" fillId="7" borderId="49" xfId="0" applyNumberFormat="1" applyFont="1" applyFill="1" applyBorder="1" applyAlignment="1">
      <alignment horizontal="center" vertical="center"/>
    </xf>
    <xf numFmtId="164" fontId="25" fillId="7" borderId="48" xfId="0" applyNumberFormat="1" applyFont="1" applyFill="1" applyBorder="1" applyAlignment="1">
      <alignment horizont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" fontId="0" fillId="4" borderId="24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/>
    </xf>
    <xf numFmtId="164" fontId="1" fillId="3" borderId="48" xfId="0" applyNumberFormat="1" applyFont="1" applyFill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164" fontId="25" fillId="0" borderId="48" xfId="0" applyNumberFormat="1" applyFont="1" applyBorder="1" applyAlignment="1">
      <alignment horizontal="center"/>
    </xf>
    <xf numFmtId="164" fontId="1" fillId="0" borderId="50" xfId="0" applyNumberFormat="1" applyFont="1" applyBorder="1" applyAlignment="1">
      <alignment horizont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/>
    </xf>
    <xf numFmtId="164" fontId="25" fillId="0" borderId="52" xfId="0" applyNumberFormat="1" applyFont="1" applyBorder="1" applyAlignment="1">
      <alignment horizontal="center"/>
    </xf>
    <xf numFmtId="164" fontId="18" fillId="2" borderId="53" xfId="0" applyNumberFormat="1" applyFont="1" applyFill="1" applyBorder="1" applyAlignment="1">
      <alignment horizontal="center" vertical="center"/>
    </xf>
    <xf numFmtId="164" fontId="18" fillId="2" borderId="39" xfId="0" applyNumberFormat="1" applyFont="1" applyFill="1" applyBorder="1" applyAlignment="1">
      <alignment horizontal="center" vertical="center"/>
    </xf>
    <xf numFmtId="164" fontId="18" fillId="2" borderId="14" xfId="0" applyNumberFormat="1" applyFont="1" applyFill="1" applyBorder="1" applyAlignment="1">
      <alignment horizontal="center" vertical="center"/>
    </xf>
    <xf numFmtId="164" fontId="22" fillId="2" borderId="39" xfId="0" applyNumberFormat="1" applyFont="1" applyFill="1" applyBorder="1" applyAlignment="1">
      <alignment horizontal="center" vertical="center"/>
    </xf>
    <xf numFmtId="164" fontId="1" fillId="0" borderId="54" xfId="0" applyNumberFormat="1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/>
    </xf>
    <xf numFmtId="164" fontId="25" fillId="0" borderId="55" xfId="0" applyNumberFormat="1" applyFont="1" applyBorder="1" applyAlignment="1">
      <alignment horizontal="center"/>
    </xf>
    <xf numFmtId="164" fontId="1" fillId="7" borderId="19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56" xfId="0" applyNumberFormat="1" applyFont="1" applyBorder="1" applyAlignment="1">
      <alignment horizontal="center" vertical="center"/>
    </xf>
    <xf numFmtId="164" fontId="25" fillId="0" borderId="50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0" borderId="57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3" fontId="0" fillId="0" borderId="57" xfId="0" applyNumberFormat="1" applyBorder="1" applyAlignment="1">
      <alignment horizontal="center" vertical="center"/>
    </xf>
    <xf numFmtId="3" fontId="0" fillId="0" borderId="58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9" fontId="1" fillId="0" borderId="21" xfId="0" applyNumberFormat="1" applyFont="1" applyFill="1" applyBorder="1" applyAlignment="1">
      <alignment horizontal="center" vertical="center"/>
    </xf>
    <xf numFmtId="9" fontId="1" fillId="0" borderId="24" xfId="0" applyNumberFormat="1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11" borderId="6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13" fillId="0" borderId="35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left" vertical="center" wrapText="1"/>
    </xf>
    <xf numFmtId="0" fontId="0" fillId="0" borderId="58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2" fontId="0" fillId="4" borderId="58" xfId="0" applyNumberForma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BYD_ECP_Oldham Coupling Fatigue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'Treppe Hilfe'!$E$6</c:f>
              <c:strCache>
                <c:ptCount val="1"/>
                <c:pt idx="0">
                  <c:v>passed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'Treppe Hilfe'!$B$7:$B$23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'Treppe Hilfe'!$E$7:$E$22</c:f>
              <c:numCache>
                <c:formatCode>0.00</c:formatCode>
                <c:ptCount val="16"/>
                <c:pt idx="0">
                  <c:v>7.02</c:v>
                </c:pt>
                <c:pt idx="1">
                  <c:v>7.58</c:v>
                </c:pt>
                <c:pt idx="2">
                  <c:v>8.84</c:v>
                </c:pt>
                <c:pt idx="3">
                  <c:v>0</c:v>
                </c:pt>
                <c:pt idx="4">
                  <c:v>9.5510000000000002</c:v>
                </c:pt>
                <c:pt idx="5">
                  <c:v>10.315</c:v>
                </c:pt>
                <c:pt idx="6">
                  <c:v>11.14</c:v>
                </c:pt>
                <c:pt idx="7">
                  <c:v>0</c:v>
                </c:pt>
                <c:pt idx="8">
                  <c:v>0</c:v>
                </c:pt>
                <c:pt idx="9">
                  <c:v>10.315</c:v>
                </c:pt>
                <c:pt idx="10">
                  <c:v>0</c:v>
                </c:pt>
                <c:pt idx="11">
                  <c:v>10.315</c:v>
                </c:pt>
                <c:pt idx="13">
                  <c:v>0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1-4872-8981-03376864C2C8}"/>
            </c:ext>
          </c:extLst>
        </c:ser>
        <c:ser>
          <c:idx val="1"/>
          <c:order val="1"/>
          <c:tx>
            <c:strRef>
              <c:f>'Treppe Hilfe'!$F$6</c:f>
              <c:strCache>
                <c:ptCount val="1"/>
                <c:pt idx="0">
                  <c:v>failed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'Treppe Hilfe'!$B$7:$B$23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'Treppe Hilfe'!$F$7:$F$22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10.315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12.03</c:v>
                </c:pt>
                <c:pt idx="8">
                  <c:v>11.14</c:v>
                </c:pt>
                <c:pt idx="9">
                  <c:v>0</c:v>
                </c:pt>
                <c:pt idx="10">
                  <c:v>11.14</c:v>
                </c:pt>
                <c:pt idx="11">
                  <c:v>0</c:v>
                </c:pt>
                <c:pt idx="12">
                  <c:v>11.14</c:v>
                </c:pt>
                <c:pt idx="13">
                  <c:v>10.315</c:v>
                </c:pt>
                <c:pt idx="14" formatCode="0">
                  <c:v>0</c:v>
                </c:pt>
                <c:pt idx="1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1-4872-8981-03376864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73192"/>
        <c:axId val="405373584"/>
      </c:scatterChart>
      <c:valAx>
        <c:axId val="405373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specimen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373584"/>
        <c:crosses val="autoZero"/>
        <c:crossBetween val="midCat"/>
        <c:majorUnit val="1"/>
      </c:valAx>
      <c:valAx>
        <c:axId val="4053735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Amplitude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37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99692237564109"/>
          <c:y val="0.59815182875801542"/>
          <c:w val="9.5579678599760048E-2"/>
          <c:h val="6.8813355404826804E-2"/>
        </c:manualLayout>
      </c:layout>
      <c:overlay val="1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theme="9" tint="0.79998168889431442"/>
  </sheetPr>
  <sheetViews>
    <sheetView zoomScale="76" workbookViewId="0" zoomToFit="1"/>
  </sheetViews>
  <pageMargins left="0.7" right="0.7" top="0.78740157499999996" bottom="0.78740157499999996" header="0.3" footer="0.3"/>
  <pageSetup orientation="landscape" r:id="rId1"/>
  <headerFooter>
    <oddFooter>&amp;C&amp;1#&amp;"Calibri"&amp;8&amp;K000000INTERNAL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5</xdr:row>
      <xdr:rowOff>108857</xdr:rowOff>
    </xdr:from>
    <xdr:to>
      <xdr:col>1</xdr:col>
      <xdr:colOff>1094865</xdr:colOff>
      <xdr:row>5</xdr:row>
      <xdr:rowOff>340179</xdr:rowOff>
    </xdr:to>
    <xdr:pic>
      <xdr:nvPicPr>
        <xdr:cNvPr id="6" name="logo" descr="logo">
          <a:extLst>
            <a:ext uri="{FF2B5EF4-FFF2-40B4-BE49-F238E27FC236}">
              <a16:creationId xmlns:a16="http://schemas.microsoft.com/office/drawing/2014/main" id="{5464688B-F0ED-4879-BA5C-C8D38A031C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306"/>
        <a:stretch/>
      </xdr:blipFill>
      <xdr:spPr bwMode="auto">
        <a:xfrm>
          <a:off x="81643" y="2013857"/>
          <a:ext cx="1375172" cy="231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288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8B026-B088-FF99-62B4-4200020356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.ina.com\herzogenaurach\DATA\TV4\Festigkeit\Kunde_Aggregat_JJJJMMTT_(AG)_P-PSP_NEU\30_Pr&#252;ffeld\Ergebnis\nurStartl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tokolle\PS-017\Flex_Sleeve_Schaeffler\Kopie%20von%20Protokoll_Startlast_vereinfacht_EN_mit%20Grat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D_log"/>
      <sheetName val="Ergebnisse"/>
      <sheetName val="Auswertung"/>
      <sheetName val="Treppe SAFD"/>
      <sheetName val="Treppenvorlage"/>
      <sheetName val="Versuchsprotokoll"/>
      <sheetName val="BL (allg. Hydro)"/>
      <sheetName val="Hilfe"/>
      <sheetName val="Treppenvorgaben"/>
      <sheetName val="Treppe"/>
      <sheetName val="Berechnungen"/>
      <sheetName val="Da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 t="str">
            <v>Variable Last [kN]</v>
          </cell>
          <cell r="D2" t="str">
            <v>konstante Last [kN]</v>
          </cell>
          <cell r="L2" t="str">
            <v>Mittelwert [kN] Sollw. Stat. (V21)</v>
          </cell>
          <cell r="M2" t="str">
            <v>Amplitude   Sollw. Dyn. (V23)</v>
          </cell>
          <cell r="N2" t="str">
            <v>Stufensprung (d) [kN]</v>
          </cell>
        </row>
        <row r="6">
          <cell r="D6" t="str">
            <v>R =</v>
          </cell>
          <cell r="L6" t="str">
            <v>Mittelwert [kN] Sollw. Stat. (V21)</v>
          </cell>
          <cell r="M6" t="str">
            <v>Amplitude   Sollw. Dyn. (V23)</v>
          </cell>
          <cell r="N6" t="str">
            <v>Stufensprung (d) [kN]</v>
          </cell>
        </row>
        <row r="10">
          <cell r="D10" t="str">
            <v>konstante Last [kN]</v>
          </cell>
          <cell r="L10" t="str">
            <v>Mittelwert [kN] Sollw. Stat. (V21)</v>
          </cell>
          <cell r="M10" t="str">
            <v>Amplitude   Sollw. Dyn. (V23)</v>
          </cell>
          <cell r="N10" t="str">
            <v>log d</v>
          </cell>
        </row>
        <row r="14">
          <cell r="D14" t="str">
            <v>konstante Last [kN]</v>
          </cell>
          <cell r="E14" t="str">
            <v>Feder ges.            [kN]</v>
          </cell>
          <cell r="F14" t="str">
            <v xml:space="preserve">Feder Vor-spannung       [kN] </v>
          </cell>
          <cell r="G14" t="str">
            <v>LoMo Feder    [kN]</v>
          </cell>
          <cell r="H14" t="str">
            <v>Abheben vom Prüfling              [kN]</v>
          </cell>
          <cell r="I14" t="str">
            <v>Theor.           Fo    [kN]</v>
          </cell>
          <cell r="J14" t="str">
            <v>Theor.       Fu    [kN]</v>
          </cell>
          <cell r="K14" t="str">
            <v>Theor.      Schwingbr.    [kN]</v>
          </cell>
          <cell r="L14" t="str">
            <v>Theor. Mittelwert [kN]</v>
          </cell>
          <cell r="M14" t="str">
            <v>Theor. Amplitude [kN]</v>
          </cell>
          <cell r="N14" t="str">
            <v>Stufensprung (d) [kN]</v>
          </cell>
        </row>
        <row r="18">
          <cell r="D18" t="str">
            <v>R =</v>
          </cell>
          <cell r="E18" t="str">
            <v>Feder ges.            [kN]</v>
          </cell>
          <cell r="F18" t="str">
            <v xml:space="preserve">Feder Vor-spannung       [kN] </v>
          </cell>
          <cell r="G18" t="str">
            <v>LoMo Feder    [kN]</v>
          </cell>
          <cell r="H18" t="str">
            <v>Abheben vom Prüfling              [kN]</v>
          </cell>
          <cell r="I18" t="str">
            <v>Theor.           Fo    [kN]</v>
          </cell>
          <cell r="J18" t="str">
            <v>Theor.       Fu    [kN]</v>
          </cell>
          <cell r="K18" t="str">
            <v>Theor.      Schwingbr.    [kN]</v>
          </cell>
          <cell r="L18" t="str">
            <v>Theor. Mittelwert [kN]</v>
          </cell>
          <cell r="M18" t="str">
            <v>Theor. Amplitude [kN]</v>
          </cell>
          <cell r="N18" t="str">
            <v>Stufensprung (d) [kN]</v>
          </cell>
        </row>
        <row r="22">
          <cell r="D22" t="str">
            <v>konstante Last [kN]</v>
          </cell>
          <cell r="E22" t="str">
            <v>Feder ges.            [kN]</v>
          </cell>
          <cell r="F22" t="str">
            <v xml:space="preserve">Feder Vor-spannung       [kN] </v>
          </cell>
          <cell r="G22" t="str">
            <v>LoMo Feder (Tassenfeder)    [kN]</v>
          </cell>
          <cell r="H22" t="str">
            <v>Abheben vom Prüfling              [kN]</v>
          </cell>
          <cell r="I22" t="str">
            <v>Theor.           Fo    [kN]</v>
          </cell>
          <cell r="J22" t="str">
            <v>Theor.       Fu    [kN]</v>
          </cell>
          <cell r="K22" t="str">
            <v>Theor.      Schwingbr.    [kN]</v>
          </cell>
          <cell r="L22" t="str">
            <v>Theor. Mittelwert [kN]</v>
          </cell>
          <cell r="M22" t="str">
            <v>Theor. Amplitude [kN]</v>
          </cell>
          <cell r="N22" t="str">
            <v>log d</v>
          </cell>
        </row>
        <row r="26">
          <cell r="D26" t="str">
            <v>R =</v>
          </cell>
          <cell r="E26" t="str">
            <v>log d</v>
          </cell>
          <cell r="L26" t="str">
            <v>Mittelwert [kN] Sollw. Stat. (V21)</v>
          </cell>
          <cell r="M26" t="str">
            <v>Amplitude   Sollw. Dyn. (V23)</v>
          </cell>
        </row>
        <row r="30">
          <cell r="D30" t="str">
            <v>konstante (Mittel-) Last [kN]</v>
          </cell>
          <cell r="L30" t="str">
            <v>Mittelwert [kN] Sollw. Stat. (V21)</v>
          </cell>
          <cell r="M30" t="str">
            <v>Amplitude   Sollw. Dyn. (V23)</v>
          </cell>
          <cell r="N30" t="str">
            <v>log d</v>
          </cell>
        </row>
        <row r="34">
          <cell r="D34" t="str">
            <v>konstante (Mittel-) Last [kN]</v>
          </cell>
          <cell r="L34" t="str">
            <v>Mittelwert [kN] Sollw. Stat. (V21)</v>
          </cell>
          <cell r="M34" t="str">
            <v>Amplitude   Sollw. Dyn. (V23)</v>
          </cell>
          <cell r="N34" t="str">
            <v>Stufensprung (d) [kN]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Treppe"/>
      <sheetName val="Startlast"/>
      <sheetName val="Bruchlage"/>
      <sheetName val="Treppe Hilfe"/>
    </sheetNames>
    <sheetDataSet>
      <sheetData sheetId="0">
        <row r="8">
          <cell r="C8" t="str">
            <v>Mupper load</v>
          </cell>
        </row>
        <row r="9">
          <cell r="G9">
            <v>5000000</v>
          </cell>
        </row>
        <row r="27">
          <cell r="A27"/>
        </row>
        <row r="28">
          <cell r="A28"/>
          <cell r="C28"/>
          <cell r="G28"/>
        </row>
        <row r="29">
          <cell r="A29"/>
          <cell r="C29"/>
          <cell r="G29"/>
        </row>
        <row r="30">
          <cell r="A30"/>
          <cell r="C30"/>
          <cell r="G30"/>
        </row>
        <row r="31">
          <cell r="A31"/>
          <cell r="C31"/>
          <cell r="G31"/>
        </row>
        <row r="32">
          <cell r="A32"/>
          <cell r="C32"/>
          <cell r="G32"/>
        </row>
        <row r="33">
          <cell r="A33"/>
          <cell r="C33"/>
          <cell r="G33"/>
        </row>
        <row r="34">
          <cell r="A34"/>
          <cell r="C34"/>
          <cell r="G34"/>
        </row>
        <row r="35">
          <cell r="A35"/>
          <cell r="C35"/>
          <cell r="G35"/>
        </row>
        <row r="36">
          <cell r="A36"/>
          <cell r="C36"/>
          <cell r="G36"/>
        </row>
        <row r="37">
          <cell r="A37"/>
          <cell r="C37"/>
          <cell r="G37"/>
        </row>
        <row r="38">
          <cell r="A38"/>
          <cell r="C38"/>
          <cell r="G38"/>
        </row>
        <row r="39">
          <cell r="A39"/>
          <cell r="C39"/>
          <cell r="G39"/>
        </row>
        <row r="40">
          <cell r="A40"/>
          <cell r="C40"/>
          <cell r="G40"/>
        </row>
        <row r="41">
          <cell r="A41"/>
          <cell r="C41"/>
          <cell r="G41"/>
        </row>
        <row r="42">
          <cell r="A42"/>
          <cell r="C42"/>
          <cell r="G42"/>
        </row>
        <row r="43">
          <cell r="A43"/>
          <cell r="C43"/>
          <cell r="G43"/>
        </row>
      </sheetData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AA31"/>
  <sheetViews>
    <sheetView tabSelected="1" topLeftCell="A12" zoomScale="90" zoomScaleNormal="90" zoomScaleSheetLayoutView="70" workbookViewId="0">
      <selection activeCell="B31" sqref="B31"/>
    </sheetView>
  </sheetViews>
  <sheetFormatPr baseColWidth="10" defaultColWidth="11.42578125" defaultRowHeight="12.75" x14ac:dyDescent="0.2"/>
  <cols>
    <col min="1" max="1" width="5.42578125" customWidth="1"/>
    <col min="2" max="2" width="18.140625" customWidth="1"/>
    <col min="4" max="4" width="12" customWidth="1"/>
    <col min="5" max="5" width="12.7109375" customWidth="1"/>
    <col min="6" max="6" width="10.140625" bestFit="1" customWidth="1"/>
    <col min="7" max="7" width="12.7109375" customWidth="1"/>
    <col min="8" max="8" width="6.42578125" bestFit="1" customWidth="1"/>
    <col min="12" max="12" width="12.28515625" customWidth="1"/>
    <col min="14" max="14" width="12.28515625" customWidth="1"/>
    <col min="15" max="15" width="11.42578125" customWidth="1"/>
    <col min="18" max="18" width="3.28515625" customWidth="1"/>
    <col min="21" max="21" width="13.7109375" customWidth="1"/>
    <col min="27" max="27" width="11.42578125" customWidth="1"/>
  </cols>
  <sheetData>
    <row r="1" spans="1:27" ht="30" customHeight="1" thickBot="1" x14ac:dyDescent="0.25">
      <c r="A1" s="174" t="s">
        <v>17</v>
      </c>
      <c r="B1" s="175"/>
      <c r="C1" s="176" t="s">
        <v>53</v>
      </c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8"/>
      <c r="U1" s="43"/>
      <c r="V1" s="44"/>
      <c r="W1" s="44"/>
      <c r="X1" s="44"/>
      <c r="Y1" s="44"/>
      <c r="Z1" s="44"/>
      <c r="AA1" s="44"/>
    </row>
    <row r="2" spans="1:27" ht="30" customHeight="1" x14ac:dyDescent="0.2">
      <c r="A2" s="179" t="s">
        <v>18</v>
      </c>
      <c r="B2" s="180"/>
      <c r="C2" s="181" t="s">
        <v>57</v>
      </c>
      <c r="D2" s="182"/>
      <c r="E2" s="184" t="s">
        <v>0</v>
      </c>
      <c r="F2" s="186"/>
      <c r="G2" s="186"/>
      <c r="H2" s="186"/>
      <c r="I2" s="183" t="s">
        <v>42</v>
      </c>
      <c r="J2" s="183"/>
      <c r="K2" s="189" t="s">
        <v>21</v>
      </c>
      <c r="L2" s="190"/>
      <c r="M2" s="191"/>
      <c r="N2" s="187">
        <v>0.03</v>
      </c>
      <c r="O2" s="188"/>
      <c r="P2" s="184" t="s">
        <v>23</v>
      </c>
      <c r="Q2" s="185"/>
      <c r="R2" s="183" t="s">
        <v>59</v>
      </c>
      <c r="S2" s="183"/>
      <c r="T2" s="192"/>
      <c r="U2" s="43"/>
      <c r="V2" s="44"/>
      <c r="W2" s="44"/>
      <c r="X2" s="44"/>
      <c r="Y2" s="44"/>
      <c r="Z2" s="44"/>
      <c r="AA2" s="44"/>
    </row>
    <row r="3" spans="1:27" ht="30" customHeight="1" x14ac:dyDescent="0.2">
      <c r="A3" s="226" t="s">
        <v>1</v>
      </c>
      <c r="B3" s="223"/>
      <c r="C3" s="227" t="s">
        <v>58</v>
      </c>
      <c r="D3" s="225"/>
      <c r="E3" s="221" t="s">
        <v>43</v>
      </c>
      <c r="F3" s="230"/>
      <c r="G3" s="230"/>
      <c r="H3" s="230"/>
      <c r="I3" s="219" t="s">
        <v>78</v>
      </c>
      <c r="J3" s="219"/>
      <c r="K3" s="221" t="s">
        <v>46</v>
      </c>
      <c r="L3" s="230"/>
      <c r="M3" s="231"/>
      <c r="N3" s="228" t="s">
        <v>22</v>
      </c>
      <c r="O3" s="229"/>
      <c r="P3" s="221" t="s">
        <v>25</v>
      </c>
      <c r="Q3" s="194"/>
      <c r="R3" s="219" t="s">
        <v>52</v>
      </c>
      <c r="S3" s="219"/>
      <c r="T3" s="220"/>
      <c r="U3" s="43"/>
      <c r="V3" s="44"/>
      <c r="W3" s="44"/>
      <c r="X3" s="44"/>
      <c r="Y3" s="44"/>
      <c r="Z3" s="44"/>
      <c r="AA3" s="44"/>
    </row>
    <row r="4" spans="1:27" ht="30" customHeight="1" x14ac:dyDescent="0.2">
      <c r="A4" s="222" t="s">
        <v>19</v>
      </c>
      <c r="B4" s="223"/>
      <c r="C4" s="224" t="s">
        <v>68</v>
      </c>
      <c r="D4" s="225"/>
      <c r="E4" s="221" t="s">
        <v>44</v>
      </c>
      <c r="F4" s="230"/>
      <c r="G4" s="230"/>
      <c r="H4" s="230"/>
      <c r="I4" s="219"/>
      <c r="J4" s="219"/>
      <c r="K4" s="184" t="s">
        <v>47</v>
      </c>
      <c r="L4" s="186"/>
      <c r="M4" s="185"/>
      <c r="N4" s="228" t="s">
        <v>22</v>
      </c>
      <c r="O4" s="229"/>
      <c r="P4" s="184" t="s">
        <v>24</v>
      </c>
      <c r="Q4" s="185"/>
      <c r="R4" s="219" t="s">
        <v>14</v>
      </c>
      <c r="S4" s="219"/>
      <c r="T4" s="220"/>
      <c r="U4" s="43"/>
      <c r="V4" s="44"/>
      <c r="W4" s="44"/>
      <c r="X4" s="44"/>
      <c r="Y4" s="44"/>
      <c r="Z4" s="44"/>
      <c r="AA4" s="44"/>
    </row>
    <row r="5" spans="1:27" ht="30" customHeight="1" thickBot="1" x14ac:dyDescent="0.25">
      <c r="A5" s="212" t="s">
        <v>20</v>
      </c>
      <c r="B5" s="213"/>
      <c r="C5" s="214"/>
      <c r="D5" s="214"/>
      <c r="E5" s="217" t="s">
        <v>45</v>
      </c>
      <c r="F5" s="218"/>
      <c r="G5" s="218"/>
      <c r="H5" s="218"/>
      <c r="I5" s="195">
        <v>3.3</v>
      </c>
      <c r="J5" s="195"/>
      <c r="K5" s="209" t="s">
        <v>48</v>
      </c>
      <c r="L5" s="210"/>
      <c r="M5" s="211"/>
      <c r="N5" s="215"/>
      <c r="O5" s="216"/>
      <c r="P5" s="193"/>
      <c r="Q5" s="194"/>
      <c r="R5" s="195"/>
      <c r="S5" s="195"/>
      <c r="T5" s="196"/>
      <c r="U5" s="43"/>
      <c r="V5" s="44"/>
      <c r="W5" s="44"/>
      <c r="X5" s="44"/>
      <c r="Y5" s="44"/>
      <c r="Z5" s="44"/>
      <c r="AA5" s="44"/>
    </row>
    <row r="6" spans="1:27" ht="65.25" customHeight="1" thickBot="1" x14ac:dyDescent="0.25">
      <c r="A6" s="165" t="s">
        <v>2</v>
      </c>
      <c r="B6" s="166"/>
      <c r="C6" s="197" t="s">
        <v>54</v>
      </c>
      <c r="D6" s="198"/>
      <c r="E6" s="198"/>
      <c r="F6" s="198"/>
      <c r="G6" s="198"/>
      <c r="H6" s="198"/>
      <c r="I6" s="198"/>
      <c r="J6" s="198"/>
      <c r="K6" s="199"/>
      <c r="L6" s="200" t="s">
        <v>56</v>
      </c>
      <c r="M6" s="201"/>
      <c r="N6" s="201"/>
      <c r="O6" s="201"/>
      <c r="P6" s="201"/>
      <c r="Q6" s="202"/>
      <c r="R6" s="203" t="s">
        <v>26</v>
      </c>
      <c r="S6" s="204"/>
      <c r="T6" s="205"/>
      <c r="U6" s="45"/>
      <c r="V6" s="44"/>
      <c r="W6" s="44"/>
      <c r="X6" s="46"/>
      <c r="Y6" s="46"/>
      <c r="Z6" s="46"/>
      <c r="AA6" s="46"/>
    </row>
    <row r="7" spans="1:27" x14ac:dyDescent="0.2">
      <c r="A7" s="14"/>
      <c r="B7" s="14"/>
      <c r="C7" s="11"/>
      <c r="D7" s="11"/>
      <c r="E7" s="11"/>
      <c r="F7" s="11"/>
      <c r="G7" s="11"/>
      <c r="H7" s="11"/>
      <c r="I7" s="11"/>
      <c r="J7" s="11" t="s">
        <v>5</v>
      </c>
      <c r="K7" s="11" t="s">
        <v>5</v>
      </c>
      <c r="L7" s="11" t="s">
        <v>33</v>
      </c>
      <c r="M7" s="11" t="s">
        <v>33</v>
      </c>
      <c r="N7" s="19"/>
      <c r="O7" s="19"/>
      <c r="P7" s="19"/>
      <c r="Q7" s="21"/>
      <c r="R7" s="20"/>
      <c r="S7" s="20"/>
      <c r="T7" s="12"/>
      <c r="U7" s="24"/>
      <c r="V7" s="27"/>
      <c r="W7" s="28"/>
      <c r="X7" s="25"/>
      <c r="Y7" s="13"/>
      <c r="Z7" s="13"/>
      <c r="AA7" s="13"/>
    </row>
    <row r="8" spans="1:27" ht="51" x14ac:dyDescent="0.2">
      <c r="A8" s="14" t="s">
        <v>27</v>
      </c>
      <c r="B8" s="14" t="s">
        <v>28</v>
      </c>
      <c r="C8" s="38" t="s">
        <v>49</v>
      </c>
      <c r="D8" s="38" t="s">
        <v>50</v>
      </c>
      <c r="E8" s="15" t="s">
        <v>29</v>
      </c>
      <c r="F8" s="16" t="s">
        <v>31</v>
      </c>
      <c r="G8" s="15" t="s">
        <v>32</v>
      </c>
      <c r="H8" s="14" t="s">
        <v>3</v>
      </c>
      <c r="I8" s="14" t="s">
        <v>4</v>
      </c>
      <c r="J8" s="36" t="s">
        <v>39</v>
      </c>
      <c r="K8" s="36" t="s">
        <v>40</v>
      </c>
      <c r="L8" s="36" t="s">
        <v>39</v>
      </c>
      <c r="M8" s="36" t="s">
        <v>40</v>
      </c>
      <c r="N8" s="23" t="s">
        <v>34</v>
      </c>
      <c r="O8" s="23" t="s">
        <v>35</v>
      </c>
      <c r="P8" s="17" t="s">
        <v>36</v>
      </c>
      <c r="Q8" s="22"/>
      <c r="R8" s="18"/>
      <c r="S8" s="18" t="s">
        <v>37</v>
      </c>
      <c r="T8" s="16" t="s">
        <v>38</v>
      </c>
      <c r="U8" s="23" t="s">
        <v>16</v>
      </c>
      <c r="V8" s="29" t="s">
        <v>10</v>
      </c>
      <c r="W8" s="30" t="s">
        <v>11</v>
      </c>
      <c r="X8" s="26" t="s">
        <v>6</v>
      </c>
      <c r="Y8" s="10" t="s">
        <v>8</v>
      </c>
      <c r="Z8" s="10" t="s">
        <v>9</v>
      </c>
      <c r="AA8" s="10" t="s">
        <v>7</v>
      </c>
    </row>
    <row r="9" spans="1:27" x14ac:dyDescent="0.2">
      <c r="A9" s="14"/>
      <c r="B9" s="14"/>
      <c r="C9" s="37" t="s">
        <v>51</v>
      </c>
      <c r="D9" s="37" t="s">
        <v>51</v>
      </c>
      <c r="E9" s="14" t="s">
        <v>30</v>
      </c>
      <c r="F9" s="14" t="s">
        <v>15</v>
      </c>
      <c r="G9" s="3">
        <v>5000000</v>
      </c>
      <c r="H9" s="14"/>
      <c r="I9" s="14" t="s">
        <v>13</v>
      </c>
      <c r="J9" s="35" t="s">
        <v>41</v>
      </c>
      <c r="K9" s="35" t="s">
        <v>41</v>
      </c>
      <c r="L9" s="35" t="s">
        <v>41</v>
      </c>
      <c r="M9" s="35" t="s">
        <v>41</v>
      </c>
      <c r="N9" s="17"/>
      <c r="O9" s="17"/>
      <c r="P9" s="17"/>
      <c r="Q9" s="22"/>
      <c r="R9" s="18"/>
      <c r="S9" s="18"/>
      <c r="T9" s="23"/>
      <c r="U9" s="23"/>
      <c r="V9" s="31" t="s">
        <v>12</v>
      </c>
      <c r="W9" s="32" t="s">
        <v>12</v>
      </c>
      <c r="X9" s="25" t="s">
        <v>12</v>
      </c>
      <c r="Y9" s="13" t="s">
        <v>12</v>
      </c>
      <c r="Z9" s="13" t="s">
        <v>12</v>
      </c>
      <c r="AA9" s="13" t="s">
        <v>12</v>
      </c>
    </row>
    <row r="10" spans="1:27" ht="18" customHeight="1" x14ac:dyDescent="0.2">
      <c r="A10" s="47">
        <v>1</v>
      </c>
      <c r="B10" s="206" t="s">
        <v>55</v>
      </c>
      <c r="C10" s="207"/>
      <c r="D10" s="207"/>
      <c r="E10" s="207"/>
      <c r="F10" s="207"/>
      <c r="G10" s="207"/>
      <c r="H10" s="208"/>
      <c r="I10" s="48"/>
      <c r="J10" s="48"/>
      <c r="K10" s="48"/>
      <c r="L10" s="48"/>
      <c r="M10" s="48"/>
      <c r="N10" s="49"/>
      <c r="O10" s="49"/>
      <c r="P10" s="173"/>
      <c r="Q10" s="173"/>
      <c r="R10" s="173"/>
      <c r="S10" s="18"/>
      <c r="T10" s="23"/>
      <c r="U10" s="23"/>
      <c r="V10" s="31"/>
      <c r="W10" s="32"/>
      <c r="X10" s="25"/>
      <c r="Y10" s="13"/>
      <c r="Z10" s="13"/>
      <c r="AA10" s="13"/>
    </row>
    <row r="11" spans="1:27" ht="89.25" customHeight="1" x14ac:dyDescent="0.2">
      <c r="A11" s="1"/>
      <c r="B11" s="2" t="s">
        <v>69</v>
      </c>
      <c r="C11" s="2">
        <v>6.5</v>
      </c>
      <c r="D11" s="9">
        <v>-6.5</v>
      </c>
      <c r="E11" s="3">
        <v>186.5</v>
      </c>
      <c r="F11" s="3" t="s">
        <v>71</v>
      </c>
      <c r="G11" s="3">
        <v>5000187</v>
      </c>
      <c r="H11" s="51">
        <v>1.08</v>
      </c>
      <c r="I11" s="2">
        <v>12</v>
      </c>
      <c r="J11" s="2">
        <v>1.76</v>
      </c>
      <c r="K11" s="2">
        <v>-1.67</v>
      </c>
      <c r="L11" s="2">
        <v>3.99</v>
      </c>
      <c r="M11" s="2">
        <v>-4.24</v>
      </c>
      <c r="N11" s="4" t="s">
        <v>72</v>
      </c>
      <c r="O11" s="4"/>
      <c r="P11" s="172" t="s">
        <v>75</v>
      </c>
      <c r="Q11" s="173"/>
      <c r="R11" s="173"/>
      <c r="S11" s="50">
        <v>45195</v>
      </c>
      <c r="T11" s="5" t="s">
        <v>70</v>
      </c>
      <c r="U11" s="124">
        <v>406315</v>
      </c>
      <c r="V11" s="6">
        <f t="shared" ref="V11:V31" si="0">(C11+D11)/2</f>
        <v>0</v>
      </c>
      <c r="W11" s="7">
        <f t="shared" ref="W11:W31" si="1">(C11-D11)/2</f>
        <v>6.5</v>
      </c>
      <c r="X11" s="39">
        <f t="shared" ref="X11:X31" si="2">C11-$N$2*W11</f>
        <v>6.3049999999999997</v>
      </c>
      <c r="Y11" s="40">
        <f t="shared" ref="Y11:Y31" si="3">C11+$N$2*W11</f>
        <v>6.6950000000000003</v>
      </c>
      <c r="Z11" s="40">
        <f t="shared" ref="Z11:Z31" si="4">D11-$N$2*W11</f>
        <v>-6.6950000000000003</v>
      </c>
      <c r="AA11" s="40">
        <f t="shared" ref="AA11:AA31" si="5">D11+$N$2*W11</f>
        <v>-6.3049999999999997</v>
      </c>
    </row>
    <row r="12" spans="1:27" ht="30" customHeight="1" x14ac:dyDescent="0.2">
      <c r="A12" s="1"/>
      <c r="B12" s="122" t="s">
        <v>73</v>
      </c>
      <c r="C12" s="122">
        <v>6.5</v>
      </c>
      <c r="D12" s="42">
        <v>-6.5</v>
      </c>
      <c r="E12" s="3">
        <v>228.5</v>
      </c>
      <c r="F12" s="3" t="s">
        <v>72</v>
      </c>
      <c r="G12" s="3">
        <v>5000229</v>
      </c>
      <c r="H12" s="51">
        <v>1.08</v>
      </c>
      <c r="I12" s="41">
        <v>12</v>
      </c>
      <c r="J12" s="2">
        <v>2.37</v>
      </c>
      <c r="K12" s="2">
        <v>-2.19</v>
      </c>
      <c r="L12" s="2">
        <v>2.5099999999999998</v>
      </c>
      <c r="M12" s="2">
        <v>-2.29</v>
      </c>
      <c r="N12" s="4" t="s">
        <v>72</v>
      </c>
      <c r="O12" s="4"/>
      <c r="P12" s="173" t="s">
        <v>76</v>
      </c>
      <c r="Q12" s="173"/>
      <c r="R12" s="173"/>
      <c r="S12" s="50">
        <v>45203</v>
      </c>
      <c r="T12" s="5" t="s">
        <v>74</v>
      </c>
      <c r="U12" s="123">
        <v>535</v>
      </c>
      <c r="V12" s="6">
        <f t="shared" si="0"/>
        <v>0</v>
      </c>
      <c r="W12" s="7">
        <f t="shared" si="1"/>
        <v>6.5</v>
      </c>
      <c r="X12" s="39">
        <f t="shared" si="2"/>
        <v>6.3049999999999997</v>
      </c>
      <c r="Y12" s="40">
        <f t="shared" si="3"/>
        <v>6.6950000000000003</v>
      </c>
      <c r="Z12" s="40">
        <f t="shared" si="4"/>
        <v>-6.6950000000000003</v>
      </c>
      <c r="AA12" s="40">
        <f t="shared" si="5"/>
        <v>-6.3049999999999997</v>
      </c>
    </row>
    <row r="13" spans="1:27" ht="30" customHeight="1" x14ac:dyDescent="0.2">
      <c r="A13" s="1"/>
      <c r="B13" s="155" t="s">
        <v>77</v>
      </c>
      <c r="C13" s="155">
        <v>7.58</v>
      </c>
      <c r="D13" s="155">
        <v>-7.58</v>
      </c>
      <c r="E13" s="168">
        <v>144.5</v>
      </c>
      <c r="F13" s="168" t="s">
        <v>72</v>
      </c>
      <c r="G13" s="168">
        <v>5000145</v>
      </c>
      <c r="H13" s="51">
        <v>1.08</v>
      </c>
      <c r="I13" s="41">
        <v>12</v>
      </c>
      <c r="J13" s="2">
        <v>2.02</v>
      </c>
      <c r="K13" s="2">
        <v>-1.85</v>
      </c>
      <c r="L13" s="2"/>
      <c r="M13" s="2"/>
      <c r="N13" s="163" t="s">
        <v>82</v>
      </c>
      <c r="O13" s="163" t="s">
        <v>83</v>
      </c>
      <c r="P13" s="173" t="s">
        <v>79</v>
      </c>
      <c r="Q13" s="173"/>
      <c r="R13" s="173"/>
      <c r="S13" s="50">
        <v>45208</v>
      </c>
      <c r="T13" s="5" t="s">
        <v>74</v>
      </c>
      <c r="U13" s="123"/>
      <c r="V13" s="6">
        <f t="shared" si="0"/>
        <v>0</v>
      </c>
      <c r="W13" s="7">
        <f t="shared" si="1"/>
        <v>7.58</v>
      </c>
      <c r="X13" s="39">
        <f t="shared" si="2"/>
        <v>7.3525999999999998</v>
      </c>
      <c r="Y13" s="40">
        <f t="shared" si="3"/>
        <v>7.8074000000000003</v>
      </c>
      <c r="Z13" s="40">
        <f t="shared" si="4"/>
        <v>-7.8074000000000003</v>
      </c>
      <c r="AA13" s="40">
        <f t="shared" si="5"/>
        <v>-7.3525999999999998</v>
      </c>
    </row>
    <row r="14" spans="1:27" ht="30" customHeight="1" x14ac:dyDescent="0.2">
      <c r="A14" s="1"/>
      <c r="B14" s="167"/>
      <c r="C14" s="167"/>
      <c r="D14" s="167"/>
      <c r="E14" s="169"/>
      <c r="F14" s="169"/>
      <c r="G14" s="169"/>
      <c r="H14" s="51">
        <v>1.08</v>
      </c>
      <c r="I14" s="41">
        <v>12</v>
      </c>
      <c r="J14" s="2">
        <v>3.07</v>
      </c>
      <c r="K14" s="2">
        <v>-3.37</v>
      </c>
      <c r="L14" s="2">
        <v>5.07</v>
      </c>
      <c r="M14" s="2">
        <v>-5.3</v>
      </c>
      <c r="N14" s="171"/>
      <c r="O14" s="171"/>
      <c r="P14" s="173" t="s">
        <v>80</v>
      </c>
      <c r="Q14" s="173"/>
      <c r="R14" s="173"/>
      <c r="S14" s="50">
        <v>45211</v>
      </c>
      <c r="T14" s="5" t="s">
        <v>74</v>
      </c>
      <c r="U14" s="5"/>
      <c r="V14" s="6">
        <f t="shared" si="0"/>
        <v>0</v>
      </c>
      <c r="W14" s="7">
        <f t="shared" si="1"/>
        <v>0</v>
      </c>
      <c r="X14" s="39">
        <f t="shared" si="2"/>
        <v>0</v>
      </c>
      <c r="Y14" s="40">
        <f t="shared" si="3"/>
        <v>0</v>
      </c>
      <c r="Z14" s="40">
        <f t="shared" si="4"/>
        <v>0</v>
      </c>
      <c r="AA14" s="40">
        <f t="shared" si="5"/>
        <v>0</v>
      </c>
    </row>
    <row r="15" spans="1:27" ht="30" customHeight="1" x14ac:dyDescent="0.2">
      <c r="A15" s="1"/>
      <c r="B15" s="156"/>
      <c r="C15" s="156"/>
      <c r="D15" s="156"/>
      <c r="E15" s="170"/>
      <c r="F15" s="170"/>
      <c r="G15" s="170"/>
      <c r="H15" s="2">
        <v>1.08</v>
      </c>
      <c r="I15" s="41">
        <v>12</v>
      </c>
      <c r="J15" s="2">
        <v>5.0199999999999996</v>
      </c>
      <c r="K15" s="2">
        <v>-5.12</v>
      </c>
      <c r="L15" s="2">
        <v>6.25</v>
      </c>
      <c r="M15" s="2">
        <v>-6.06</v>
      </c>
      <c r="N15" s="164"/>
      <c r="O15" s="164"/>
      <c r="P15" s="173" t="s">
        <v>81</v>
      </c>
      <c r="Q15" s="173"/>
      <c r="R15" s="173"/>
      <c r="S15" s="50">
        <v>45215</v>
      </c>
      <c r="T15" s="5" t="s">
        <v>74</v>
      </c>
      <c r="U15" s="129">
        <v>5685766</v>
      </c>
      <c r="V15" s="6">
        <f t="shared" si="0"/>
        <v>0</v>
      </c>
      <c r="W15" s="7">
        <f t="shared" si="1"/>
        <v>0</v>
      </c>
      <c r="X15" s="39">
        <f t="shared" si="2"/>
        <v>0</v>
      </c>
      <c r="Y15" s="40">
        <f t="shared" si="3"/>
        <v>0</v>
      </c>
      <c r="Z15" s="40">
        <f t="shared" si="4"/>
        <v>0</v>
      </c>
      <c r="AA15" s="40">
        <f t="shared" si="5"/>
        <v>0</v>
      </c>
    </row>
    <row r="16" spans="1:27" ht="44.25" customHeight="1" x14ac:dyDescent="0.2">
      <c r="A16" s="1"/>
      <c r="B16" s="125" t="s">
        <v>84</v>
      </c>
      <c r="C16" s="2">
        <v>7.02</v>
      </c>
      <c r="D16" s="2">
        <v>-7.02</v>
      </c>
      <c r="E16" s="3">
        <v>175.5</v>
      </c>
      <c r="F16" s="3" t="s">
        <v>72</v>
      </c>
      <c r="G16" s="3">
        <v>5000176</v>
      </c>
      <c r="H16" s="2">
        <v>1.08</v>
      </c>
      <c r="I16" s="2">
        <v>12</v>
      </c>
      <c r="J16" s="2">
        <v>1.98</v>
      </c>
      <c r="K16" s="2">
        <v>-2.04</v>
      </c>
      <c r="L16" s="2">
        <v>3.92</v>
      </c>
      <c r="M16" s="2">
        <v>-3.88</v>
      </c>
      <c r="N16" s="4" t="s">
        <v>89</v>
      </c>
      <c r="O16" s="4"/>
      <c r="P16" s="172" t="s">
        <v>85</v>
      </c>
      <c r="Q16" s="173"/>
      <c r="R16" s="173"/>
      <c r="S16" s="50">
        <v>45216</v>
      </c>
      <c r="T16" s="5" t="s">
        <v>74</v>
      </c>
      <c r="U16" s="124">
        <v>179073</v>
      </c>
      <c r="V16" s="6">
        <f t="shared" si="0"/>
        <v>0</v>
      </c>
      <c r="W16" s="7">
        <f t="shared" si="1"/>
        <v>7.02</v>
      </c>
      <c r="X16" s="39">
        <f t="shared" si="2"/>
        <v>6.8093999999999992</v>
      </c>
      <c r="Y16" s="40">
        <f t="shared" si="3"/>
        <v>7.2305999999999999</v>
      </c>
      <c r="Z16" s="40">
        <f t="shared" si="4"/>
        <v>-7.2305999999999999</v>
      </c>
      <c r="AA16" s="40">
        <f t="shared" si="5"/>
        <v>-6.8093999999999992</v>
      </c>
    </row>
    <row r="17" spans="1:27" ht="27.75" customHeight="1" x14ac:dyDescent="0.2">
      <c r="A17" s="1"/>
      <c r="B17" s="127" t="s">
        <v>86</v>
      </c>
      <c r="C17" s="127">
        <v>7.58</v>
      </c>
      <c r="D17" s="127">
        <v>-7.58</v>
      </c>
      <c r="E17" s="3">
        <v>190.5</v>
      </c>
      <c r="F17" s="3" t="s">
        <v>72</v>
      </c>
      <c r="G17" s="3">
        <v>5000191</v>
      </c>
      <c r="H17" s="2">
        <v>1.08</v>
      </c>
      <c r="I17" s="2">
        <v>12</v>
      </c>
      <c r="J17" s="2">
        <v>1.98</v>
      </c>
      <c r="K17" s="2">
        <v>-3.69</v>
      </c>
      <c r="L17" s="2">
        <v>2.0499999999999998</v>
      </c>
      <c r="M17" s="2">
        <v>-3.77</v>
      </c>
      <c r="N17" s="4" t="s">
        <v>89</v>
      </c>
      <c r="O17" s="4"/>
      <c r="P17" s="173" t="s">
        <v>87</v>
      </c>
      <c r="Q17" s="173"/>
      <c r="R17" s="173"/>
      <c r="S17" s="50">
        <v>45222</v>
      </c>
      <c r="T17" s="5" t="s">
        <v>74</v>
      </c>
      <c r="U17" s="133">
        <v>25</v>
      </c>
      <c r="V17" s="6">
        <f t="shared" si="0"/>
        <v>0</v>
      </c>
      <c r="W17" s="7">
        <f t="shared" si="1"/>
        <v>7.58</v>
      </c>
      <c r="X17" s="39">
        <f t="shared" si="2"/>
        <v>7.3525999999999998</v>
      </c>
      <c r="Y17" s="40">
        <f t="shared" si="3"/>
        <v>7.8074000000000003</v>
      </c>
      <c r="Z17" s="40">
        <f t="shared" si="4"/>
        <v>-7.8074000000000003</v>
      </c>
      <c r="AA17" s="40">
        <f t="shared" si="5"/>
        <v>-7.3525999999999998</v>
      </c>
    </row>
    <row r="18" spans="1:27" ht="27.75" customHeight="1" x14ac:dyDescent="0.2">
      <c r="A18" s="1"/>
      <c r="B18" s="131" t="s">
        <v>88</v>
      </c>
      <c r="C18" s="126">
        <v>8.84</v>
      </c>
      <c r="D18" s="132">
        <v>-8.84</v>
      </c>
      <c r="E18" s="3">
        <v>148.5</v>
      </c>
      <c r="F18" s="3" t="s">
        <v>72</v>
      </c>
      <c r="G18" s="3">
        <v>5000149</v>
      </c>
      <c r="H18" s="130">
        <v>1.08</v>
      </c>
      <c r="I18" s="2">
        <v>12</v>
      </c>
      <c r="J18" s="2">
        <v>2.3199999999999998</v>
      </c>
      <c r="K18" s="2">
        <v>-3.68</v>
      </c>
      <c r="L18" s="2">
        <v>2.36</v>
      </c>
      <c r="M18" s="2">
        <v>-3.73</v>
      </c>
      <c r="N18" s="4" t="s">
        <v>89</v>
      </c>
      <c r="O18" s="4"/>
      <c r="P18" s="173"/>
      <c r="Q18" s="173"/>
      <c r="R18" s="173"/>
      <c r="S18" s="50">
        <v>45229</v>
      </c>
      <c r="T18" s="5" t="s">
        <v>74</v>
      </c>
      <c r="U18" s="133">
        <v>18</v>
      </c>
      <c r="V18" s="6">
        <f t="shared" si="0"/>
        <v>0</v>
      </c>
      <c r="W18" s="7">
        <f t="shared" si="1"/>
        <v>8.84</v>
      </c>
      <c r="X18" s="39">
        <f t="shared" si="2"/>
        <v>8.5747999999999998</v>
      </c>
      <c r="Y18" s="40">
        <f t="shared" si="3"/>
        <v>9.1052</v>
      </c>
      <c r="Z18" s="40">
        <f t="shared" si="4"/>
        <v>-9.1052</v>
      </c>
      <c r="AA18" s="40">
        <f t="shared" si="5"/>
        <v>-8.5747999999999998</v>
      </c>
    </row>
    <row r="19" spans="1:27" ht="27.75" customHeight="1" x14ac:dyDescent="0.2">
      <c r="A19" s="1">
        <v>1</v>
      </c>
      <c r="B19" s="134" t="s">
        <v>90</v>
      </c>
      <c r="C19" s="128">
        <v>10.315</v>
      </c>
      <c r="D19" s="135">
        <v>-10.315</v>
      </c>
      <c r="E19" s="3">
        <v>132.5</v>
      </c>
      <c r="F19" s="3" t="s">
        <v>72</v>
      </c>
      <c r="G19" s="3">
        <v>243506</v>
      </c>
      <c r="H19" s="2">
        <v>1.08</v>
      </c>
      <c r="I19" s="2">
        <v>12</v>
      </c>
      <c r="J19" s="2">
        <v>2.37</v>
      </c>
      <c r="K19" s="2">
        <v>-4.1500000000000004</v>
      </c>
      <c r="L19" s="2">
        <v>3.09</v>
      </c>
      <c r="M19" s="2">
        <v>-6.15</v>
      </c>
      <c r="N19" s="4" t="s">
        <v>91</v>
      </c>
      <c r="O19" s="4" t="s">
        <v>92</v>
      </c>
      <c r="P19" s="173"/>
      <c r="Q19" s="173"/>
      <c r="R19" s="173"/>
      <c r="S19" s="50">
        <v>45236</v>
      </c>
      <c r="T19" s="5" t="s">
        <v>74</v>
      </c>
      <c r="U19" s="133">
        <v>15694</v>
      </c>
      <c r="V19" s="6">
        <f t="shared" si="0"/>
        <v>0</v>
      </c>
      <c r="W19" s="7">
        <f t="shared" si="1"/>
        <v>10.315</v>
      </c>
      <c r="X19" s="39">
        <f t="shared" si="2"/>
        <v>10.005549999999999</v>
      </c>
      <c r="Y19" s="40">
        <f t="shared" si="3"/>
        <v>10.62445</v>
      </c>
      <c r="Z19" s="40">
        <f t="shared" si="4"/>
        <v>-10.62445</v>
      </c>
      <c r="AA19" s="40">
        <f t="shared" si="5"/>
        <v>-10.005549999999999</v>
      </c>
    </row>
    <row r="20" spans="1:27" ht="27.75" customHeight="1" x14ac:dyDescent="0.2">
      <c r="A20" s="1">
        <v>2</v>
      </c>
      <c r="B20" s="136" t="s">
        <v>93</v>
      </c>
      <c r="C20" s="2">
        <v>9.5510000000000002</v>
      </c>
      <c r="D20" s="2">
        <v>-9.5510000000000002</v>
      </c>
      <c r="E20" s="3">
        <v>133.5</v>
      </c>
      <c r="F20" s="3" t="s">
        <v>72</v>
      </c>
      <c r="G20" s="3">
        <v>5000134</v>
      </c>
      <c r="H20" s="2">
        <v>1.08</v>
      </c>
      <c r="I20" s="2">
        <v>12</v>
      </c>
      <c r="J20" s="2">
        <v>2.46</v>
      </c>
      <c r="K20" s="2">
        <v>-3.83</v>
      </c>
      <c r="L20" s="2">
        <v>2.5099999999999998</v>
      </c>
      <c r="M20" s="2">
        <v>-3.91</v>
      </c>
      <c r="N20" s="4" t="s">
        <v>89</v>
      </c>
      <c r="O20" s="4"/>
      <c r="P20" s="173" t="s">
        <v>96</v>
      </c>
      <c r="Q20" s="173"/>
      <c r="R20" s="173"/>
      <c r="S20" s="50">
        <v>45237</v>
      </c>
      <c r="T20" s="5" t="s">
        <v>74</v>
      </c>
      <c r="U20" s="133">
        <v>277</v>
      </c>
      <c r="V20" s="6">
        <f t="shared" si="0"/>
        <v>0</v>
      </c>
      <c r="W20" s="7">
        <f t="shared" si="1"/>
        <v>9.5510000000000002</v>
      </c>
      <c r="X20" s="39">
        <f t="shared" si="2"/>
        <v>9.2644699999999993</v>
      </c>
      <c r="Y20" s="40">
        <f t="shared" si="3"/>
        <v>9.837530000000001</v>
      </c>
      <c r="Z20" s="40">
        <f t="shared" si="4"/>
        <v>-9.837530000000001</v>
      </c>
      <c r="AA20" s="40">
        <f t="shared" si="5"/>
        <v>-9.2644699999999993</v>
      </c>
    </row>
    <row r="21" spans="1:27" ht="27.75" customHeight="1" x14ac:dyDescent="0.2">
      <c r="A21" s="1">
        <v>9</v>
      </c>
      <c r="B21" s="137" t="s">
        <v>94</v>
      </c>
      <c r="C21" s="138">
        <v>10.315</v>
      </c>
      <c r="D21" s="138">
        <v>-10.315</v>
      </c>
      <c r="E21" s="3">
        <v>124.5</v>
      </c>
      <c r="F21" s="3" t="s">
        <v>72</v>
      </c>
      <c r="G21" s="3">
        <v>5000125</v>
      </c>
      <c r="H21" s="2">
        <v>1.08</v>
      </c>
      <c r="I21" s="2">
        <v>12</v>
      </c>
      <c r="J21" s="2">
        <v>2.33</v>
      </c>
      <c r="K21" s="2">
        <v>-4.12</v>
      </c>
      <c r="L21" s="140"/>
      <c r="M21" s="140"/>
      <c r="N21" s="4"/>
      <c r="O21" s="4"/>
      <c r="P21" s="173" t="s">
        <v>95</v>
      </c>
      <c r="Q21" s="173"/>
      <c r="R21" s="173"/>
      <c r="S21" s="50">
        <v>45243</v>
      </c>
      <c r="T21" s="5" t="s">
        <v>74</v>
      </c>
      <c r="U21" s="133">
        <v>207</v>
      </c>
      <c r="V21" s="6">
        <f t="shared" si="0"/>
        <v>0</v>
      </c>
      <c r="W21" s="7">
        <f t="shared" si="1"/>
        <v>10.315</v>
      </c>
      <c r="X21" s="39">
        <f t="shared" si="2"/>
        <v>10.005549999999999</v>
      </c>
      <c r="Y21" s="40">
        <f t="shared" si="3"/>
        <v>10.62445</v>
      </c>
      <c r="Z21" s="40">
        <f t="shared" si="4"/>
        <v>-10.62445</v>
      </c>
      <c r="AA21" s="40">
        <f t="shared" si="5"/>
        <v>-10.005549999999999</v>
      </c>
    </row>
    <row r="22" spans="1:27" ht="27.75" customHeight="1" x14ac:dyDescent="0.2">
      <c r="A22" s="1">
        <v>4</v>
      </c>
      <c r="B22" s="139" t="s">
        <v>97</v>
      </c>
      <c r="C22" s="2">
        <v>11.14</v>
      </c>
      <c r="D22" s="2">
        <v>-11.14</v>
      </c>
      <c r="E22" s="3">
        <v>112.5</v>
      </c>
      <c r="F22" s="3" t="s">
        <v>72</v>
      </c>
      <c r="G22" s="3">
        <v>5000113</v>
      </c>
      <c r="H22" s="2">
        <v>1.08</v>
      </c>
      <c r="I22" s="2">
        <v>12</v>
      </c>
      <c r="J22" s="2">
        <v>2.39</v>
      </c>
      <c r="K22" s="2">
        <v>-4.29</v>
      </c>
      <c r="L22" s="2">
        <v>2.4500000000000002</v>
      </c>
      <c r="M22" s="2">
        <v>-4.3600000000000003</v>
      </c>
      <c r="N22" s="4" t="s">
        <v>89</v>
      </c>
      <c r="O22" s="4"/>
      <c r="P22" s="173" t="s">
        <v>98</v>
      </c>
      <c r="Q22" s="173"/>
      <c r="R22" s="173"/>
      <c r="S22" s="50">
        <v>45250</v>
      </c>
      <c r="T22" s="5" t="s">
        <v>74</v>
      </c>
      <c r="U22" s="133">
        <v>28</v>
      </c>
      <c r="V22" s="6">
        <f t="shared" si="0"/>
        <v>0</v>
      </c>
      <c r="W22" s="7">
        <f t="shared" si="1"/>
        <v>11.14</v>
      </c>
      <c r="X22" s="39">
        <f t="shared" si="2"/>
        <v>10.805800000000001</v>
      </c>
      <c r="Y22" s="40">
        <f t="shared" si="3"/>
        <v>11.4742</v>
      </c>
      <c r="Z22" s="40">
        <f t="shared" si="4"/>
        <v>-11.4742</v>
      </c>
      <c r="AA22" s="40">
        <f t="shared" si="5"/>
        <v>-10.805800000000001</v>
      </c>
    </row>
    <row r="23" spans="1:27" ht="27.75" customHeight="1" x14ac:dyDescent="0.2">
      <c r="A23" s="1">
        <v>5</v>
      </c>
      <c r="B23" s="141" t="s">
        <v>100</v>
      </c>
      <c r="C23" s="2">
        <v>12.03</v>
      </c>
      <c r="D23" s="2">
        <v>-12.03</v>
      </c>
      <c r="E23" s="3">
        <v>136.5</v>
      </c>
      <c r="F23" s="3" t="s">
        <v>72</v>
      </c>
      <c r="G23" s="3">
        <v>113049</v>
      </c>
      <c r="H23" s="2">
        <v>1.08</v>
      </c>
      <c r="I23" s="2">
        <v>15</v>
      </c>
      <c r="J23" s="2">
        <v>2.57</v>
      </c>
      <c r="K23" s="2">
        <v>-3.92</v>
      </c>
      <c r="L23" s="2">
        <v>4.5999999999999996</v>
      </c>
      <c r="M23" s="2">
        <v>-4.62</v>
      </c>
      <c r="N23" s="4" t="s">
        <v>91</v>
      </c>
      <c r="O23" s="4" t="s">
        <v>92</v>
      </c>
      <c r="P23" s="173" t="s">
        <v>99</v>
      </c>
      <c r="Q23" s="173"/>
      <c r="R23" s="173"/>
      <c r="S23" s="50">
        <v>45257</v>
      </c>
      <c r="T23" s="5" t="s">
        <v>74</v>
      </c>
      <c r="U23" s="133">
        <v>146</v>
      </c>
      <c r="V23" s="6">
        <f t="shared" si="0"/>
        <v>0</v>
      </c>
      <c r="W23" s="7">
        <f t="shared" si="1"/>
        <v>12.03</v>
      </c>
      <c r="X23" s="39">
        <f t="shared" si="2"/>
        <v>11.6691</v>
      </c>
      <c r="Y23" s="40">
        <f t="shared" si="3"/>
        <v>12.390899999999998</v>
      </c>
      <c r="Z23" s="40">
        <f t="shared" si="4"/>
        <v>-12.390899999999998</v>
      </c>
      <c r="AA23" s="40">
        <f t="shared" si="5"/>
        <v>-11.6691</v>
      </c>
    </row>
    <row r="24" spans="1:27" ht="27.75" customHeight="1" x14ac:dyDescent="0.2">
      <c r="A24" s="1">
        <v>6</v>
      </c>
      <c r="B24" s="143" t="s">
        <v>101</v>
      </c>
      <c r="C24" s="142">
        <v>11.14</v>
      </c>
      <c r="D24" s="142">
        <v>-11.14</v>
      </c>
      <c r="E24" s="3">
        <v>139.5</v>
      </c>
      <c r="F24" s="3" t="s">
        <v>72</v>
      </c>
      <c r="G24" s="3">
        <v>691144</v>
      </c>
      <c r="H24" s="2">
        <v>1.08</v>
      </c>
      <c r="I24" s="2">
        <v>15</v>
      </c>
      <c r="J24" s="2">
        <v>2.82</v>
      </c>
      <c r="K24" s="2">
        <v>-3.52</v>
      </c>
      <c r="L24" s="2">
        <v>3.58</v>
      </c>
      <c r="M24" s="2">
        <v>-5.52</v>
      </c>
      <c r="N24" s="4" t="s">
        <v>91</v>
      </c>
      <c r="O24" s="4" t="s">
        <v>92</v>
      </c>
      <c r="P24" s="173" t="s">
        <v>102</v>
      </c>
      <c r="Q24" s="173"/>
      <c r="R24" s="173"/>
      <c r="S24" s="50">
        <v>45258</v>
      </c>
      <c r="T24" s="5" t="s">
        <v>74</v>
      </c>
      <c r="U24" s="133">
        <v>239</v>
      </c>
      <c r="V24" s="6">
        <f t="shared" si="0"/>
        <v>0</v>
      </c>
      <c r="W24" s="7">
        <f t="shared" si="1"/>
        <v>11.14</v>
      </c>
      <c r="X24" s="39">
        <f t="shared" si="2"/>
        <v>10.805800000000001</v>
      </c>
      <c r="Y24" s="40">
        <f t="shared" si="3"/>
        <v>11.4742</v>
      </c>
      <c r="Z24" s="40">
        <f t="shared" si="4"/>
        <v>-11.4742</v>
      </c>
      <c r="AA24" s="40">
        <f t="shared" si="5"/>
        <v>-10.805800000000001</v>
      </c>
    </row>
    <row r="25" spans="1:27" ht="27.75" customHeight="1" x14ac:dyDescent="0.2">
      <c r="A25" s="1"/>
      <c r="B25" s="155" t="s">
        <v>103</v>
      </c>
      <c r="C25" s="155">
        <v>10.315</v>
      </c>
      <c r="D25" s="155">
        <v>-10.315</v>
      </c>
      <c r="E25" s="168">
        <v>162.5</v>
      </c>
      <c r="F25" s="3" t="s">
        <v>72</v>
      </c>
      <c r="G25" s="3">
        <v>626625</v>
      </c>
      <c r="H25" s="2">
        <v>1.08</v>
      </c>
      <c r="I25" s="2">
        <v>15</v>
      </c>
      <c r="J25" s="2">
        <v>2.61</v>
      </c>
      <c r="K25" s="2">
        <v>-3.39</v>
      </c>
      <c r="L25" s="2">
        <v>4.66</v>
      </c>
      <c r="M25" s="2">
        <v>-9.34</v>
      </c>
      <c r="N25" s="163" t="s">
        <v>89</v>
      </c>
      <c r="O25" s="163"/>
      <c r="P25" s="157" t="s">
        <v>104</v>
      </c>
      <c r="Q25" s="158"/>
      <c r="R25" s="159"/>
      <c r="S25" s="50">
        <v>45259</v>
      </c>
      <c r="T25" s="5" t="s">
        <v>74</v>
      </c>
      <c r="U25" s="232">
        <v>773</v>
      </c>
      <c r="V25" s="6">
        <f t="shared" si="0"/>
        <v>0</v>
      </c>
      <c r="W25" s="7">
        <f t="shared" si="1"/>
        <v>10.315</v>
      </c>
      <c r="X25" s="39">
        <f t="shared" si="2"/>
        <v>10.005549999999999</v>
      </c>
      <c r="Y25" s="40">
        <f t="shared" si="3"/>
        <v>10.62445</v>
      </c>
      <c r="Z25" s="40">
        <f t="shared" si="4"/>
        <v>-10.62445</v>
      </c>
      <c r="AA25" s="40">
        <f t="shared" si="5"/>
        <v>-10.005549999999999</v>
      </c>
    </row>
    <row r="26" spans="1:27" ht="27.75" customHeight="1" x14ac:dyDescent="0.2">
      <c r="A26" s="1">
        <v>7</v>
      </c>
      <c r="B26" s="156"/>
      <c r="C26" s="156"/>
      <c r="D26" s="156"/>
      <c r="E26" s="170"/>
      <c r="F26" s="3" t="s">
        <v>72</v>
      </c>
      <c r="G26" s="3">
        <v>5000163</v>
      </c>
      <c r="H26" s="2">
        <v>1.08</v>
      </c>
      <c r="I26" s="2">
        <v>15</v>
      </c>
      <c r="J26" s="2">
        <v>2.27</v>
      </c>
      <c r="K26" s="2">
        <v>-3.69</v>
      </c>
      <c r="L26" s="2">
        <v>2.36</v>
      </c>
      <c r="M26" s="2">
        <v>-3.66</v>
      </c>
      <c r="N26" s="164"/>
      <c r="O26" s="164"/>
      <c r="P26" s="160"/>
      <c r="Q26" s="161"/>
      <c r="R26" s="162"/>
      <c r="S26" s="50">
        <v>45264</v>
      </c>
      <c r="T26" s="5" t="s">
        <v>74</v>
      </c>
      <c r="U26" s="233"/>
      <c r="V26" s="6">
        <f t="shared" si="0"/>
        <v>0</v>
      </c>
      <c r="W26" s="7">
        <f t="shared" si="1"/>
        <v>0</v>
      </c>
      <c r="X26" s="39">
        <f t="shared" si="2"/>
        <v>0</v>
      </c>
      <c r="Y26" s="40">
        <f t="shared" si="3"/>
        <v>0</v>
      </c>
      <c r="Z26" s="40">
        <f t="shared" si="4"/>
        <v>0</v>
      </c>
      <c r="AA26" s="40">
        <f t="shared" si="5"/>
        <v>0</v>
      </c>
    </row>
    <row r="27" spans="1:27" ht="27.75" customHeight="1" x14ac:dyDescent="0.2">
      <c r="A27" s="1">
        <v>8</v>
      </c>
      <c r="B27" s="2" t="s">
        <v>105</v>
      </c>
      <c r="C27" s="144">
        <v>11.14</v>
      </c>
      <c r="D27" s="144">
        <v>-11.14</v>
      </c>
      <c r="E27" s="3">
        <v>139</v>
      </c>
      <c r="F27" s="3" t="s">
        <v>72</v>
      </c>
      <c r="G27" s="3">
        <v>1333887</v>
      </c>
      <c r="H27" s="2">
        <v>1.08</v>
      </c>
      <c r="I27" s="2">
        <v>15</v>
      </c>
      <c r="J27" s="2">
        <v>2.4900000000000002</v>
      </c>
      <c r="K27" s="2">
        <v>-3.72</v>
      </c>
      <c r="L27" s="2">
        <v>4.5</v>
      </c>
      <c r="M27" s="2">
        <v>-4.41</v>
      </c>
      <c r="N27" s="4" t="s">
        <v>91</v>
      </c>
      <c r="O27" s="4" t="s">
        <v>92</v>
      </c>
      <c r="P27" s="173" t="s">
        <v>107</v>
      </c>
      <c r="Q27" s="173"/>
      <c r="R27" s="173"/>
      <c r="S27" s="50">
        <v>45268</v>
      </c>
      <c r="T27" s="5" t="s">
        <v>74</v>
      </c>
      <c r="U27" s="133">
        <v>256</v>
      </c>
      <c r="V27" s="6">
        <f t="shared" si="0"/>
        <v>0</v>
      </c>
      <c r="W27" s="7">
        <f t="shared" si="1"/>
        <v>11.14</v>
      </c>
      <c r="X27" s="39">
        <f t="shared" si="2"/>
        <v>10.805800000000001</v>
      </c>
      <c r="Y27" s="40">
        <f t="shared" si="3"/>
        <v>11.4742</v>
      </c>
      <c r="Z27" s="8">
        <f t="shared" si="4"/>
        <v>-11.4742</v>
      </c>
      <c r="AA27" s="8">
        <f t="shared" si="5"/>
        <v>-10.805800000000001</v>
      </c>
    </row>
    <row r="28" spans="1:27" ht="27.75" customHeight="1" x14ac:dyDescent="0.2">
      <c r="A28" s="1">
        <v>3</v>
      </c>
      <c r="B28" s="146" t="s">
        <v>106</v>
      </c>
      <c r="C28" s="145">
        <v>10.315</v>
      </c>
      <c r="D28" s="145">
        <v>-10.315</v>
      </c>
      <c r="E28" s="3">
        <v>151.5</v>
      </c>
      <c r="F28" s="3" t="s">
        <v>72</v>
      </c>
      <c r="G28" s="3">
        <v>5000152</v>
      </c>
      <c r="H28" s="2">
        <v>1.08</v>
      </c>
      <c r="I28" s="2">
        <v>15</v>
      </c>
      <c r="J28" s="2">
        <v>1.8</v>
      </c>
      <c r="K28" s="2">
        <v>-2.93</v>
      </c>
      <c r="L28" s="2">
        <v>1.88</v>
      </c>
      <c r="M28" s="2">
        <v>-3.05</v>
      </c>
      <c r="N28" s="4" t="s">
        <v>89</v>
      </c>
      <c r="O28" s="4"/>
      <c r="P28" s="173" t="s">
        <v>108</v>
      </c>
      <c r="Q28" s="173"/>
      <c r="R28" s="173"/>
      <c r="S28" s="50">
        <v>45271</v>
      </c>
      <c r="T28" s="5" t="s">
        <v>74</v>
      </c>
      <c r="U28" s="133">
        <v>8</v>
      </c>
      <c r="V28" s="6">
        <f t="shared" si="0"/>
        <v>0</v>
      </c>
      <c r="W28" s="7">
        <f t="shared" si="1"/>
        <v>10.315</v>
      </c>
      <c r="X28" s="39">
        <f t="shared" si="2"/>
        <v>10.005549999999999</v>
      </c>
      <c r="Y28" s="40">
        <f t="shared" si="3"/>
        <v>10.62445</v>
      </c>
      <c r="Z28" s="40">
        <f t="shared" si="4"/>
        <v>-10.62445</v>
      </c>
      <c r="AA28" s="40">
        <f t="shared" si="5"/>
        <v>-10.005549999999999</v>
      </c>
    </row>
    <row r="29" spans="1:27" ht="27.75" customHeight="1" x14ac:dyDescent="0.2">
      <c r="A29" s="1">
        <v>10</v>
      </c>
      <c r="B29" s="150" t="s">
        <v>115</v>
      </c>
      <c r="C29" s="150">
        <v>11.14</v>
      </c>
      <c r="D29" s="150">
        <v>-11.14</v>
      </c>
      <c r="E29" s="3">
        <v>128.5</v>
      </c>
      <c r="F29" s="3" t="s">
        <v>72</v>
      </c>
      <c r="G29" s="3">
        <v>1101828</v>
      </c>
      <c r="H29" s="2">
        <v>1.08</v>
      </c>
      <c r="I29" s="2">
        <v>15</v>
      </c>
      <c r="J29" s="2">
        <v>2.06</v>
      </c>
      <c r="K29" s="2">
        <v>-2.96</v>
      </c>
      <c r="L29" s="2">
        <v>2.89</v>
      </c>
      <c r="M29" s="2">
        <v>-4.96</v>
      </c>
      <c r="N29" s="4" t="s">
        <v>91</v>
      </c>
      <c r="O29" s="4" t="s">
        <v>92</v>
      </c>
      <c r="P29" s="173" t="s">
        <v>116</v>
      </c>
      <c r="Q29" s="173"/>
      <c r="R29" s="173"/>
      <c r="S29" s="50">
        <v>45275</v>
      </c>
      <c r="T29" s="5" t="s">
        <v>74</v>
      </c>
      <c r="U29" s="133">
        <v>385</v>
      </c>
      <c r="V29" s="6">
        <f t="shared" si="0"/>
        <v>0</v>
      </c>
      <c r="W29" s="7">
        <f t="shared" si="1"/>
        <v>11.14</v>
      </c>
      <c r="X29" s="39">
        <f t="shared" si="2"/>
        <v>10.805800000000001</v>
      </c>
      <c r="Y29" s="40">
        <f t="shared" si="3"/>
        <v>11.4742</v>
      </c>
      <c r="Z29" s="40">
        <f t="shared" si="4"/>
        <v>-11.4742</v>
      </c>
      <c r="AA29" s="40">
        <f t="shared" si="5"/>
        <v>-10.805800000000001</v>
      </c>
    </row>
    <row r="30" spans="1:27" ht="27.75" customHeight="1" thickBot="1" x14ac:dyDescent="0.25">
      <c r="A30" s="1">
        <v>11</v>
      </c>
      <c r="B30" s="154" t="s">
        <v>117</v>
      </c>
      <c r="C30" s="2">
        <v>10.315</v>
      </c>
      <c r="D30" s="2">
        <v>-10.315</v>
      </c>
      <c r="E30" s="3">
        <v>106</v>
      </c>
      <c r="F30" s="3" t="s">
        <v>72</v>
      </c>
      <c r="G30" s="3">
        <v>1524274</v>
      </c>
      <c r="H30" s="2">
        <v>1.08</v>
      </c>
      <c r="I30" s="2">
        <v>15</v>
      </c>
      <c r="J30" s="2">
        <v>1.74</v>
      </c>
      <c r="K30" s="2">
        <v>-3.1</v>
      </c>
      <c r="L30" s="2">
        <v>2.14</v>
      </c>
      <c r="M30" s="2">
        <v>-5.0999999999999996</v>
      </c>
      <c r="N30" s="4" t="s">
        <v>91</v>
      </c>
      <c r="O30" s="4" t="s">
        <v>92</v>
      </c>
      <c r="P30" s="173" t="s">
        <v>118</v>
      </c>
      <c r="Q30" s="173"/>
      <c r="R30" s="173"/>
      <c r="S30" s="50">
        <v>45278</v>
      </c>
      <c r="T30" s="5" t="s">
        <v>70</v>
      </c>
      <c r="U30" s="133">
        <v>268</v>
      </c>
      <c r="V30" s="33">
        <f t="shared" si="0"/>
        <v>0</v>
      </c>
      <c r="W30" s="34">
        <f t="shared" si="1"/>
        <v>10.315</v>
      </c>
      <c r="X30" s="39">
        <f t="shared" si="2"/>
        <v>10.005549999999999</v>
      </c>
      <c r="Y30" s="40">
        <f t="shared" si="3"/>
        <v>10.62445</v>
      </c>
      <c r="Z30" s="40">
        <f t="shared" si="4"/>
        <v>-10.62445</v>
      </c>
      <c r="AA30" s="40">
        <f t="shared" si="5"/>
        <v>-10.005549999999999</v>
      </c>
    </row>
    <row r="31" spans="1:27" ht="27.75" customHeight="1" x14ac:dyDescent="0.2">
      <c r="B31" s="236" t="s">
        <v>119</v>
      </c>
      <c r="C31" s="236">
        <v>9.5510000000000002</v>
      </c>
      <c r="D31" s="236">
        <v>-9.5510000000000002</v>
      </c>
      <c r="V31" s="237">
        <f t="shared" si="0"/>
        <v>0</v>
      </c>
      <c r="W31" s="238">
        <f t="shared" si="1"/>
        <v>9.5510000000000002</v>
      </c>
      <c r="X31" s="239">
        <f t="shared" si="2"/>
        <v>9.2644699999999993</v>
      </c>
      <c r="Y31" s="240">
        <f t="shared" si="3"/>
        <v>9.837530000000001</v>
      </c>
      <c r="Z31" s="240">
        <f t="shared" si="4"/>
        <v>-9.837530000000001</v>
      </c>
      <c r="AA31" s="240">
        <f t="shared" si="5"/>
        <v>-9.2644699999999993</v>
      </c>
    </row>
  </sheetData>
  <mergeCells count="74">
    <mergeCell ref="U25:U26"/>
    <mergeCell ref="C25:C26"/>
    <mergeCell ref="D25:D26"/>
    <mergeCell ref="E25:E26"/>
    <mergeCell ref="P28:R28"/>
    <mergeCell ref="P29:R29"/>
    <mergeCell ref="P12:R12"/>
    <mergeCell ref="P30:R30"/>
    <mergeCell ref="P14:R14"/>
    <mergeCell ref="P15:R15"/>
    <mergeCell ref="P16:R16"/>
    <mergeCell ref="P17:R17"/>
    <mergeCell ref="P18:R18"/>
    <mergeCell ref="P19:R19"/>
    <mergeCell ref="P20:R20"/>
    <mergeCell ref="P21:R21"/>
    <mergeCell ref="P22:R22"/>
    <mergeCell ref="P23:R23"/>
    <mergeCell ref="P24:R24"/>
    <mergeCell ref="P13:R13"/>
    <mergeCell ref="P27:R27"/>
    <mergeCell ref="R3:T3"/>
    <mergeCell ref="R4:T4"/>
    <mergeCell ref="P3:Q3"/>
    <mergeCell ref="A4:B4"/>
    <mergeCell ref="C4:D4"/>
    <mergeCell ref="P4:Q4"/>
    <mergeCell ref="A3:B3"/>
    <mergeCell ref="C3:D3"/>
    <mergeCell ref="N4:O4"/>
    <mergeCell ref="N3:O3"/>
    <mergeCell ref="I4:J4"/>
    <mergeCell ref="I3:J3"/>
    <mergeCell ref="E3:H3"/>
    <mergeCell ref="E4:H4"/>
    <mergeCell ref="K3:M3"/>
    <mergeCell ref="K4:M4"/>
    <mergeCell ref="P5:Q5"/>
    <mergeCell ref="R5:T5"/>
    <mergeCell ref="P10:R10"/>
    <mergeCell ref="C6:K6"/>
    <mergeCell ref="L6:Q6"/>
    <mergeCell ref="R6:T6"/>
    <mergeCell ref="B10:H10"/>
    <mergeCell ref="K5:M5"/>
    <mergeCell ref="A5:B5"/>
    <mergeCell ref="C5:D5"/>
    <mergeCell ref="N5:O5"/>
    <mergeCell ref="I5:J5"/>
    <mergeCell ref="E5:H5"/>
    <mergeCell ref="A1:B1"/>
    <mergeCell ref="C1:T1"/>
    <mergeCell ref="A2:B2"/>
    <mergeCell ref="C2:D2"/>
    <mergeCell ref="I2:J2"/>
    <mergeCell ref="P2:Q2"/>
    <mergeCell ref="E2:H2"/>
    <mergeCell ref="N2:O2"/>
    <mergeCell ref="K2:M2"/>
    <mergeCell ref="R2:T2"/>
    <mergeCell ref="B25:B26"/>
    <mergeCell ref="P25:R26"/>
    <mergeCell ref="N25:N26"/>
    <mergeCell ref="O25:O26"/>
    <mergeCell ref="A6:B6"/>
    <mergeCell ref="B13:B15"/>
    <mergeCell ref="C13:C15"/>
    <mergeCell ref="D13:D15"/>
    <mergeCell ref="E13:E15"/>
    <mergeCell ref="F13:F15"/>
    <mergeCell ref="G13:G15"/>
    <mergeCell ref="N13:N15"/>
    <mergeCell ref="O13:O15"/>
    <mergeCell ref="P11:R11"/>
  </mergeCells>
  <phoneticPr fontId="8" type="noConversion"/>
  <pageMargins left="0.25" right="0.25" top="0.75" bottom="0.75" header="0.3" footer="0.3"/>
  <pageSetup paperSize="8" scale="69" orientation="landscape" verticalDpi="598" r:id="rId1"/>
  <headerFooter>
    <oddFooter>&amp;C&amp;1#&amp;"Calibri"&amp;8&amp;K000000INTERNAL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O21"/>
  <sheetViews>
    <sheetView topLeftCell="A2" workbookViewId="0">
      <selection activeCell="B5" sqref="B5"/>
    </sheetView>
  </sheetViews>
  <sheetFormatPr baseColWidth="10" defaultColWidth="11.42578125" defaultRowHeight="12.75" x14ac:dyDescent="0.2"/>
  <cols>
    <col min="2" max="3" width="17.7109375" customWidth="1"/>
    <col min="4" max="4" width="18.85546875" bestFit="1" customWidth="1"/>
    <col min="5" max="5" width="16" customWidth="1"/>
    <col min="6" max="6" width="19.85546875" customWidth="1"/>
  </cols>
  <sheetData>
    <row r="1" spans="2:15" ht="13.5" thickBot="1" x14ac:dyDescent="0.25"/>
    <row r="2" spans="2:15" ht="147.75" customHeight="1" thickTop="1" thickBot="1" x14ac:dyDescent="0.25">
      <c r="B2" s="52" t="s">
        <v>60</v>
      </c>
      <c r="C2" s="53" t="s">
        <v>61</v>
      </c>
      <c r="D2" s="54">
        <v>7</v>
      </c>
      <c r="E2" s="234" t="s">
        <v>62</v>
      </c>
      <c r="F2" s="235"/>
      <c r="G2" s="55" t="str">
        <f>IF(D2=4,[1]Daten!E14,(IF(D2=5,[1]Daten!E18,(IF(D2=6,[1]Daten!E22,"")))))</f>
        <v/>
      </c>
      <c r="H2" s="56" t="str">
        <f>IF(G4="","",G4+H4)</f>
        <v/>
      </c>
      <c r="I2" s="57"/>
    </row>
    <row r="3" spans="2:15" ht="19.5" thickTop="1" thickBot="1" x14ac:dyDescent="0.25">
      <c r="B3" s="58" t="s">
        <v>66</v>
      </c>
      <c r="C3" s="59" t="str">
        <f>IF($D$2="","",CHOOSE($D$2,[1]Daten!D2,[1]Daten!D6,[1]Daten!D10,[1]Daten!D14,[1]Daten!D18,[1]Daten!D22,[1]Daten!D26,[1]Daten!D30,[1]Daten!D34))</f>
        <v>R =</v>
      </c>
      <c r="D3" s="60" t="str">
        <f>IF($D$2="","",CHOOSE($D$2,[1]Daten!N2,[1]Daten!N6,[1]Daten!N10,[1]Daten!N14,[1]Daten!N18,[1]Daten!N22,[1]Daten!E26,[1]Daten!N30,[1]Daten!N34))</f>
        <v>log d</v>
      </c>
      <c r="E3" s="61" t="str">
        <f>IF(OR($D$2=1,$D$2=2),"Stufenspr. f. dyn. Last (V31)","")</f>
        <v/>
      </c>
      <c r="F3" s="62" t="str">
        <f>IF(OR($D$2=1,$D$2=2),"Stufenspr. f. Mittellast (V32)","")</f>
        <v/>
      </c>
      <c r="G3" s="63" t="str">
        <f>IF(D2=4,[1]Daten!F14,(IF(D2=5,[1]Daten!F18,(IF(D2=6,[1]Daten!F22,"")))))</f>
        <v/>
      </c>
      <c r="H3" s="64" t="str">
        <f>IF(D2=4,[1]Daten!G14,(IF(D2=5,[1]Daten!G18,(IF(D2=6,[1]Daten!G22,"")))))</f>
        <v/>
      </c>
      <c r="I3" s="65" t="str">
        <f>IF(D2=4,[1]Daten!H14,(IF(D2=5,[1]Daten!H18,(IF(D2=6,[1]Daten!H22,"")))))</f>
        <v/>
      </c>
    </row>
    <row r="4" spans="2:15" ht="21" thickBot="1" x14ac:dyDescent="0.3">
      <c r="B4" s="66">
        <v>11.14</v>
      </c>
      <c r="C4" s="67">
        <v>-1</v>
      </c>
      <c r="D4" s="68">
        <v>1.08</v>
      </c>
      <c r="E4" s="69" t="str">
        <f>IF(D2=1,D4*0.5,IF(D2=2,$D$4/2*(1-$C$4),""))</f>
        <v/>
      </c>
      <c r="F4" s="70" t="str">
        <f>IF(D2=1,D4*0.5,IF(D2=2,$D$4/2*(1+$C$4),""))</f>
        <v/>
      </c>
      <c r="G4" s="71"/>
      <c r="H4" s="72"/>
      <c r="I4" s="73"/>
    </row>
    <row r="5" spans="2:15" ht="21" thickBot="1" x14ac:dyDescent="0.35">
      <c r="C5" s="74"/>
      <c r="D5" s="74"/>
      <c r="E5" s="74"/>
      <c r="F5" s="75"/>
      <c r="G5" s="76"/>
      <c r="H5" s="77"/>
      <c r="I5" s="76"/>
      <c r="J5" t="s">
        <v>63</v>
      </c>
      <c r="N5" s="78">
        <v>0.03</v>
      </c>
      <c r="O5" t="s">
        <v>64</v>
      </c>
    </row>
    <row r="6" spans="2:15" ht="39" thickBot="1" x14ac:dyDescent="0.25">
      <c r="B6" s="79" t="str">
        <f>IF($B$14&lt;$C$14,"Mu [Nm]","Mo [Nm]")</f>
        <v>Mo [Nm]</v>
      </c>
      <c r="C6" s="79" t="str">
        <f>IF($B$14&lt;$C$14,"Mo [Nm]","Mu [Nm]")</f>
        <v>Mu [Nm]</v>
      </c>
      <c r="D6" s="80" t="s">
        <v>67</v>
      </c>
      <c r="E6" s="81" t="str">
        <f>IF($D$2="","",CHOOSE($D$2,[1]Daten!L2,[1]Daten!L6,[1]Daten!L10,[1]Daten!L14,[1]Daten!L18,[1]Daten!L22,[1]Daten!L26,[1]Daten!L30,[1]Daten!L34))</f>
        <v>Mittelwert [kN] Sollw. Stat. (V21)</v>
      </c>
      <c r="F6" s="81" t="str">
        <f>IF($D$2="","",CHOOSE($D$2,[1]Daten!M2,[1]Daten!M6,[1]Daten!M10,[1]Daten!M14,[1]Daten!M18,[1]Daten!M22,[1]Daten!M26,[1]Daten!M30,[1]Daten!M34))</f>
        <v>Amplitude   Sollw. Dyn. (V23)</v>
      </c>
      <c r="G6" s="82" t="str">
        <f>IF(D2=4,[1]Daten!I14,(IF(D2=5,[1]Daten!I18,(IF(D2=6,[1]Daten!I22,"")))))</f>
        <v/>
      </c>
      <c r="H6" s="82" t="str">
        <f>IF(D2=4,[1]Daten!J14,(IF(D2=5,[1]Daten!J18,(IF(D2=6,[1]Daten!J22,"")))))</f>
        <v/>
      </c>
      <c r="I6" s="83" t="str">
        <f>IF(D2=4,[1]Daten!K14,(IF(D2=5,[1]Daten!K18,(IF(D2=6,[1]Daten!K22,"")))))</f>
        <v/>
      </c>
      <c r="J6" s="26" t="s">
        <v>10</v>
      </c>
      <c r="K6" s="30" t="s">
        <v>11</v>
      </c>
      <c r="L6" s="26" t="s">
        <v>6</v>
      </c>
      <c r="M6" s="10" t="s">
        <v>8</v>
      </c>
      <c r="N6" s="10" t="s">
        <v>9</v>
      </c>
      <c r="O6" s="10" t="s">
        <v>7</v>
      </c>
    </row>
    <row r="7" spans="2:15" ht="15" x14ac:dyDescent="0.2">
      <c r="B7" s="84">
        <f t="shared" ref="B7:B12" si="0">IF(OR($B$4="",$C$4="",$D$4=""),"",IF(AND(OR($D$2=1,$D$2=2,$D$2=4,$D$2=5),SIGN($B$4)&lt;&gt;-1),B8+$D$4,IF(AND(OR($D$2=1,$D$2=2,$D$2=4,$D$2=5),SIGN($B$4)=-1),B8-$D$4,IF(OR($D$2=3,$D$2=6),(B8-C8)*$D$4+C8,IF($D$2=7,B8*$D$4,IF($D$2=8,F8*$D$4+E8,IF($D$2=9,B8+$D$4/2,"")))))))</f>
        <v>19.092002354203863</v>
      </c>
      <c r="C7" s="85">
        <f t="shared" ref="C7:C12" si="1">IF(OR($B$4="",$C$4="",$D$4=""),"",IF(OR($D$2=1,$D$2=3,$D$2=4,$D$2=6),$C$4,(IF(OR($D$2=2,$D$2=5,$D$2=7),B7*$C$4,IF(OR($D$2=8,$D$2=9),E7-F7,"")))))</f>
        <v>-19.092002354203863</v>
      </c>
      <c r="D7" s="85">
        <f t="shared" ref="D7:D12" si="2">IF(OR(B7="",C7=""),"",ABS(B7-C7))</f>
        <v>38.184004708407727</v>
      </c>
      <c r="E7" s="86">
        <f t="shared" ref="E7:E12" si="3">IF(OR($B$4="",$C$4="",$D$4=""),"",IF(OR($D$2=1,$D$2=2,$D$2=3,$D$2=7),((B7+C7)/2),IF(OR($D$2=4,$D$2=5,$D$2=6),((G7+H7)/2),IF(OR($D$2=8,$D$2=9),$C$4,""))))</f>
        <v>0</v>
      </c>
      <c r="F7" s="87">
        <f t="shared" ref="F7:F12" si="4">IF(OR($B$4="",$C$4="",$D$4=""),"",IF(OR($D$2=1,$D$2=2,$D$2=3,$D$2=7),D7/2,IF(OR($D$2=4,$D$2=5,$D$2=6),I7/2,IF($D$2=8,F8*$D$4,IF($D$2=9,F8+$D$4/2,"")))))</f>
        <v>19.092002354203863</v>
      </c>
      <c r="G7" s="84" t="str">
        <f t="shared" ref="G7:G21" si="5">IF($G$4="","",IF(SIGN(B7)=-1,B7-$H$2,B7+$H$2))</f>
        <v/>
      </c>
      <c r="H7" s="84" t="str">
        <f t="shared" ref="H7:H21" si="6">IF($G$4="","",IF(SIGN(B7)=-1,($H$2-$I$4)*(-1),IF(SIGN(B7)&lt;&gt;-1,$H$2-$I$4)))</f>
        <v/>
      </c>
      <c r="I7" s="88" t="str">
        <f t="shared" ref="I7:I21" si="7">IF($G$4="","",ABS(G7-H7))</f>
        <v/>
      </c>
      <c r="J7" s="20" t="s">
        <v>65</v>
      </c>
      <c r="K7" s="32" t="s">
        <v>65</v>
      </c>
      <c r="L7" s="25" t="s">
        <v>65</v>
      </c>
      <c r="M7" s="13" t="s">
        <v>65</v>
      </c>
      <c r="N7" s="13" t="s">
        <v>65</v>
      </c>
      <c r="O7" s="13" t="s">
        <v>65</v>
      </c>
    </row>
    <row r="8" spans="2:15" ht="15" x14ac:dyDescent="0.2">
      <c r="B8" s="89">
        <f t="shared" si="0"/>
        <v>17.677779957596169</v>
      </c>
      <c r="C8" s="90">
        <f t="shared" si="1"/>
        <v>-17.677779957596169</v>
      </c>
      <c r="D8" s="90">
        <f t="shared" si="2"/>
        <v>35.355559915192337</v>
      </c>
      <c r="E8" s="90">
        <f t="shared" si="3"/>
        <v>0</v>
      </c>
      <c r="F8" s="91">
        <f t="shared" si="4"/>
        <v>17.677779957596169</v>
      </c>
      <c r="G8" s="89" t="str">
        <f t="shared" si="5"/>
        <v/>
      </c>
      <c r="H8" s="89" t="str">
        <f t="shared" si="6"/>
        <v/>
      </c>
      <c r="I8" s="92" t="str">
        <f t="shared" si="7"/>
        <v/>
      </c>
      <c r="J8" s="93">
        <f>(C7+B7)/2</f>
        <v>0</v>
      </c>
      <c r="K8" s="94">
        <f>(C7-B7)/2</f>
        <v>-19.092002354203863</v>
      </c>
      <c r="L8" s="95">
        <f>C7-$N$5*K8</f>
        <v>-18.519242283577746</v>
      </c>
      <c r="M8" s="96">
        <f>C7+$N$5*K8</f>
        <v>-19.664762424829981</v>
      </c>
      <c r="N8" s="96">
        <f>B7-$N$5*K8</f>
        <v>19.664762424829981</v>
      </c>
      <c r="O8" s="96">
        <f>B7+$N$5*K8</f>
        <v>18.519242283577746</v>
      </c>
    </row>
    <row r="9" spans="2:15" ht="15" x14ac:dyDescent="0.2">
      <c r="B9" s="97">
        <f t="shared" si="0"/>
        <v>16.368314775552008</v>
      </c>
      <c r="C9" s="98">
        <f t="shared" si="1"/>
        <v>-16.368314775552008</v>
      </c>
      <c r="D9" s="98">
        <f t="shared" si="2"/>
        <v>32.736629551104016</v>
      </c>
      <c r="E9" s="99">
        <f t="shared" si="3"/>
        <v>0</v>
      </c>
      <c r="F9" s="100">
        <f t="shared" si="4"/>
        <v>16.368314775552008</v>
      </c>
      <c r="G9" s="97" t="str">
        <f t="shared" si="5"/>
        <v/>
      </c>
      <c r="H9" s="97" t="str">
        <f t="shared" si="6"/>
        <v/>
      </c>
      <c r="I9" s="101" t="str">
        <f t="shared" si="7"/>
        <v/>
      </c>
      <c r="J9" s="93">
        <f t="shared" ref="J9:J21" si="8">(C8+B8)/2</f>
        <v>0</v>
      </c>
      <c r="K9" s="94">
        <f t="shared" ref="K9:K21" si="9">(C8-B8)/2</f>
        <v>-17.677779957596169</v>
      </c>
      <c r="L9" s="95">
        <f t="shared" ref="L9:L21" si="10">C8-$N$5*K9</f>
        <v>-17.147446558868282</v>
      </c>
      <c r="M9" s="96">
        <f t="shared" ref="M9:M21" si="11">C8+$N$5*K9</f>
        <v>-18.208113356324056</v>
      </c>
      <c r="N9" s="96">
        <f t="shared" ref="N9:N21" si="12">B8-$N$5*K9</f>
        <v>18.208113356324056</v>
      </c>
      <c r="O9" s="96">
        <f t="shared" ref="O9:O21" si="13">B8+$N$5*K9</f>
        <v>17.147446558868282</v>
      </c>
    </row>
    <row r="10" spans="2:15" ht="15" x14ac:dyDescent="0.2">
      <c r="B10" s="89">
        <f t="shared" si="0"/>
        <v>15.155847014400006</v>
      </c>
      <c r="C10" s="90">
        <f t="shared" si="1"/>
        <v>-15.155847014400006</v>
      </c>
      <c r="D10" s="90">
        <f t="shared" si="2"/>
        <v>30.311694028800012</v>
      </c>
      <c r="E10" s="90">
        <f t="shared" si="3"/>
        <v>0</v>
      </c>
      <c r="F10" s="91">
        <f t="shared" si="4"/>
        <v>15.155847014400006</v>
      </c>
      <c r="G10" s="89" t="str">
        <f t="shared" si="5"/>
        <v/>
      </c>
      <c r="H10" s="89" t="str">
        <f t="shared" si="6"/>
        <v/>
      </c>
      <c r="I10" s="92" t="str">
        <f t="shared" si="7"/>
        <v/>
      </c>
      <c r="J10" s="93">
        <f t="shared" si="8"/>
        <v>0</v>
      </c>
      <c r="K10" s="94">
        <f t="shared" si="9"/>
        <v>-16.368314775552008</v>
      </c>
      <c r="L10" s="95">
        <f t="shared" si="10"/>
        <v>-15.877265332285448</v>
      </c>
      <c r="M10" s="96">
        <f t="shared" si="11"/>
        <v>-16.85936421881857</v>
      </c>
      <c r="N10" s="96">
        <f t="shared" si="12"/>
        <v>16.85936421881857</v>
      </c>
      <c r="O10" s="96">
        <f t="shared" si="13"/>
        <v>15.877265332285448</v>
      </c>
    </row>
    <row r="11" spans="2:15" ht="15" x14ac:dyDescent="0.2">
      <c r="B11" s="97">
        <f t="shared" si="0"/>
        <v>14.033191680000005</v>
      </c>
      <c r="C11" s="98">
        <f t="shared" si="1"/>
        <v>-14.033191680000005</v>
      </c>
      <c r="D11" s="98">
        <f t="shared" si="2"/>
        <v>28.06638336000001</v>
      </c>
      <c r="E11" s="99">
        <f t="shared" si="3"/>
        <v>0</v>
      </c>
      <c r="F11" s="100">
        <f t="shared" si="4"/>
        <v>14.033191680000005</v>
      </c>
      <c r="G11" s="97" t="str">
        <f t="shared" si="5"/>
        <v/>
      </c>
      <c r="H11" s="97" t="str">
        <f t="shared" si="6"/>
        <v/>
      </c>
      <c r="I11" s="101" t="str">
        <f t="shared" si="7"/>
        <v/>
      </c>
      <c r="J11" s="93">
        <f t="shared" si="8"/>
        <v>0</v>
      </c>
      <c r="K11" s="94">
        <f t="shared" si="9"/>
        <v>-15.155847014400006</v>
      </c>
      <c r="L11" s="95">
        <f t="shared" si="10"/>
        <v>-14.701171603968007</v>
      </c>
      <c r="M11" s="96">
        <f t="shared" si="11"/>
        <v>-15.610522424832006</v>
      </c>
      <c r="N11" s="96">
        <f t="shared" si="12"/>
        <v>15.610522424832006</v>
      </c>
      <c r="O11" s="96">
        <f t="shared" si="13"/>
        <v>14.701171603968007</v>
      </c>
    </row>
    <row r="12" spans="2:15" ht="15" x14ac:dyDescent="0.2">
      <c r="B12" s="89">
        <f t="shared" si="0"/>
        <v>12.993696000000003</v>
      </c>
      <c r="C12" s="90">
        <f t="shared" si="1"/>
        <v>-12.993696000000003</v>
      </c>
      <c r="D12" s="90">
        <f t="shared" si="2"/>
        <v>25.987392000000007</v>
      </c>
      <c r="E12" s="90">
        <f t="shared" si="3"/>
        <v>0</v>
      </c>
      <c r="F12" s="91">
        <f t="shared" si="4"/>
        <v>12.993696000000003</v>
      </c>
      <c r="G12" s="89" t="str">
        <f t="shared" si="5"/>
        <v/>
      </c>
      <c r="H12" s="89" t="str">
        <f t="shared" si="6"/>
        <v/>
      </c>
      <c r="I12" s="92" t="str">
        <f t="shared" si="7"/>
        <v/>
      </c>
      <c r="J12" s="93">
        <f t="shared" si="8"/>
        <v>0</v>
      </c>
      <c r="K12" s="94">
        <f t="shared" si="9"/>
        <v>-14.033191680000005</v>
      </c>
      <c r="L12" s="95">
        <f t="shared" si="10"/>
        <v>-13.612195929600006</v>
      </c>
      <c r="M12" s="96">
        <f t="shared" si="11"/>
        <v>-14.454187430400005</v>
      </c>
      <c r="N12" s="96">
        <f t="shared" si="12"/>
        <v>14.454187430400005</v>
      </c>
      <c r="O12" s="96">
        <f t="shared" si="13"/>
        <v>13.612195929600006</v>
      </c>
    </row>
    <row r="13" spans="2:15" ht="15.75" thickBot="1" x14ac:dyDescent="0.25">
      <c r="B13" s="102">
        <f>IF(OR($B$4="",$C$4="",$D$4=""),"",IF(AND(OR($D$2=1,$D$2=2,$D$2=4,$D$2=5),SIGN($B$4)&lt;&gt;-1),B14+$D$4,IF(AND(OR($D$2=1,$D$2=2,$D$2=4,$D$2=5),SIGN($B$4)=-1),B14-$D$4,IF(OR($D$2=3,$D$2=6),(B14-C14)*$D$4+C14,IF($D$2=7,B14*$D$4,IF($D$2=8,F14*$D$4+E14,IF($D$2=9,B14+$D$4/2,"")))))))</f>
        <v>12.031200000000002</v>
      </c>
      <c r="C13" s="103">
        <f>IF(OR($B$4="",$C$4="",$D$4=""),"",IF(OR($D$2=1,$D$2=3,$D$2=4,$D$2=6),$C$4,(IF(OR($D$2=2,$D$2=5,$D$2=7),B13*$C$4,IF(OR($D$2=8,$D$2=9),E13-F13,"")))))</f>
        <v>-12.031200000000002</v>
      </c>
      <c r="D13" s="103">
        <f>IF(OR(B13="",C13=""),"",ABS(B13-C13))</f>
        <v>24.062400000000004</v>
      </c>
      <c r="E13" s="104">
        <f>IF(OR($B$4="",$C$4="",$D$4=""),"",IF(OR($D$2=1,$D$2=2,$D$2=3,$D$2=7),((B13+C13)/2),IF(OR($D$2=4,$D$2=5,$D$2=6),((G13+H13)/2),IF(OR($D$2=8,$D$2=9),$C$4,""))))</f>
        <v>0</v>
      </c>
      <c r="F13" s="105">
        <f>IF(OR($B$4="",$C$4="",$D$4=""),"",IF(OR($D$2=1,$D$2=2,$D$2=3,$D$2=7),D13/2,IF(OR($D$2=4,$D$2=5,$D$2=6),I13/2,IF($D$2=8,F14*$D$4,IF($D$2=9,F14+$D$4/2,"")))))</f>
        <v>12.031200000000002</v>
      </c>
      <c r="G13" s="106" t="str">
        <f t="shared" si="5"/>
        <v/>
      </c>
      <c r="H13" s="106" t="str">
        <f t="shared" si="6"/>
        <v/>
      </c>
      <c r="I13" s="107" t="str">
        <f t="shared" si="7"/>
        <v/>
      </c>
      <c r="J13" s="93">
        <f t="shared" si="8"/>
        <v>0</v>
      </c>
      <c r="K13" s="94">
        <f t="shared" si="9"/>
        <v>-12.993696000000003</v>
      </c>
      <c r="L13" s="95">
        <f t="shared" si="10"/>
        <v>-12.603885120000003</v>
      </c>
      <c r="M13" s="96">
        <f t="shared" si="11"/>
        <v>-13.383506880000004</v>
      </c>
      <c r="N13" s="96">
        <f t="shared" si="12"/>
        <v>13.383506880000004</v>
      </c>
      <c r="O13" s="96">
        <f t="shared" si="13"/>
        <v>12.603885120000003</v>
      </c>
    </row>
    <row r="14" spans="2:15" ht="18.75" thickBot="1" x14ac:dyDescent="0.25">
      <c r="B14" s="108">
        <f>IF(OR($B$4="",$C$4="",$D$4="",$D$2=""),"",IF(AND($B$4&lt;&gt;"",$C$4&lt;&gt;"",$D$4&lt;&gt;"",OR($D$2=8,$D$2=9)),$C$4+$B$4,$B$4))</f>
        <v>11.14</v>
      </c>
      <c r="C14" s="108">
        <f>IF(AND($B$4&lt;&gt;"",$C$4&lt;&gt;"",$D$4&lt;&gt;"",OR($D$2=1,$D$2=3,$D$2=4,$D$2=6)),$C$4,(IF(AND($B$4&lt;&gt;"",$C$4&lt;&gt;"",$D$4&lt;&gt;"",OR($D$2=2,$D$2=5,$D$2=7)),B14*$C$4,IF(AND($B$4&lt;&gt;"",$C$4&lt;&gt;"",$D$4&lt;&gt;"",OR($D$2=8,$D$2=9)),$C$4-$B$4,""))))</f>
        <v>-11.14</v>
      </c>
      <c r="D14" s="109">
        <f>IF(OR(B14="",C14=""),"",ABS(B14-C14))</f>
        <v>22.28</v>
      </c>
      <c r="E14" s="109">
        <f>IF(AND($B$4&lt;&gt;"",$C$4&lt;&gt;"",$D$4&lt;&gt;"",OR($D$2=1,$D$2=2,$D$2=3,$D$2=7)),((B14+C14)/2),IF(AND($B$4&lt;&gt;"",$C$4&lt;&gt;"",$D$4&lt;&gt;"",OR($D$2=4,$D$2=5,$D$2=6)),((G14+H14)/2),IF(AND($B$4&lt;&gt;"",$C$4&lt;&gt;"",$D$4&lt;&gt;"",OR($D$2=8,$D$2=9)),C4,"")))</f>
        <v>0</v>
      </c>
      <c r="F14" s="110">
        <f>IF(AND($B$4&lt;&gt;"",$C$4&lt;&gt;"",$D$4&lt;&gt;"",OR($D$2=1,$D$2=2,$D$2=3,$D$2=7)),D14/2,IF(AND($B$4&lt;&gt;"",$C$4&lt;&gt;"",$D$4&lt;&gt;"",OR($D$2=4,$D$2=5,$D$2=6)),I14/2,IF(AND($B$4&lt;&gt;"",$C$4&lt;&gt;"",$D$4&lt;&gt;"",OR($D$2=8,$D$2=9)),$B$4,"")))</f>
        <v>11.14</v>
      </c>
      <c r="G14" s="109" t="str">
        <f t="shared" si="5"/>
        <v/>
      </c>
      <c r="H14" s="109" t="str">
        <f t="shared" si="6"/>
        <v/>
      </c>
      <c r="I14" s="111" t="str">
        <f t="shared" si="7"/>
        <v/>
      </c>
      <c r="J14" s="93">
        <f t="shared" si="8"/>
        <v>0</v>
      </c>
      <c r="K14" s="94">
        <f t="shared" si="9"/>
        <v>-12.031200000000002</v>
      </c>
      <c r="L14" s="95">
        <f t="shared" si="10"/>
        <v>-11.670264000000001</v>
      </c>
      <c r="M14" s="96">
        <f t="shared" si="11"/>
        <v>-12.392136000000002</v>
      </c>
      <c r="N14" s="96">
        <f t="shared" si="12"/>
        <v>12.392136000000002</v>
      </c>
      <c r="O14" s="96">
        <f t="shared" si="13"/>
        <v>11.670264000000001</v>
      </c>
    </row>
    <row r="15" spans="2:15" ht="15" x14ac:dyDescent="0.2">
      <c r="B15" s="84">
        <f>IF(OR($B$4="",$C$4="",$D$4=""),"",IF(AND(OR($D$2=1,$D$2=2,$D$2=4,$D$2=5),SIGN($B$4)&lt;&gt;-1),B14-$D$4,IF(AND(OR($D$2=1,$D$2=2,$D$2=4,$D$2=5),SIGN($B$4)=-1),B14+$D$4,IF(OR($D$2=3,$D$2=6),(B14-C15)/$D$4+C15,IF($D$2=7,B14/$D$4,IF($D$2=8,F14/$D$4+E14,IF($D$2=9,B14-$D$4/2,"")))))))</f>
        <v>10.314814814814815</v>
      </c>
      <c r="C15" s="112">
        <f>IF(OR($B$4="",$C$4="",$D$4=""),"",IF(OR($D$2=1,$D$2=3,$D$2=4,$D$2=6),$C$4,(IF(OR($D$2=2,$D$2=5,$D$2=7),B15*$C$4,IF(OR($D$2=8,$D$2=9),E15-F15,"")))))</f>
        <v>-10.314814814814815</v>
      </c>
      <c r="D15" s="86">
        <f>IF(OR(B15="",C15=""),"",ABS(B15-C15))</f>
        <v>20.62962962962963</v>
      </c>
      <c r="E15" s="113">
        <f>IF(OR($B$4="",$C$4="",$D$4=""),"",IF(OR($D$2=1,$D$2=2,$D$2=3,$D$2=7),((B15+C15)/2),IF(OR($D$2=4,$D$2=5,$D$2=6),((G15+H15)/2),IF(OR($D$2=8,$D$2=9),$C$4,""))))</f>
        <v>0</v>
      </c>
      <c r="F15" s="114">
        <f>IF(OR($B$4="",$C$4="",$D$4=""),"",IF(OR($D$2=1,$D$2=2,$D$2=3,$D$2=7),D15/2,IF(OR($D$2=4,$D$2=5,$D$2=6),I15/2,IF($D$2=8,F14/$D$4,IF($D$2=9,F14-$D$4/2,"")))))</f>
        <v>10.314814814814815</v>
      </c>
      <c r="G15" s="115" t="str">
        <f t="shared" si="5"/>
        <v/>
      </c>
      <c r="H15" s="115" t="str">
        <f t="shared" si="6"/>
        <v/>
      </c>
      <c r="I15" s="116" t="str">
        <f t="shared" si="7"/>
        <v/>
      </c>
      <c r="J15" s="93">
        <f t="shared" si="8"/>
        <v>0</v>
      </c>
      <c r="K15" s="94">
        <f t="shared" si="9"/>
        <v>-11.14</v>
      </c>
      <c r="L15" s="95">
        <f t="shared" si="10"/>
        <v>-10.805800000000001</v>
      </c>
      <c r="M15" s="96">
        <f t="shared" si="11"/>
        <v>-11.4742</v>
      </c>
      <c r="N15" s="96">
        <f t="shared" si="12"/>
        <v>11.4742</v>
      </c>
      <c r="O15" s="96">
        <f t="shared" si="13"/>
        <v>10.805800000000001</v>
      </c>
    </row>
    <row r="16" spans="2:15" ht="15" x14ac:dyDescent="0.2">
      <c r="B16" s="89">
        <f t="shared" ref="B16:B21" si="14">IF(OR($B$4="",$C$4="",$D$4=""),"",IF(AND(OR($D$2=1,$D$2=2,$D$2=4,$D$2=5),SIGN($B$4)&lt;&gt;-1),B15-$D$4,IF(AND(OR($D$2=1,$D$2=2,$D$2=4,$D$2=5),SIGN($B$4)=-1),B15+$D$4,IF(OR($D$2=3,$D$2=6),(B15-C16)/$D$4+C16,IF($D$2=7,B15/$D$4,IF($D$2=8,F15/$D$4+E15,IF($D$2=9,B15-$D$4/2,"")))))))</f>
        <v>9.5507544581618653</v>
      </c>
      <c r="C16" s="117">
        <f t="shared" ref="C16:C21" si="15">IF(OR($B$4="",$C$4="",$D$4=""),"",IF(OR($D$2=1,$D$2=3,$D$2=4,$D$2=6),$C$4,(IF(OR($D$2=2,$D$2=5,$D$2=7),B16*$C$4,IF(OR($D$2=8,$D$2=9),E16-F16,"")))))</f>
        <v>-9.5507544581618653</v>
      </c>
      <c r="D16" s="90">
        <f t="shared" ref="D16:D21" si="16">IF(OR(B16="",C16=""),"",ABS(B16-C16))</f>
        <v>19.101508916323731</v>
      </c>
      <c r="E16" s="90">
        <f t="shared" ref="E16:E21" si="17">IF(OR($B$4="",$C$4="",$D$4=""),"",IF(OR($D$2=1,$D$2=2,$D$2=3,$D$2=7),((B16+C16)/2),IF(OR($D$2=4,$D$2=5,$D$2=6),((G16+H16)/2),IF(OR($D$2=8,$D$2=9),$C$4,""))))</f>
        <v>0</v>
      </c>
      <c r="F16" s="91">
        <f t="shared" ref="F16:F21" si="18">IF(OR($B$4="",$C$4="",$D$4=""),"",IF(OR($D$2=1,$D$2=2,$D$2=3,$D$2=7),D16/2,IF(OR($D$2=4,$D$2=5,$D$2=6),I16/2,IF($D$2=8,F15/$D$4,IF($D$2=9,F15-$D$4/2,"")))))</f>
        <v>9.5507544581618653</v>
      </c>
      <c r="G16" s="89" t="str">
        <f t="shared" si="5"/>
        <v/>
      </c>
      <c r="H16" s="89" t="str">
        <f t="shared" si="6"/>
        <v/>
      </c>
      <c r="I16" s="92" t="str">
        <f t="shared" si="7"/>
        <v/>
      </c>
      <c r="J16" s="93">
        <f t="shared" si="8"/>
        <v>0</v>
      </c>
      <c r="K16" s="94">
        <f t="shared" si="9"/>
        <v>-10.314814814814815</v>
      </c>
      <c r="L16" s="95">
        <f t="shared" si="10"/>
        <v>-10.00537037037037</v>
      </c>
      <c r="M16" s="96">
        <f t="shared" si="11"/>
        <v>-10.62425925925926</v>
      </c>
      <c r="N16" s="96">
        <f t="shared" si="12"/>
        <v>10.62425925925926</v>
      </c>
      <c r="O16" s="96">
        <f t="shared" si="13"/>
        <v>10.00537037037037</v>
      </c>
    </row>
    <row r="17" spans="2:15" ht="15" x14ac:dyDescent="0.2">
      <c r="B17" s="97">
        <f t="shared" si="14"/>
        <v>8.8432911649646897</v>
      </c>
      <c r="C17" s="118">
        <f t="shared" si="15"/>
        <v>-8.8432911649646897</v>
      </c>
      <c r="D17" s="99">
        <f t="shared" si="16"/>
        <v>17.686582329929379</v>
      </c>
      <c r="E17" s="99">
        <f t="shared" si="17"/>
        <v>0</v>
      </c>
      <c r="F17" s="100">
        <f t="shared" si="18"/>
        <v>8.8432911649646897</v>
      </c>
      <c r="G17" s="97" t="str">
        <f t="shared" si="5"/>
        <v/>
      </c>
      <c r="H17" s="97" t="str">
        <f t="shared" si="6"/>
        <v/>
      </c>
      <c r="I17" s="101" t="str">
        <f t="shared" si="7"/>
        <v/>
      </c>
      <c r="J17" s="93">
        <f t="shared" si="8"/>
        <v>0</v>
      </c>
      <c r="K17" s="94">
        <f t="shared" si="9"/>
        <v>-9.5507544581618653</v>
      </c>
      <c r="L17" s="95">
        <f t="shared" si="10"/>
        <v>-9.2642318244170099</v>
      </c>
      <c r="M17" s="96">
        <f t="shared" si="11"/>
        <v>-9.8372770919067207</v>
      </c>
      <c r="N17" s="96">
        <f t="shared" si="12"/>
        <v>9.8372770919067207</v>
      </c>
      <c r="O17" s="96">
        <f t="shared" si="13"/>
        <v>9.2642318244170099</v>
      </c>
    </row>
    <row r="18" spans="2:15" ht="15" x14ac:dyDescent="0.2">
      <c r="B18" s="89">
        <f t="shared" si="14"/>
        <v>8.1882325601524908</v>
      </c>
      <c r="C18" s="117">
        <f t="shared" si="15"/>
        <v>-8.1882325601524908</v>
      </c>
      <c r="D18" s="90">
        <f t="shared" si="16"/>
        <v>16.376465120304982</v>
      </c>
      <c r="E18" s="90">
        <f t="shared" si="17"/>
        <v>0</v>
      </c>
      <c r="F18" s="91">
        <f t="shared" si="18"/>
        <v>8.1882325601524908</v>
      </c>
      <c r="G18" s="89" t="str">
        <f t="shared" si="5"/>
        <v/>
      </c>
      <c r="H18" s="89" t="str">
        <f t="shared" si="6"/>
        <v/>
      </c>
      <c r="I18" s="92" t="str">
        <f t="shared" si="7"/>
        <v/>
      </c>
      <c r="J18" s="93">
        <f t="shared" si="8"/>
        <v>0</v>
      </c>
      <c r="K18" s="94">
        <f t="shared" si="9"/>
        <v>-8.8432911649646897</v>
      </c>
      <c r="L18" s="95">
        <f t="shared" si="10"/>
        <v>-8.5779924300157493</v>
      </c>
      <c r="M18" s="96">
        <f t="shared" si="11"/>
        <v>-9.1085898999136301</v>
      </c>
      <c r="N18" s="96">
        <f t="shared" si="12"/>
        <v>9.1085898999136301</v>
      </c>
      <c r="O18" s="96">
        <f t="shared" si="13"/>
        <v>8.5779924300157493</v>
      </c>
    </row>
    <row r="19" spans="2:15" ht="15" x14ac:dyDescent="0.2">
      <c r="B19" s="97">
        <f t="shared" si="14"/>
        <v>7.5816968149560093</v>
      </c>
      <c r="C19" s="118">
        <f t="shared" si="15"/>
        <v>-7.5816968149560093</v>
      </c>
      <c r="D19" s="99">
        <f t="shared" si="16"/>
        <v>15.163393629912019</v>
      </c>
      <c r="E19" s="99">
        <f t="shared" si="17"/>
        <v>0</v>
      </c>
      <c r="F19" s="100">
        <f t="shared" si="18"/>
        <v>7.5816968149560093</v>
      </c>
      <c r="G19" s="97" t="str">
        <f t="shared" si="5"/>
        <v/>
      </c>
      <c r="H19" s="97" t="str">
        <f t="shared" si="6"/>
        <v/>
      </c>
      <c r="I19" s="101" t="str">
        <f t="shared" si="7"/>
        <v/>
      </c>
      <c r="J19" s="93">
        <f t="shared" si="8"/>
        <v>0</v>
      </c>
      <c r="K19" s="94">
        <f t="shared" si="9"/>
        <v>-8.1882325601524908</v>
      </c>
      <c r="L19" s="95">
        <f t="shared" si="10"/>
        <v>-7.942585583347916</v>
      </c>
      <c r="M19" s="96">
        <f t="shared" si="11"/>
        <v>-8.4338795369570647</v>
      </c>
      <c r="N19" s="96">
        <f t="shared" si="12"/>
        <v>8.4338795369570647</v>
      </c>
      <c r="O19" s="96">
        <f t="shared" si="13"/>
        <v>7.942585583347916</v>
      </c>
    </row>
    <row r="20" spans="2:15" ht="15" x14ac:dyDescent="0.2">
      <c r="B20" s="89">
        <f t="shared" si="14"/>
        <v>7.0200896434777862</v>
      </c>
      <c r="C20" s="117">
        <f t="shared" si="15"/>
        <v>-7.0200896434777862</v>
      </c>
      <c r="D20" s="90">
        <f t="shared" si="16"/>
        <v>14.040179286955572</v>
      </c>
      <c r="E20" s="90">
        <f t="shared" si="17"/>
        <v>0</v>
      </c>
      <c r="F20" s="91">
        <f t="shared" si="18"/>
        <v>7.0200896434777862</v>
      </c>
      <c r="G20" s="89" t="str">
        <f t="shared" si="5"/>
        <v/>
      </c>
      <c r="H20" s="89" t="str">
        <f t="shared" si="6"/>
        <v/>
      </c>
      <c r="I20" s="92" t="str">
        <f t="shared" si="7"/>
        <v/>
      </c>
      <c r="J20" s="93">
        <f t="shared" si="8"/>
        <v>0</v>
      </c>
      <c r="K20" s="94">
        <f t="shared" si="9"/>
        <v>-7.5816968149560093</v>
      </c>
      <c r="L20" s="95">
        <f t="shared" si="10"/>
        <v>-7.3542459105073288</v>
      </c>
      <c r="M20" s="96">
        <f t="shared" si="11"/>
        <v>-7.8091477194046899</v>
      </c>
      <c r="N20" s="96">
        <f t="shared" si="12"/>
        <v>7.8091477194046899</v>
      </c>
      <c r="O20" s="96">
        <f t="shared" si="13"/>
        <v>7.3542459105073288</v>
      </c>
    </row>
    <row r="21" spans="2:15" ht="15.75" thickBot="1" x14ac:dyDescent="0.25">
      <c r="B21" s="102">
        <f t="shared" si="14"/>
        <v>6.5000830032201717</v>
      </c>
      <c r="C21" s="119">
        <f t="shared" si="15"/>
        <v>-6.5000830032201717</v>
      </c>
      <c r="D21" s="104">
        <f t="shared" si="16"/>
        <v>13.000166006440343</v>
      </c>
      <c r="E21" s="104">
        <f t="shared" si="17"/>
        <v>0</v>
      </c>
      <c r="F21" s="120">
        <f t="shared" si="18"/>
        <v>6.5000830032201717</v>
      </c>
      <c r="G21" s="102" t="str">
        <f t="shared" si="5"/>
        <v/>
      </c>
      <c r="H21" s="102" t="str">
        <f t="shared" si="6"/>
        <v/>
      </c>
      <c r="I21" s="121" t="str">
        <f t="shared" si="7"/>
        <v/>
      </c>
      <c r="J21" s="93">
        <f t="shared" si="8"/>
        <v>0</v>
      </c>
      <c r="K21" s="94">
        <f t="shared" si="9"/>
        <v>-7.0200896434777862</v>
      </c>
      <c r="L21" s="95">
        <f t="shared" si="10"/>
        <v>-6.8094869541734528</v>
      </c>
      <c r="M21" s="96">
        <f t="shared" si="11"/>
        <v>-7.2306923327821195</v>
      </c>
      <c r="N21" s="96">
        <f t="shared" si="12"/>
        <v>7.2306923327821195</v>
      </c>
      <c r="O21" s="96">
        <f t="shared" si="13"/>
        <v>6.8094869541734528</v>
      </c>
    </row>
  </sheetData>
  <mergeCells count="1">
    <mergeCell ref="E2:F2"/>
  </mergeCells>
  <conditionalFormatting sqref="E6:E13 E15:E21">
    <cfRule type="expression" dxfId="1" priority="1" stopIfTrue="1">
      <formula>AND($D$2 &gt;= 1,$D$2 &lt;= 7)</formula>
    </cfRule>
  </conditionalFormatting>
  <conditionalFormatting sqref="F6:F13 F15:F21">
    <cfRule type="expression" dxfId="0" priority="2" stopIfTrue="1">
      <formula>OR(AND($D$2 &gt;= 1,$D$2 &lt;= 6),$D$2=7)</formula>
    </cfRule>
  </conditionalFormatting>
  <dataValidations count="4">
    <dataValidation type="custom" allowBlank="1" showErrorMessage="1" errorTitle="Unmögliche Eingabe" error="Bei Stufensprung kann weder eine negative, noch eine Zahl über 2 eingegeben werden." sqref="D4" xr:uid="{00000000-0002-0000-0100-000000000000}">
      <formula1>IF(OR($D$2=3,$D$2=6,$D$2=7),AND($D$4&gt;=1,$D$4&lt;=2),D4&gt;=0)</formula1>
    </dataValidation>
    <dataValidation type="custom" allowBlank="1" showInputMessage="1" showErrorMessage="1" sqref="D5" xr:uid="{00000000-0002-0000-0100-000001000000}">
      <formula1>D5&lt;3</formula1>
    </dataValidation>
    <dataValidation type="decimal" operator="greaterThan" allowBlank="1" showInputMessage="1" showErrorMessage="1" errorTitle="Falsche Eingabe" error="Hier dürfen keine negativen Werte eingegeben werden!" sqref="G4:I4" xr:uid="{00000000-0002-0000-0100-000002000000}">
      <formula1>0</formula1>
    </dataValidation>
    <dataValidation type="whole" allowBlank="1" showInputMessage="1" showErrorMessage="1" sqref="D2" xr:uid="{00000000-0002-0000-0100-000003000000}">
      <formula1>1</formula1>
      <formula2>9</formula2>
    </dataValidation>
  </dataValidations>
  <pageMargins left="0.7" right="0.7" top="0.78740157499999996" bottom="0.78740157499999996" header="0.3" footer="0.3"/>
  <pageSetup orientation="portrait" r:id="rId1"/>
  <headerFooter>
    <oddFooter>&amp;C&amp;1#&amp;"Calibri"&amp;8&amp;K000000INTERNAL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34998626667073579"/>
  </sheetPr>
  <dimension ref="A1:V48"/>
  <sheetViews>
    <sheetView topLeftCell="A10" workbookViewId="0">
      <selection activeCell="G23" sqref="G23"/>
    </sheetView>
  </sheetViews>
  <sheetFormatPr baseColWidth="10" defaultColWidth="11.42578125" defaultRowHeight="12.75" x14ac:dyDescent="0.2"/>
  <sheetData>
    <row r="1" spans="1:22" ht="39" x14ac:dyDescent="0.2">
      <c r="I1" s="37" t="s">
        <v>28</v>
      </c>
      <c r="J1" s="38" t="s">
        <v>49</v>
      </c>
      <c r="K1" s="38" t="s">
        <v>50</v>
      </c>
      <c r="L1" s="38" t="s">
        <v>29</v>
      </c>
      <c r="M1" s="36" t="s">
        <v>31</v>
      </c>
      <c r="N1" s="38" t="s">
        <v>32</v>
      </c>
      <c r="O1" s="37" t="s">
        <v>3</v>
      </c>
      <c r="P1" s="37" t="s">
        <v>4</v>
      </c>
      <c r="Q1" s="36" t="s">
        <v>39</v>
      </c>
      <c r="R1" s="36" t="s">
        <v>40</v>
      </c>
      <c r="S1" s="36" t="s">
        <v>39</v>
      </c>
      <c r="T1" s="36" t="s">
        <v>40</v>
      </c>
      <c r="U1" s="23" t="s">
        <v>34</v>
      </c>
      <c r="V1" s="23" t="s">
        <v>35</v>
      </c>
    </row>
    <row r="2" spans="1:22" x14ac:dyDescent="0.2">
      <c r="I2" s="37"/>
      <c r="J2" s="37" t="s">
        <v>51</v>
      </c>
      <c r="K2" s="37" t="s">
        <v>51</v>
      </c>
      <c r="L2" s="37" t="s">
        <v>30</v>
      </c>
      <c r="M2" s="37" t="s">
        <v>15</v>
      </c>
      <c r="N2" s="3">
        <v>5000000</v>
      </c>
      <c r="O2" s="37"/>
      <c r="P2" s="37" t="s">
        <v>13</v>
      </c>
      <c r="Q2" s="37" t="s">
        <v>41</v>
      </c>
      <c r="R2" s="37" t="s">
        <v>41</v>
      </c>
      <c r="S2" s="37" t="s">
        <v>41</v>
      </c>
      <c r="T2" s="37" t="s">
        <v>41</v>
      </c>
      <c r="U2" s="17"/>
      <c r="V2" s="17"/>
    </row>
    <row r="3" spans="1:22" ht="15" x14ac:dyDescent="0.2">
      <c r="C3" t="s">
        <v>109</v>
      </c>
      <c r="D3">
        <f>[2]Protokoll!G9</f>
        <v>5000000</v>
      </c>
      <c r="I3" s="206" t="s">
        <v>55</v>
      </c>
      <c r="J3" s="207"/>
      <c r="K3" s="207"/>
      <c r="L3" s="207"/>
      <c r="M3" s="207"/>
      <c r="N3" s="207"/>
      <c r="O3" s="208"/>
      <c r="P3" s="48"/>
      <c r="Q3" s="48"/>
      <c r="R3" s="48"/>
      <c r="S3" s="48"/>
      <c r="T3" s="48"/>
      <c r="U3" s="49"/>
      <c r="V3" s="49"/>
    </row>
    <row r="4" spans="1:22" x14ac:dyDescent="0.2">
      <c r="C4" t="s">
        <v>110</v>
      </c>
      <c r="D4">
        <v>1000</v>
      </c>
      <c r="I4" s="149" t="s">
        <v>69</v>
      </c>
      <c r="J4" s="149">
        <v>6.5</v>
      </c>
      <c r="K4" s="148">
        <v>-6.5</v>
      </c>
      <c r="L4" s="3">
        <v>186.5</v>
      </c>
      <c r="M4" s="3" t="s">
        <v>71</v>
      </c>
      <c r="N4" s="3">
        <v>5000187</v>
      </c>
      <c r="O4" s="51">
        <v>1.08</v>
      </c>
      <c r="P4" s="149">
        <v>12</v>
      </c>
      <c r="Q4" s="149">
        <v>1.76</v>
      </c>
      <c r="R4" s="149">
        <v>-1.67</v>
      </c>
      <c r="S4" s="149">
        <v>3.99</v>
      </c>
      <c r="T4" s="149">
        <v>-4.24</v>
      </c>
      <c r="U4" s="4" t="s">
        <v>72</v>
      </c>
      <c r="V4" s="4"/>
    </row>
    <row r="5" spans="1:22" x14ac:dyDescent="0.2">
      <c r="I5" s="149" t="s">
        <v>73</v>
      </c>
      <c r="J5" s="149">
        <v>6.5</v>
      </c>
      <c r="K5" s="148">
        <v>-6.5</v>
      </c>
      <c r="L5" s="3">
        <v>228.5</v>
      </c>
      <c r="M5" s="3" t="s">
        <v>72</v>
      </c>
      <c r="N5" s="3">
        <v>5000229</v>
      </c>
      <c r="O5" s="51">
        <v>1.08</v>
      </c>
      <c r="P5" s="149">
        <v>12</v>
      </c>
      <c r="Q5" s="149">
        <v>2.37</v>
      </c>
      <c r="R5" s="149">
        <v>-2.19</v>
      </c>
      <c r="S5" s="149">
        <v>2.5099999999999998</v>
      </c>
      <c r="T5" s="149">
        <v>-2.29</v>
      </c>
      <c r="U5" s="4" t="s">
        <v>72</v>
      </c>
      <c r="V5" s="4"/>
    </row>
    <row r="6" spans="1:22" x14ac:dyDescent="0.2">
      <c r="B6" t="s">
        <v>111</v>
      </c>
      <c r="C6" t="str">
        <f>[2]Protokoll!C8</f>
        <v>Mupper load</v>
      </c>
      <c r="D6" t="s">
        <v>112</v>
      </c>
      <c r="E6" t="s">
        <v>113</v>
      </c>
      <c r="F6" t="s">
        <v>114</v>
      </c>
      <c r="I6" s="155" t="s">
        <v>77</v>
      </c>
      <c r="J6" s="155">
        <v>7.58</v>
      </c>
      <c r="K6" s="155">
        <v>-7.58</v>
      </c>
      <c r="L6" s="168">
        <v>144.5</v>
      </c>
      <c r="M6" s="168" t="s">
        <v>72</v>
      </c>
      <c r="N6" s="168">
        <v>5000145</v>
      </c>
      <c r="O6" s="51">
        <v>1.08</v>
      </c>
      <c r="P6" s="149">
        <v>12</v>
      </c>
      <c r="Q6" s="149">
        <v>2.02</v>
      </c>
      <c r="R6" s="149">
        <v>-1.85</v>
      </c>
      <c r="S6" s="149"/>
      <c r="T6" s="149"/>
      <c r="U6" s="163" t="s">
        <v>82</v>
      </c>
      <c r="V6" s="163" t="s">
        <v>83</v>
      </c>
    </row>
    <row r="7" spans="1:22" x14ac:dyDescent="0.2">
      <c r="A7">
        <v>1</v>
      </c>
      <c r="B7" s="151">
        <v>1</v>
      </c>
      <c r="C7" s="149">
        <v>7.02</v>
      </c>
      <c r="D7" s="3">
        <v>5000176</v>
      </c>
      <c r="E7" s="152">
        <f t="shared" ref="E7:E47" si="0">IF(D7&gt;=$D$3,C7,"")</f>
        <v>7.02</v>
      </c>
      <c r="F7" s="152" t="str">
        <f t="shared" ref="F7:F47" si="1">IF(D7&lt;$D$3,C7,"")</f>
        <v/>
      </c>
      <c r="I7" s="167"/>
      <c r="J7" s="167"/>
      <c r="K7" s="167"/>
      <c r="L7" s="169"/>
      <c r="M7" s="169"/>
      <c r="N7" s="169"/>
      <c r="O7" s="51">
        <v>1.08</v>
      </c>
      <c r="P7" s="149">
        <v>12</v>
      </c>
      <c r="Q7" s="149">
        <v>3.07</v>
      </c>
      <c r="R7" s="149">
        <v>-3.37</v>
      </c>
      <c r="S7" s="149">
        <v>5.07</v>
      </c>
      <c r="T7" s="149">
        <v>-5.3</v>
      </c>
      <c r="U7" s="171"/>
      <c r="V7" s="171"/>
    </row>
    <row r="8" spans="1:22" x14ac:dyDescent="0.2">
      <c r="B8" s="151">
        <v>2</v>
      </c>
      <c r="C8" s="147">
        <v>7.58</v>
      </c>
      <c r="D8" s="3">
        <v>5000191</v>
      </c>
      <c r="E8" s="152">
        <f t="shared" si="0"/>
        <v>7.58</v>
      </c>
      <c r="F8" s="152" t="str">
        <f t="shared" si="1"/>
        <v/>
      </c>
      <c r="I8" s="156"/>
      <c r="J8" s="156"/>
      <c r="K8" s="156"/>
      <c r="L8" s="170"/>
      <c r="M8" s="170"/>
      <c r="N8" s="170"/>
      <c r="O8" s="149">
        <v>1.08</v>
      </c>
      <c r="P8" s="149">
        <v>12</v>
      </c>
      <c r="Q8" s="149">
        <v>5.0199999999999996</v>
      </c>
      <c r="R8" s="149">
        <v>-5.12</v>
      </c>
      <c r="S8" s="149">
        <v>6.25</v>
      </c>
      <c r="T8" s="149">
        <v>-6.06</v>
      </c>
      <c r="U8" s="164"/>
      <c r="V8" s="164"/>
    </row>
    <row r="9" spans="1:22" x14ac:dyDescent="0.2">
      <c r="A9">
        <v>2</v>
      </c>
      <c r="B9" s="151">
        <v>3</v>
      </c>
      <c r="C9" s="149">
        <v>8.84</v>
      </c>
      <c r="D9" s="3">
        <v>5000149</v>
      </c>
      <c r="E9" s="152">
        <f t="shared" si="0"/>
        <v>8.84</v>
      </c>
      <c r="F9" s="152" t="str">
        <f t="shared" si="1"/>
        <v/>
      </c>
      <c r="I9" s="147" t="s">
        <v>84</v>
      </c>
      <c r="J9" s="149">
        <v>7.02</v>
      </c>
      <c r="K9" s="149">
        <v>-7.02</v>
      </c>
      <c r="L9" s="3">
        <v>175.5</v>
      </c>
      <c r="M9" s="3" t="s">
        <v>72</v>
      </c>
      <c r="N9" s="3">
        <v>5000176</v>
      </c>
      <c r="O9" s="149">
        <v>1.08</v>
      </c>
      <c r="P9" s="149">
        <v>12</v>
      </c>
      <c r="Q9" s="149">
        <v>1.98</v>
      </c>
      <c r="R9" s="149">
        <v>-2.04</v>
      </c>
      <c r="S9" s="149">
        <v>3.92</v>
      </c>
      <c r="T9" s="149">
        <v>-3.88</v>
      </c>
      <c r="U9" s="4" t="s">
        <v>89</v>
      </c>
      <c r="V9" s="4"/>
    </row>
    <row r="10" spans="1:22" x14ac:dyDescent="0.2">
      <c r="A10">
        <v>3</v>
      </c>
      <c r="B10" s="151">
        <v>4</v>
      </c>
      <c r="C10" s="148">
        <v>10.315</v>
      </c>
      <c r="D10" s="3">
        <v>243506</v>
      </c>
      <c r="E10" s="152" t="str">
        <f t="shared" si="0"/>
        <v/>
      </c>
      <c r="F10" s="152">
        <f t="shared" si="1"/>
        <v>10.315</v>
      </c>
      <c r="I10" s="147" t="s">
        <v>86</v>
      </c>
      <c r="J10" s="147">
        <v>7.58</v>
      </c>
      <c r="K10" s="147">
        <v>-7.58</v>
      </c>
      <c r="L10" s="3">
        <v>190.5</v>
      </c>
      <c r="M10" s="3" t="s">
        <v>72</v>
      </c>
      <c r="N10" s="3">
        <v>5000191</v>
      </c>
      <c r="O10" s="149">
        <v>1.08</v>
      </c>
      <c r="P10" s="149">
        <v>12</v>
      </c>
      <c r="Q10" s="149">
        <v>1.98</v>
      </c>
      <c r="R10" s="149">
        <v>-3.69</v>
      </c>
      <c r="S10" s="149">
        <v>2.0499999999999998</v>
      </c>
      <c r="T10" s="149">
        <v>-3.77</v>
      </c>
      <c r="U10" s="4" t="s">
        <v>89</v>
      </c>
      <c r="V10" s="4"/>
    </row>
    <row r="11" spans="1:22" x14ac:dyDescent="0.2">
      <c r="A11">
        <v>4</v>
      </c>
      <c r="B11" s="151">
        <v>5</v>
      </c>
      <c r="C11" s="149">
        <v>9.5510000000000002</v>
      </c>
      <c r="D11" s="3">
        <v>5000134</v>
      </c>
      <c r="E11" s="152">
        <f t="shared" si="0"/>
        <v>9.5510000000000002</v>
      </c>
      <c r="F11" s="152" t="str">
        <f t="shared" si="1"/>
        <v/>
      </c>
      <c r="I11" s="147" t="s">
        <v>88</v>
      </c>
      <c r="J11" s="149">
        <v>8.84</v>
      </c>
      <c r="K11" s="149">
        <v>-8.84</v>
      </c>
      <c r="L11" s="3">
        <v>148.5</v>
      </c>
      <c r="M11" s="3" t="s">
        <v>72</v>
      </c>
      <c r="N11" s="3">
        <v>5000149</v>
      </c>
      <c r="O11" s="149">
        <v>1.08</v>
      </c>
      <c r="P11" s="149">
        <v>12</v>
      </c>
      <c r="Q11" s="149">
        <v>2.3199999999999998</v>
      </c>
      <c r="R11" s="149">
        <v>-3.68</v>
      </c>
      <c r="S11" s="149">
        <v>2.36</v>
      </c>
      <c r="T11" s="149">
        <v>-3.73</v>
      </c>
      <c r="U11" s="4" t="s">
        <v>89</v>
      </c>
      <c r="V11" s="4"/>
    </row>
    <row r="12" spans="1:22" x14ac:dyDescent="0.2">
      <c r="A12">
        <v>5</v>
      </c>
      <c r="B12" s="151">
        <v>6</v>
      </c>
      <c r="C12" s="148">
        <v>10.315</v>
      </c>
      <c r="D12" s="3">
        <v>5000125</v>
      </c>
      <c r="E12" s="152">
        <f t="shared" si="0"/>
        <v>10.315</v>
      </c>
      <c r="F12" s="152" t="str">
        <f t="shared" si="1"/>
        <v/>
      </c>
      <c r="I12" s="147" t="s">
        <v>90</v>
      </c>
      <c r="J12" s="148">
        <v>10.315</v>
      </c>
      <c r="K12" s="148">
        <v>-10.315</v>
      </c>
      <c r="L12" s="3">
        <v>132.5</v>
      </c>
      <c r="M12" s="3" t="s">
        <v>72</v>
      </c>
      <c r="N12" s="3">
        <v>243506</v>
      </c>
      <c r="O12" s="149">
        <v>1.08</v>
      </c>
      <c r="P12" s="149">
        <v>12</v>
      </c>
      <c r="Q12" s="149">
        <v>2.37</v>
      </c>
      <c r="R12" s="149">
        <v>-4.1500000000000004</v>
      </c>
      <c r="S12" s="149">
        <v>3.09</v>
      </c>
      <c r="T12" s="149">
        <v>-6.15</v>
      </c>
      <c r="U12" s="4" t="s">
        <v>91</v>
      </c>
      <c r="V12" s="4" t="s">
        <v>92</v>
      </c>
    </row>
    <row r="13" spans="1:22" x14ac:dyDescent="0.2">
      <c r="A13">
        <v>6</v>
      </c>
      <c r="B13" s="151">
        <v>7</v>
      </c>
      <c r="C13" s="149">
        <v>11.14</v>
      </c>
      <c r="D13" s="3">
        <v>5000113</v>
      </c>
      <c r="E13" s="152">
        <f t="shared" si="0"/>
        <v>11.14</v>
      </c>
      <c r="F13" s="152" t="str">
        <f t="shared" si="1"/>
        <v/>
      </c>
      <c r="I13" s="147" t="s">
        <v>93</v>
      </c>
      <c r="J13" s="149">
        <v>9.5510000000000002</v>
      </c>
      <c r="K13" s="149">
        <v>-9.5510000000000002</v>
      </c>
      <c r="L13" s="3">
        <v>133.5</v>
      </c>
      <c r="M13" s="3" t="s">
        <v>72</v>
      </c>
      <c r="N13" s="3">
        <v>5000134</v>
      </c>
      <c r="O13" s="149">
        <v>1.08</v>
      </c>
      <c r="P13" s="149">
        <v>12</v>
      </c>
      <c r="Q13" s="149">
        <v>2.46</v>
      </c>
      <c r="R13" s="149">
        <v>-3.83</v>
      </c>
      <c r="S13" s="149">
        <v>2.5099999999999998</v>
      </c>
      <c r="T13" s="149">
        <v>-3.91</v>
      </c>
      <c r="U13" s="4" t="s">
        <v>89</v>
      </c>
      <c r="V13" s="4"/>
    </row>
    <row r="14" spans="1:22" x14ac:dyDescent="0.2">
      <c r="A14">
        <v>7</v>
      </c>
      <c r="B14" s="151">
        <v>8</v>
      </c>
      <c r="C14" s="149">
        <v>12.03</v>
      </c>
      <c r="D14" s="3">
        <v>113049</v>
      </c>
      <c r="E14" s="152" t="str">
        <f t="shared" si="0"/>
        <v/>
      </c>
      <c r="F14" s="152">
        <f t="shared" si="1"/>
        <v>12.03</v>
      </c>
      <c r="I14" s="147" t="s">
        <v>94</v>
      </c>
      <c r="J14" s="148">
        <v>10.315</v>
      </c>
      <c r="K14" s="148">
        <v>-10.315</v>
      </c>
      <c r="L14" s="3">
        <v>124.5</v>
      </c>
      <c r="M14" s="3" t="s">
        <v>72</v>
      </c>
      <c r="N14" s="3">
        <v>5000125</v>
      </c>
      <c r="O14" s="149">
        <v>1.08</v>
      </c>
      <c r="P14" s="149">
        <v>12</v>
      </c>
      <c r="Q14" s="149">
        <v>2.33</v>
      </c>
      <c r="R14" s="149">
        <v>-4.12</v>
      </c>
      <c r="S14" s="140"/>
      <c r="T14" s="140"/>
      <c r="U14" s="4"/>
      <c r="V14" s="4"/>
    </row>
    <row r="15" spans="1:22" x14ac:dyDescent="0.2">
      <c r="A15">
        <v>8</v>
      </c>
      <c r="B15" s="151">
        <v>9</v>
      </c>
      <c r="C15" s="149">
        <v>11.14</v>
      </c>
      <c r="D15" s="3">
        <v>691144</v>
      </c>
      <c r="E15" s="152" t="str">
        <f t="shared" si="0"/>
        <v/>
      </c>
      <c r="F15" s="152">
        <f t="shared" si="1"/>
        <v>11.14</v>
      </c>
      <c r="I15" s="147" t="s">
        <v>97</v>
      </c>
      <c r="J15" s="149">
        <v>11.14</v>
      </c>
      <c r="K15" s="149">
        <v>-11.14</v>
      </c>
      <c r="L15" s="3">
        <v>112.5</v>
      </c>
      <c r="M15" s="3" t="s">
        <v>72</v>
      </c>
      <c r="N15" s="3">
        <v>5000113</v>
      </c>
      <c r="O15" s="149">
        <v>1.08</v>
      </c>
      <c r="P15" s="149">
        <v>12</v>
      </c>
      <c r="Q15" s="149">
        <v>2.39</v>
      </c>
      <c r="R15" s="149">
        <v>-4.29</v>
      </c>
      <c r="S15" s="149">
        <v>2.4500000000000002</v>
      </c>
      <c r="T15" s="149">
        <v>-4.3600000000000003</v>
      </c>
      <c r="U15" s="4" t="s">
        <v>89</v>
      </c>
      <c r="V15" s="4"/>
    </row>
    <row r="16" spans="1:22" x14ac:dyDescent="0.2">
      <c r="A16">
        <v>9</v>
      </c>
      <c r="B16" s="151">
        <v>10</v>
      </c>
      <c r="C16" s="153">
        <v>10.315</v>
      </c>
      <c r="D16" s="3">
        <v>5000163</v>
      </c>
      <c r="E16" s="152">
        <f t="shared" si="0"/>
        <v>10.315</v>
      </c>
      <c r="F16" s="152" t="str">
        <f t="shared" si="1"/>
        <v/>
      </c>
      <c r="I16" s="147" t="s">
        <v>100</v>
      </c>
      <c r="J16" s="149">
        <v>12.03</v>
      </c>
      <c r="K16" s="149">
        <v>-12.03</v>
      </c>
      <c r="L16" s="3">
        <v>136.5</v>
      </c>
      <c r="M16" s="3" t="s">
        <v>72</v>
      </c>
      <c r="N16" s="3">
        <v>113049</v>
      </c>
      <c r="O16" s="149">
        <v>1.08</v>
      </c>
      <c r="P16" s="149">
        <v>15</v>
      </c>
      <c r="Q16" s="149">
        <v>2.57</v>
      </c>
      <c r="R16" s="149">
        <v>-3.92</v>
      </c>
      <c r="S16" s="149">
        <v>4.5999999999999996</v>
      </c>
      <c r="T16" s="149">
        <v>-4.62</v>
      </c>
      <c r="U16" s="4" t="s">
        <v>91</v>
      </c>
      <c r="V16" s="4"/>
    </row>
    <row r="17" spans="1:22" x14ac:dyDescent="0.2">
      <c r="A17">
        <v>10</v>
      </c>
      <c r="B17" s="151">
        <v>11</v>
      </c>
      <c r="C17" s="149">
        <v>11.14</v>
      </c>
      <c r="D17" s="3">
        <v>1333887</v>
      </c>
      <c r="E17" s="152" t="str">
        <f t="shared" si="0"/>
        <v/>
      </c>
      <c r="F17" s="152">
        <f t="shared" si="1"/>
        <v>11.14</v>
      </c>
      <c r="I17" s="147" t="s">
        <v>101</v>
      </c>
      <c r="J17" s="149">
        <v>11.14</v>
      </c>
      <c r="K17" s="149">
        <v>-11.14</v>
      </c>
      <c r="L17" s="3">
        <v>139.5</v>
      </c>
      <c r="M17" s="3" t="s">
        <v>72</v>
      </c>
      <c r="N17" s="3">
        <v>691144</v>
      </c>
      <c r="O17" s="149">
        <v>1.08</v>
      </c>
      <c r="P17" s="149">
        <v>15</v>
      </c>
      <c r="Q17" s="149">
        <v>2.82</v>
      </c>
      <c r="R17" s="149">
        <v>-3.52</v>
      </c>
      <c r="S17" s="149">
        <v>3.58</v>
      </c>
      <c r="T17" s="149">
        <v>-5.52</v>
      </c>
      <c r="U17" s="4" t="s">
        <v>91</v>
      </c>
      <c r="V17" s="4"/>
    </row>
    <row r="18" spans="1:22" x14ac:dyDescent="0.2">
      <c r="A18">
        <v>11</v>
      </c>
      <c r="B18" s="151">
        <v>12</v>
      </c>
      <c r="C18" s="153">
        <v>10.315</v>
      </c>
      <c r="D18">
        <v>5000152</v>
      </c>
      <c r="E18" s="152">
        <f t="shared" si="0"/>
        <v>10.315</v>
      </c>
      <c r="F18" s="152" t="str">
        <f t="shared" si="1"/>
        <v/>
      </c>
      <c r="I18" s="155" t="s">
        <v>103</v>
      </c>
      <c r="J18" s="155">
        <v>10.315</v>
      </c>
      <c r="K18" s="155">
        <v>-10.315</v>
      </c>
      <c r="L18" s="168">
        <v>162.5</v>
      </c>
      <c r="M18" s="3" t="s">
        <v>72</v>
      </c>
      <c r="N18" s="3">
        <v>626625</v>
      </c>
      <c r="O18" s="149">
        <v>1.08</v>
      </c>
      <c r="P18" s="149">
        <v>15</v>
      </c>
      <c r="Q18" s="149">
        <v>2.61</v>
      </c>
      <c r="R18" s="149">
        <v>-3.39</v>
      </c>
      <c r="S18" s="149">
        <v>4.66</v>
      </c>
      <c r="T18" s="149">
        <v>-9.34</v>
      </c>
      <c r="U18" s="163" t="s">
        <v>89</v>
      </c>
      <c r="V18" s="163"/>
    </row>
    <row r="19" spans="1:22" x14ac:dyDescent="0.2">
      <c r="A19">
        <v>12</v>
      </c>
      <c r="B19" s="151">
        <v>13</v>
      </c>
      <c r="C19" s="153">
        <v>11.14</v>
      </c>
      <c r="D19">
        <v>1101828</v>
      </c>
      <c r="E19" s="152"/>
      <c r="F19" s="152">
        <f t="shared" si="1"/>
        <v>11.14</v>
      </c>
      <c r="I19" s="156"/>
      <c r="J19" s="156"/>
      <c r="K19" s="156"/>
      <c r="L19" s="170"/>
      <c r="M19" s="3" t="s">
        <v>72</v>
      </c>
      <c r="N19" s="3">
        <v>5000163</v>
      </c>
      <c r="O19" s="149">
        <v>1.08</v>
      </c>
      <c r="P19" s="149">
        <v>15</v>
      </c>
      <c r="Q19" s="149">
        <v>2.27</v>
      </c>
      <c r="R19" s="149">
        <v>-3.69</v>
      </c>
      <c r="S19" s="149">
        <v>2.36</v>
      </c>
      <c r="T19" s="149">
        <v>-3.66</v>
      </c>
      <c r="U19" s="164"/>
      <c r="V19" s="164"/>
    </row>
    <row r="20" spans="1:22" x14ac:dyDescent="0.2">
      <c r="A20">
        <v>13</v>
      </c>
      <c r="B20" s="151">
        <v>14</v>
      </c>
      <c r="C20" s="153">
        <v>10.315</v>
      </c>
      <c r="D20">
        <v>1524274</v>
      </c>
      <c r="E20" s="152" t="str">
        <f t="shared" si="0"/>
        <v/>
      </c>
      <c r="F20" s="152">
        <f t="shared" si="1"/>
        <v>10.315</v>
      </c>
      <c r="I20" s="149" t="s">
        <v>105</v>
      </c>
      <c r="J20" s="149">
        <v>11.14</v>
      </c>
      <c r="K20" s="149">
        <v>-11.14</v>
      </c>
      <c r="L20" s="3">
        <v>139</v>
      </c>
      <c r="M20" s="3" t="s">
        <v>72</v>
      </c>
      <c r="N20" s="3">
        <v>1333887</v>
      </c>
      <c r="O20" s="149">
        <v>1.08</v>
      </c>
      <c r="P20" s="149">
        <v>15</v>
      </c>
      <c r="Q20" s="149">
        <v>2.4900000000000002</v>
      </c>
      <c r="R20" s="149">
        <v>-3.72</v>
      </c>
      <c r="S20" s="149">
        <v>4.5</v>
      </c>
      <c r="T20" s="149">
        <v>-4.41</v>
      </c>
      <c r="U20" s="4" t="s">
        <v>91</v>
      </c>
      <c r="V20" s="4"/>
    </row>
    <row r="21" spans="1:22" x14ac:dyDescent="0.2">
      <c r="A21">
        <v>14</v>
      </c>
      <c r="B21" s="151">
        <f>[2]Protokoll!A27</f>
        <v>0</v>
      </c>
      <c r="C21" s="151">
        <f>[2]Protokoll!C28</f>
        <v>0</v>
      </c>
      <c r="D21" s="151">
        <f>[2]Protokoll!G28</f>
        <v>0</v>
      </c>
      <c r="E21" s="151" t="str">
        <f t="shared" si="0"/>
        <v/>
      </c>
      <c r="F21" s="151">
        <f t="shared" si="1"/>
        <v>0</v>
      </c>
      <c r="I21" t="s">
        <v>106</v>
      </c>
      <c r="J21">
        <v>10.315</v>
      </c>
      <c r="K21">
        <v>-10.315</v>
      </c>
      <c r="L21">
        <v>151.5</v>
      </c>
      <c r="M21" t="s">
        <v>72</v>
      </c>
      <c r="N21">
        <v>5000152</v>
      </c>
      <c r="O21">
        <v>1.08</v>
      </c>
      <c r="P21">
        <v>15</v>
      </c>
      <c r="Q21">
        <v>1.8</v>
      </c>
      <c r="R21">
        <v>-2.93</v>
      </c>
      <c r="S21">
        <v>1.88</v>
      </c>
      <c r="T21">
        <v>-3.05</v>
      </c>
      <c r="U21" t="s">
        <v>89</v>
      </c>
    </row>
    <row r="22" spans="1:22" x14ac:dyDescent="0.2">
      <c r="A22">
        <v>15</v>
      </c>
      <c r="B22" s="151">
        <f>[2]Protokoll!A28</f>
        <v>0</v>
      </c>
      <c r="C22" s="151">
        <f>[2]Protokoll!C29</f>
        <v>0</v>
      </c>
      <c r="D22" s="151">
        <f>[2]Protokoll!G29</f>
        <v>0</v>
      </c>
      <c r="E22" s="151" t="str">
        <f t="shared" si="0"/>
        <v/>
      </c>
      <c r="F22" s="151">
        <f t="shared" si="1"/>
        <v>0</v>
      </c>
      <c r="I22" t="s">
        <v>115</v>
      </c>
      <c r="J22">
        <v>11.14</v>
      </c>
      <c r="K22">
        <v>-11.14</v>
      </c>
      <c r="L22">
        <v>128.5</v>
      </c>
      <c r="M22" t="s">
        <v>72</v>
      </c>
      <c r="N22">
        <v>1101828</v>
      </c>
      <c r="O22">
        <v>1.08</v>
      </c>
      <c r="P22">
        <v>15</v>
      </c>
      <c r="Q22">
        <v>2.06</v>
      </c>
      <c r="R22">
        <v>-2.96</v>
      </c>
      <c r="S22">
        <v>2.89</v>
      </c>
      <c r="T22">
        <v>-4.96</v>
      </c>
      <c r="U22" t="s">
        <v>91</v>
      </c>
    </row>
    <row r="23" spans="1:22" x14ac:dyDescent="0.2">
      <c r="A23">
        <v>16</v>
      </c>
      <c r="B23" s="151">
        <f>[2]Protokoll!A29</f>
        <v>0</v>
      </c>
      <c r="C23" s="151">
        <f>[2]Protokoll!C30</f>
        <v>0</v>
      </c>
      <c r="D23" s="151">
        <f>[2]Protokoll!G30</f>
        <v>0</v>
      </c>
      <c r="E23" s="151" t="str">
        <f t="shared" si="0"/>
        <v/>
      </c>
      <c r="F23" s="151">
        <f t="shared" si="1"/>
        <v>0</v>
      </c>
      <c r="I23" t="s">
        <v>117</v>
      </c>
      <c r="J23">
        <v>10.315</v>
      </c>
      <c r="K23">
        <v>-10.315</v>
      </c>
      <c r="L23">
        <v>106</v>
      </c>
      <c r="M23" t="s">
        <v>72</v>
      </c>
      <c r="N23">
        <v>1524274</v>
      </c>
      <c r="O23">
        <v>1.08</v>
      </c>
      <c r="P23">
        <v>15</v>
      </c>
      <c r="Q23">
        <v>1.74</v>
      </c>
      <c r="R23">
        <v>-3.1</v>
      </c>
      <c r="S23">
        <v>2.14</v>
      </c>
      <c r="T23">
        <v>-5.0999999999999996</v>
      </c>
      <c r="U23" t="s">
        <v>91</v>
      </c>
    </row>
    <row r="24" spans="1:22" x14ac:dyDescent="0.2">
      <c r="A24">
        <v>17</v>
      </c>
      <c r="B24" s="151">
        <f>[2]Protokoll!A30</f>
        <v>0</v>
      </c>
      <c r="C24" s="151">
        <f>[2]Protokoll!C31</f>
        <v>0</v>
      </c>
      <c r="D24" s="151">
        <f>[2]Protokoll!G31</f>
        <v>0</v>
      </c>
      <c r="E24" s="151" t="str">
        <f t="shared" si="0"/>
        <v/>
      </c>
      <c r="F24" s="151">
        <f t="shared" si="1"/>
        <v>0</v>
      </c>
    </row>
    <row r="25" spans="1:22" x14ac:dyDescent="0.2">
      <c r="A25">
        <v>18</v>
      </c>
      <c r="B25" s="151">
        <f>[2]Protokoll!A31</f>
        <v>0</v>
      </c>
      <c r="C25" s="151">
        <f>[2]Protokoll!C32</f>
        <v>0</v>
      </c>
      <c r="D25" s="151">
        <f>[2]Protokoll!G32</f>
        <v>0</v>
      </c>
      <c r="E25" s="151" t="str">
        <f t="shared" si="0"/>
        <v/>
      </c>
      <c r="F25" s="151">
        <f t="shared" si="1"/>
        <v>0</v>
      </c>
    </row>
    <row r="26" spans="1:22" x14ac:dyDescent="0.2">
      <c r="A26">
        <v>19</v>
      </c>
      <c r="B26" s="151">
        <f>[2]Protokoll!A32</f>
        <v>0</v>
      </c>
      <c r="C26" s="151">
        <f>[2]Protokoll!C33</f>
        <v>0</v>
      </c>
      <c r="D26" s="151">
        <f>[2]Protokoll!G33</f>
        <v>0</v>
      </c>
      <c r="E26" s="151" t="str">
        <f t="shared" si="0"/>
        <v/>
      </c>
      <c r="F26" s="151">
        <f t="shared" si="1"/>
        <v>0</v>
      </c>
    </row>
    <row r="27" spans="1:22" x14ac:dyDescent="0.2">
      <c r="A27">
        <v>20</v>
      </c>
      <c r="B27" s="151">
        <f>[2]Protokoll!A33</f>
        <v>0</v>
      </c>
      <c r="C27" s="151">
        <f>[2]Protokoll!C34</f>
        <v>0</v>
      </c>
      <c r="D27" s="151">
        <f>[2]Protokoll!G34</f>
        <v>0</v>
      </c>
      <c r="E27" s="151" t="str">
        <f t="shared" si="0"/>
        <v/>
      </c>
      <c r="F27" s="151">
        <f t="shared" si="1"/>
        <v>0</v>
      </c>
    </row>
    <row r="28" spans="1:22" x14ac:dyDescent="0.2">
      <c r="A28">
        <v>21</v>
      </c>
      <c r="B28" s="151">
        <f>[2]Protokoll!A34</f>
        <v>0</v>
      </c>
      <c r="C28" s="151">
        <f>[2]Protokoll!C35</f>
        <v>0</v>
      </c>
      <c r="D28" s="151">
        <f>[2]Protokoll!G35</f>
        <v>0</v>
      </c>
      <c r="E28" s="151" t="str">
        <f t="shared" si="0"/>
        <v/>
      </c>
      <c r="F28" s="151">
        <f t="shared" si="1"/>
        <v>0</v>
      </c>
    </row>
    <row r="29" spans="1:22" x14ac:dyDescent="0.2">
      <c r="A29">
        <v>22</v>
      </c>
      <c r="B29" s="151">
        <f>[2]Protokoll!A35</f>
        <v>0</v>
      </c>
      <c r="C29" s="151">
        <f>[2]Protokoll!C36</f>
        <v>0</v>
      </c>
      <c r="D29" s="151">
        <f>[2]Protokoll!G36</f>
        <v>0</v>
      </c>
      <c r="E29" s="151" t="str">
        <f t="shared" si="0"/>
        <v/>
      </c>
      <c r="F29" s="151">
        <f t="shared" si="1"/>
        <v>0</v>
      </c>
    </row>
    <row r="30" spans="1:22" x14ac:dyDescent="0.2">
      <c r="A30">
        <v>23</v>
      </c>
      <c r="B30" s="151">
        <f>[2]Protokoll!A36</f>
        <v>0</v>
      </c>
      <c r="C30" s="151">
        <f>[2]Protokoll!C37</f>
        <v>0</v>
      </c>
      <c r="D30" s="151">
        <f>[2]Protokoll!G37</f>
        <v>0</v>
      </c>
      <c r="E30" s="151" t="str">
        <f t="shared" si="0"/>
        <v/>
      </c>
      <c r="F30" s="151">
        <f t="shared" si="1"/>
        <v>0</v>
      </c>
    </row>
    <row r="31" spans="1:22" x14ac:dyDescent="0.2">
      <c r="A31">
        <v>24</v>
      </c>
      <c r="B31" s="151">
        <f>[2]Protokoll!A37</f>
        <v>0</v>
      </c>
      <c r="C31" s="151">
        <f>[2]Protokoll!C38</f>
        <v>0</v>
      </c>
      <c r="D31" s="151">
        <f>[2]Protokoll!G38</f>
        <v>0</v>
      </c>
      <c r="E31" s="151" t="str">
        <f t="shared" si="0"/>
        <v/>
      </c>
      <c r="F31" s="151">
        <f t="shared" si="1"/>
        <v>0</v>
      </c>
      <c r="J31" s="149">
        <v>7.02</v>
      </c>
      <c r="K31" s="3">
        <v>5000000</v>
      </c>
      <c r="L31" s="3">
        <v>0</v>
      </c>
    </row>
    <row r="32" spans="1:22" x14ac:dyDescent="0.2">
      <c r="A32">
        <v>25</v>
      </c>
      <c r="B32" s="151">
        <f>[2]Protokoll!A38</f>
        <v>0</v>
      </c>
      <c r="C32" s="151">
        <f>[2]Protokoll!C39</f>
        <v>0</v>
      </c>
      <c r="D32" s="151">
        <f>[2]Protokoll!G39</f>
        <v>0</v>
      </c>
      <c r="E32" s="151" t="str">
        <f t="shared" si="0"/>
        <v/>
      </c>
      <c r="F32" s="151">
        <f t="shared" si="1"/>
        <v>0</v>
      </c>
      <c r="J32" s="147">
        <v>7.58</v>
      </c>
      <c r="K32" s="3">
        <v>5000000</v>
      </c>
      <c r="L32" s="3">
        <v>0</v>
      </c>
    </row>
    <row r="33" spans="1:12" x14ac:dyDescent="0.2">
      <c r="A33">
        <v>26</v>
      </c>
      <c r="B33" s="151">
        <f>[2]Protokoll!A39</f>
        <v>0</v>
      </c>
      <c r="C33" s="151">
        <f>[2]Protokoll!C40</f>
        <v>0</v>
      </c>
      <c r="D33" s="151">
        <f>[2]Protokoll!G40</f>
        <v>0</v>
      </c>
      <c r="E33" s="151" t="str">
        <f t="shared" si="0"/>
        <v/>
      </c>
      <c r="F33" s="151">
        <f t="shared" si="1"/>
        <v>0</v>
      </c>
      <c r="J33" s="149">
        <v>8.84</v>
      </c>
      <c r="K33" s="3">
        <v>5000000</v>
      </c>
      <c r="L33" s="3">
        <v>0</v>
      </c>
    </row>
    <row r="34" spans="1:12" x14ac:dyDescent="0.2">
      <c r="A34">
        <v>27</v>
      </c>
      <c r="B34" s="151">
        <f>[2]Protokoll!A40</f>
        <v>0</v>
      </c>
      <c r="C34" s="151">
        <f>[2]Protokoll!C41</f>
        <v>0</v>
      </c>
      <c r="D34" s="151">
        <f>[2]Protokoll!G41</f>
        <v>0</v>
      </c>
      <c r="E34" s="151" t="str">
        <f t="shared" si="0"/>
        <v/>
      </c>
      <c r="F34" s="151">
        <f t="shared" si="1"/>
        <v>0</v>
      </c>
      <c r="J34" s="148">
        <v>10.315</v>
      </c>
      <c r="K34" s="3">
        <v>243506</v>
      </c>
      <c r="L34" s="3">
        <v>1</v>
      </c>
    </row>
    <row r="35" spans="1:12" x14ac:dyDescent="0.2">
      <c r="A35">
        <v>28</v>
      </c>
      <c r="B35" s="151">
        <f>[2]Protokoll!A41</f>
        <v>0</v>
      </c>
      <c r="C35" s="151">
        <f>[2]Protokoll!C42</f>
        <v>0</v>
      </c>
      <c r="D35" s="151">
        <f>[2]Protokoll!G42</f>
        <v>0</v>
      </c>
      <c r="E35" s="151" t="str">
        <f t="shared" si="0"/>
        <v/>
      </c>
      <c r="F35" s="151">
        <f t="shared" si="1"/>
        <v>0</v>
      </c>
      <c r="J35" s="149">
        <v>9.5510000000000002</v>
      </c>
      <c r="K35" s="3">
        <v>5000000</v>
      </c>
      <c r="L35" s="3">
        <v>0</v>
      </c>
    </row>
    <row r="36" spans="1:12" x14ac:dyDescent="0.2">
      <c r="A36">
        <v>29</v>
      </c>
      <c r="B36" s="151">
        <f>[2]Protokoll!A42</f>
        <v>0</v>
      </c>
      <c r="C36" s="151">
        <f>[2]Protokoll!C43</f>
        <v>0</v>
      </c>
      <c r="D36" s="151">
        <f>[2]Protokoll!G43</f>
        <v>0</v>
      </c>
      <c r="E36" s="151" t="str">
        <f t="shared" si="0"/>
        <v/>
      </c>
      <c r="F36" s="151">
        <f t="shared" si="1"/>
        <v>0</v>
      </c>
      <c r="J36" s="148">
        <v>10.315</v>
      </c>
      <c r="K36" s="3">
        <v>5000000</v>
      </c>
      <c r="L36" s="3">
        <v>0</v>
      </c>
    </row>
    <row r="37" spans="1:12" x14ac:dyDescent="0.2">
      <c r="A37">
        <v>30</v>
      </c>
      <c r="B37" s="151">
        <f>[2]Protokoll!A43</f>
        <v>0</v>
      </c>
      <c r="C37" s="151">
        <f>[2]Protokoll!C44</f>
        <v>0</v>
      </c>
      <c r="D37" s="151">
        <f>[2]Protokoll!G44</f>
        <v>0</v>
      </c>
      <c r="E37" s="151" t="str">
        <f t="shared" si="0"/>
        <v/>
      </c>
      <c r="F37" s="151">
        <f t="shared" si="1"/>
        <v>0</v>
      </c>
      <c r="J37" s="149">
        <v>11.14</v>
      </c>
      <c r="K37" s="3">
        <v>5000000</v>
      </c>
      <c r="L37" s="3">
        <v>0</v>
      </c>
    </row>
    <row r="38" spans="1:12" x14ac:dyDescent="0.2">
      <c r="A38">
        <v>31</v>
      </c>
      <c r="B38" s="151">
        <f>[2]Protokoll!A44</f>
        <v>0</v>
      </c>
      <c r="C38" s="151">
        <f>[2]Protokoll!C45</f>
        <v>0</v>
      </c>
      <c r="D38" s="151">
        <f>[2]Protokoll!G45</f>
        <v>0</v>
      </c>
      <c r="E38" s="151" t="str">
        <f t="shared" si="0"/>
        <v/>
      </c>
      <c r="F38" s="151">
        <f t="shared" si="1"/>
        <v>0</v>
      </c>
      <c r="J38" s="149">
        <v>12.03</v>
      </c>
      <c r="K38" s="3">
        <v>113049</v>
      </c>
      <c r="L38" s="3">
        <v>1</v>
      </c>
    </row>
    <row r="39" spans="1:12" x14ac:dyDescent="0.2">
      <c r="A39">
        <v>32</v>
      </c>
      <c r="B39" s="151">
        <f>[2]Protokoll!A45</f>
        <v>0</v>
      </c>
      <c r="C39" s="151">
        <f>[2]Protokoll!C46</f>
        <v>0</v>
      </c>
      <c r="D39" s="151">
        <f>[2]Protokoll!G46</f>
        <v>0</v>
      </c>
      <c r="E39" s="151" t="str">
        <f t="shared" si="0"/>
        <v/>
      </c>
      <c r="F39" s="151">
        <f t="shared" si="1"/>
        <v>0</v>
      </c>
      <c r="J39" s="149">
        <v>11.14</v>
      </c>
      <c r="K39" s="3">
        <v>691144</v>
      </c>
      <c r="L39" s="3">
        <v>1</v>
      </c>
    </row>
    <row r="40" spans="1:12" x14ac:dyDescent="0.2">
      <c r="A40">
        <v>33</v>
      </c>
      <c r="B40" s="151">
        <f>[2]Protokoll!A46</f>
        <v>0</v>
      </c>
      <c r="C40" s="151">
        <f>[2]Protokoll!C47</f>
        <v>0</v>
      </c>
      <c r="D40" s="151">
        <f>[2]Protokoll!G47</f>
        <v>0</v>
      </c>
      <c r="E40" s="151" t="str">
        <f t="shared" si="0"/>
        <v/>
      </c>
      <c r="F40" s="151">
        <f t="shared" si="1"/>
        <v>0</v>
      </c>
      <c r="J40" s="153">
        <v>10.315</v>
      </c>
      <c r="K40" s="3">
        <v>5000000</v>
      </c>
      <c r="L40" s="3">
        <v>0</v>
      </c>
    </row>
    <row r="41" spans="1:12" x14ac:dyDescent="0.2">
      <c r="A41">
        <v>34</v>
      </c>
      <c r="B41" s="151">
        <f>[2]Protokoll!A47</f>
        <v>0</v>
      </c>
      <c r="C41" s="151">
        <f>[2]Protokoll!C48</f>
        <v>0</v>
      </c>
      <c r="D41" s="151">
        <f>[2]Protokoll!G48</f>
        <v>0</v>
      </c>
      <c r="E41" s="151" t="str">
        <f t="shared" si="0"/>
        <v/>
      </c>
      <c r="F41" s="151">
        <f t="shared" si="1"/>
        <v>0</v>
      </c>
      <c r="J41" s="149">
        <v>11.14</v>
      </c>
      <c r="K41" s="3">
        <v>1333887</v>
      </c>
      <c r="L41" s="3">
        <v>1</v>
      </c>
    </row>
    <row r="42" spans="1:12" x14ac:dyDescent="0.2">
      <c r="A42">
        <v>35</v>
      </c>
      <c r="B42" s="151">
        <f>[2]Protokoll!A48</f>
        <v>0</v>
      </c>
      <c r="C42" s="151">
        <f>[2]Protokoll!C49</f>
        <v>0</v>
      </c>
      <c r="D42" s="151">
        <f>[2]Protokoll!G49</f>
        <v>0</v>
      </c>
      <c r="E42" s="151" t="str">
        <f t="shared" si="0"/>
        <v/>
      </c>
      <c r="F42" s="151">
        <f t="shared" si="1"/>
        <v>0</v>
      </c>
    </row>
    <row r="43" spans="1:12" x14ac:dyDescent="0.2">
      <c r="A43">
        <v>36</v>
      </c>
      <c r="B43" s="151">
        <f>[2]Protokoll!A49</f>
        <v>0</v>
      </c>
      <c r="C43" s="151">
        <f>[2]Protokoll!C50</f>
        <v>0</v>
      </c>
      <c r="D43" s="151">
        <f>[2]Protokoll!G50</f>
        <v>0</v>
      </c>
      <c r="E43" s="151" t="str">
        <f t="shared" si="0"/>
        <v/>
      </c>
      <c r="F43" s="151">
        <f t="shared" si="1"/>
        <v>0</v>
      </c>
    </row>
    <row r="44" spans="1:12" x14ac:dyDescent="0.2">
      <c r="A44">
        <v>37</v>
      </c>
      <c r="B44" s="151">
        <f>[2]Protokoll!A50</f>
        <v>0</v>
      </c>
      <c r="C44" s="151">
        <f>[2]Protokoll!C51</f>
        <v>0</v>
      </c>
      <c r="D44" s="151">
        <f>[2]Protokoll!G51</f>
        <v>0</v>
      </c>
      <c r="E44" s="151" t="str">
        <f t="shared" si="0"/>
        <v/>
      </c>
      <c r="F44" s="151">
        <f t="shared" si="1"/>
        <v>0</v>
      </c>
    </row>
    <row r="45" spans="1:12" x14ac:dyDescent="0.2">
      <c r="A45">
        <v>38</v>
      </c>
      <c r="B45" s="151">
        <f>[2]Protokoll!A51</f>
        <v>0</v>
      </c>
      <c r="C45" s="151">
        <f>[2]Protokoll!C52</f>
        <v>0</v>
      </c>
      <c r="D45" s="151">
        <f>[2]Protokoll!G52</f>
        <v>0</v>
      </c>
      <c r="E45" s="151" t="str">
        <f t="shared" si="0"/>
        <v/>
      </c>
      <c r="F45" s="151">
        <f t="shared" si="1"/>
        <v>0</v>
      </c>
    </row>
    <row r="46" spans="1:12" x14ac:dyDescent="0.2">
      <c r="A46">
        <v>39</v>
      </c>
      <c r="B46" s="151">
        <f>[2]Protokoll!A52</f>
        <v>0</v>
      </c>
      <c r="C46" s="151">
        <f>[2]Protokoll!C53</f>
        <v>0</v>
      </c>
      <c r="D46" s="151">
        <f>[2]Protokoll!G53</f>
        <v>0</v>
      </c>
      <c r="E46" s="151" t="str">
        <f t="shared" si="0"/>
        <v/>
      </c>
      <c r="F46" s="151">
        <f t="shared" si="1"/>
        <v>0</v>
      </c>
    </row>
    <row r="47" spans="1:12" x14ac:dyDescent="0.2">
      <c r="A47">
        <v>40</v>
      </c>
      <c r="B47" s="151">
        <f>[2]Protokoll!A53</f>
        <v>0</v>
      </c>
      <c r="C47" s="151">
        <f>[2]Protokoll!C54</f>
        <v>0</v>
      </c>
      <c r="D47" s="151">
        <f>[2]Protokoll!G54</f>
        <v>0</v>
      </c>
      <c r="E47" s="151" t="str">
        <f t="shared" si="0"/>
        <v/>
      </c>
      <c r="F47" s="151">
        <f t="shared" si="1"/>
        <v>0</v>
      </c>
    </row>
    <row r="48" spans="1:12" x14ac:dyDescent="0.2">
      <c r="A48">
        <v>41</v>
      </c>
      <c r="B48" s="151">
        <f>[2]Protokoll!A54</f>
        <v>0</v>
      </c>
    </row>
  </sheetData>
  <mergeCells count="15">
    <mergeCell ref="I3:O3"/>
    <mergeCell ref="I6:I8"/>
    <mergeCell ref="J6:J8"/>
    <mergeCell ref="K6:K8"/>
    <mergeCell ref="L6:L8"/>
    <mergeCell ref="M6:M8"/>
    <mergeCell ref="N6:N8"/>
    <mergeCell ref="U6:U8"/>
    <mergeCell ref="V6:V8"/>
    <mergeCell ref="I18:I19"/>
    <mergeCell ref="J18:J19"/>
    <mergeCell ref="K18:K19"/>
    <mergeCell ref="L18:L19"/>
    <mergeCell ref="U18:U19"/>
    <mergeCell ref="V18:V19"/>
  </mergeCells>
  <pageMargins left="0.7" right="0.7" top="0.78740157499999996" bottom="0.78740157499999996" header="0.3" footer="0.3"/>
  <pageSetup orientation="portrait" r:id="rId1"/>
  <headerFooter>
    <oddFooter>&amp;C&amp;1#&amp;"Calibri"&amp;8&amp;K000000INTERNAL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Protokoll</vt:lpstr>
      <vt:lpstr>Startlast</vt:lpstr>
      <vt:lpstr>Treppe Hilfe</vt:lpstr>
      <vt:lpstr>Treppe</vt:lpstr>
      <vt:lpstr>Protokoll!Druckbereich</vt:lpstr>
    </vt:vector>
  </TitlesOfParts>
  <Company>Schaeffler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liebetor</dc:creator>
  <cp:lastModifiedBy>Eysselein, Hans-Peter  ST/HZA-CMB</cp:lastModifiedBy>
  <cp:lastPrinted>2018-08-07T07:03:25Z</cp:lastPrinted>
  <dcterms:created xsi:type="dcterms:W3CDTF">2018-06-22T10:03:48Z</dcterms:created>
  <dcterms:modified xsi:type="dcterms:W3CDTF">2023-12-21T09:38:15Z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3c2d95-ffb8-4f09-8d49-eacb0a6220f7_Enabled">
    <vt:lpwstr>true</vt:lpwstr>
  </property>
  <property fmtid="{D5CDD505-2E9C-101B-9397-08002B2CF9AE}" pid="3" name="MSIP_Label_f33c2d95-ffb8-4f09-8d49-eacb0a6220f7_SetDate">
    <vt:lpwstr>2023-12-21T09:38:15Z</vt:lpwstr>
  </property>
  <property fmtid="{D5CDD505-2E9C-101B-9397-08002B2CF9AE}" pid="4" name="MSIP_Label_f33c2d95-ffb8-4f09-8d49-eacb0a6220f7_Method">
    <vt:lpwstr>Privileged</vt:lpwstr>
  </property>
  <property fmtid="{D5CDD505-2E9C-101B-9397-08002B2CF9AE}" pid="5" name="MSIP_Label_f33c2d95-ffb8-4f09-8d49-eacb0a6220f7_Name">
    <vt:lpwstr>Internal</vt:lpwstr>
  </property>
  <property fmtid="{D5CDD505-2E9C-101B-9397-08002B2CF9AE}" pid="6" name="MSIP_Label_f33c2d95-ffb8-4f09-8d49-eacb0a6220f7_SiteId">
    <vt:lpwstr>67416604-6509-4014-9859-45e709f53d3f</vt:lpwstr>
  </property>
  <property fmtid="{D5CDD505-2E9C-101B-9397-08002B2CF9AE}" pid="7" name="MSIP_Label_f33c2d95-ffb8-4f09-8d49-eacb0a6220f7_ActionId">
    <vt:lpwstr>e1873c8b-6a5b-430e-abcb-d686372e7895</vt:lpwstr>
  </property>
  <property fmtid="{D5CDD505-2E9C-101B-9397-08002B2CF9AE}" pid="8" name="MSIP_Label_f33c2d95-ffb8-4f09-8d49-eacb0a6220f7_ContentBits">
    <vt:lpwstr>2</vt:lpwstr>
  </property>
</Properties>
</file>