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G:\HayDay\Data\"/>
    </mc:Choice>
  </mc:AlternateContent>
  <xr:revisionPtr revIDLastSave="0" documentId="8_{FD3A2C0A-6D73-4638-8018-0D8921B4A956}" xr6:coauthVersionLast="47" xr6:coauthVersionMax="47" xr10:uidLastSave="{00000000-0000-0000-0000-000000000000}"/>
  <bookViews>
    <workbookView xWindow="-120" yWindow="-120" windowWidth="37245" windowHeight="21840" activeTab="2" xr2:uid="{00000000-000D-0000-FFFF-FFFF00000000}"/>
  </bookViews>
  <sheets>
    <sheet name="Production Machines and Recipes" sheetId="1" r:id="rId1"/>
    <sheet name="Ingredient costs" sheetId="2" r:id="rId2"/>
    <sheet name="Sheet4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3" l="1"/>
  <c r="L22" i="3"/>
  <c r="L23" i="3"/>
  <c r="L24" i="3"/>
  <c r="L25" i="3"/>
  <c r="L26" i="3"/>
  <c r="L27" i="3"/>
  <c r="L28" i="3"/>
  <c r="L29" i="3"/>
  <c r="L30" i="3"/>
  <c r="M30" i="3" s="1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M46" i="3" s="1"/>
  <c r="L47" i="3"/>
  <c r="L48" i="3"/>
  <c r="L49" i="3"/>
  <c r="L50" i="3"/>
  <c r="L51" i="3"/>
  <c r="L52" i="3"/>
  <c r="P52" i="3" s="1"/>
  <c r="L53" i="3"/>
  <c r="L54" i="3"/>
  <c r="L55" i="3"/>
  <c r="L56" i="3"/>
  <c r="L57" i="3"/>
  <c r="L58" i="3"/>
  <c r="L59" i="3"/>
  <c r="L60" i="3"/>
  <c r="L61" i="3"/>
  <c r="L62" i="3"/>
  <c r="M62" i="3" s="1"/>
  <c r="L63" i="3"/>
  <c r="L64" i="3"/>
  <c r="L65" i="3"/>
  <c r="L66" i="3"/>
  <c r="L67" i="3"/>
  <c r="L68" i="3"/>
  <c r="M68" i="3" s="1"/>
  <c r="L69" i="3"/>
  <c r="L70" i="3"/>
  <c r="L71" i="3"/>
  <c r="L72" i="3"/>
  <c r="L73" i="3"/>
  <c r="L74" i="3"/>
  <c r="L75" i="3"/>
  <c r="L76" i="3"/>
  <c r="L77" i="3"/>
  <c r="L78" i="3"/>
  <c r="P78" i="3" s="1"/>
  <c r="L79" i="3"/>
  <c r="L80" i="3"/>
  <c r="L81" i="3"/>
  <c r="L82" i="3"/>
  <c r="L83" i="3"/>
  <c r="L84" i="3"/>
  <c r="P84" i="3" s="1"/>
  <c r="L85" i="3"/>
  <c r="L86" i="3"/>
  <c r="L87" i="3"/>
  <c r="L88" i="3"/>
  <c r="L89" i="3"/>
  <c r="L90" i="3"/>
  <c r="L91" i="3"/>
  <c r="L92" i="3"/>
  <c r="L93" i="3"/>
  <c r="L94" i="3"/>
  <c r="P94" i="3" s="1"/>
  <c r="L95" i="3"/>
  <c r="L96" i="3"/>
  <c r="L97" i="3"/>
  <c r="L98" i="3"/>
  <c r="L99" i="3"/>
  <c r="L100" i="3"/>
  <c r="P100" i="3" s="1"/>
  <c r="L101" i="3"/>
  <c r="L102" i="3"/>
  <c r="L103" i="3"/>
  <c r="L104" i="3"/>
  <c r="L105" i="3"/>
  <c r="L106" i="3"/>
  <c r="L107" i="3"/>
  <c r="L108" i="3"/>
  <c r="L109" i="3"/>
  <c r="L110" i="3"/>
  <c r="P110" i="3" s="1"/>
  <c r="L111" i="3"/>
  <c r="L112" i="3"/>
  <c r="L113" i="3"/>
  <c r="L114" i="3"/>
  <c r="L115" i="3"/>
  <c r="L116" i="3"/>
  <c r="P116" i="3" s="1"/>
  <c r="L117" i="3"/>
  <c r="L118" i="3"/>
  <c r="L119" i="3"/>
  <c r="L120" i="3"/>
  <c r="L121" i="3"/>
  <c r="L122" i="3"/>
  <c r="L123" i="3"/>
  <c r="L124" i="3"/>
  <c r="L125" i="3"/>
  <c r="L126" i="3"/>
  <c r="P126" i="3" s="1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P142" i="3" s="1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P158" i="3" s="1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P174" i="3" s="1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P190" i="3" s="1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P206" i="3" s="1"/>
  <c r="L207" i="3"/>
  <c r="L208" i="3"/>
  <c r="L209" i="3"/>
  <c r="L210" i="3"/>
  <c r="L211" i="3"/>
  <c r="L212" i="3"/>
  <c r="L213" i="3"/>
  <c r="L214" i="3"/>
  <c r="P214" i="3" s="1"/>
  <c r="L215" i="3"/>
  <c r="L216" i="3"/>
  <c r="L217" i="3"/>
  <c r="L218" i="3"/>
  <c r="L219" i="3"/>
  <c r="L220" i="3"/>
  <c r="L221" i="3"/>
  <c r="L222" i="3"/>
  <c r="P222" i="3" s="1"/>
  <c r="L223" i="3"/>
  <c r="L224" i="3"/>
  <c r="L225" i="3"/>
  <c r="L226" i="3"/>
  <c r="L227" i="3"/>
  <c r="L228" i="3"/>
  <c r="P228" i="3" s="1"/>
  <c r="L229" i="3"/>
  <c r="L230" i="3"/>
  <c r="P230" i="3" s="1"/>
  <c r="L231" i="3"/>
  <c r="L232" i="3"/>
  <c r="L233" i="3"/>
  <c r="L234" i="3"/>
  <c r="L235" i="3"/>
  <c r="L236" i="3"/>
  <c r="L237" i="3"/>
  <c r="P237" i="3" s="1"/>
  <c r="L238" i="3"/>
  <c r="P238" i="3" s="1"/>
  <c r="L239" i="3"/>
  <c r="L240" i="3"/>
  <c r="L241" i="3"/>
  <c r="L242" i="3"/>
  <c r="L243" i="3"/>
  <c r="L244" i="3"/>
  <c r="P244" i="3" s="1"/>
  <c r="L245" i="3"/>
  <c r="P245" i="3" s="1"/>
  <c r="L246" i="3"/>
  <c r="P246" i="3" s="1"/>
  <c r="L247" i="3"/>
  <c r="L248" i="3"/>
  <c r="L249" i="3"/>
  <c r="L250" i="3"/>
  <c r="L251" i="3"/>
  <c r="L252" i="3"/>
  <c r="L253" i="3"/>
  <c r="P253" i="3" s="1"/>
  <c r="L254" i="3"/>
  <c r="P254" i="3" s="1"/>
  <c r="L255" i="3"/>
  <c r="L256" i="3"/>
  <c r="L257" i="3"/>
  <c r="L258" i="3"/>
  <c r="L259" i="3"/>
  <c r="L260" i="3"/>
  <c r="P260" i="3" s="1"/>
  <c r="L261" i="3"/>
  <c r="P261" i="3" s="1"/>
  <c r="L262" i="3"/>
  <c r="L263" i="3"/>
  <c r="L264" i="3"/>
  <c r="L265" i="3"/>
  <c r="L266" i="3"/>
  <c r="L267" i="3"/>
  <c r="L268" i="3"/>
  <c r="L269" i="3"/>
  <c r="L270" i="3"/>
  <c r="P270" i="3" s="1"/>
  <c r="L271" i="3"/>
  <c r="L272" i="3"/>
  <c r="L273" i="3"/>
  <c r="L274" i="3"/>
  <c r="L275" i="3"/>
  <c r="L276" i="3"/>
  <c r="P276" i="3" s="1"/>
  <c r="L277" i="3"/>
  <c r="L278" i="3"/>
  <c r="P278" i="3" s="1"/>
  <c r="L279" i="3"/>
  <c r="L280" i="3"/>
  <c r="L281" i="3"/>
  <c r="L282" i="3"/>
  <c r="L283" i="3"/>
  <c r="L284" i="3"/>
  <c r="L285" i="3"/>
  <c r="L286" i="3"/>
  <c r="M286" i="3" s="1"/>
  <c r="L287" i="3"/>
  <c r="L288" i="3"/>
  <c r="L289" i="3"/>
  <c r="L290" i="3"/>
  <c r="L291" i="3"/>
  <c r="P291" i="3" s="1"/>
  <c r="P292" i="3"/>
  <c r="L293" i="3"/>
  <c r="P293" i="3" s="1"/>
  <c r="L294" i="3"/>
  <c r="L295" i="3"/>
  <c r="L296" i="3"/>
  <c r="L297" i="3"/>
  <c r="L298" i="3"/>
  <c r="L299" i="3"/>
  <c r="L300" i="3"/>
  <c r="L301" i="3"/>
  <c r="P301" i="3" s="1"/>
  <c r="L302" i="3"/>
  <c r="P302" i="3" s="1"/>
  <c r="L303" i="3"/>
  <c r="L304" i="3"/>
  <c r="L305" i="3"/>
  <c r="L306" i="3"/>
  <c r="L307" i="3"/>
  <c r="L308" i="3"/>
  <c r="P308" i="3" s="1"/>
  <c r="L309" i="3"/>
  <c r="L310" i="3"/>
  <c r="P310" i="3" s="1"/>
  <c r="L311" i="3"/>
  <c r="L312" i="3"/>
  <c r="L313" i="3"/>
  <c r="L314" i="3"/>
  <c r="L315" i="3"/>
  <c r="L316" i="3"/>
  <c r="L317" i="3"/>
  <c r="P317" i="3" s="1"/>
  <c r="L318" i="3"/>
  <c r="P318" i="3" s="1"/>
  <c r="L319" i="3"/>
  <c r="L320" i="3"/>
  <c r="M320" i="3" s="1"/>
  <c r="L321" i="3"/>
  <c r="L322" i="3"/>
  <c r="L323" i="3"/>
  <c r="L324" i="3"/>
  <c r="L325" i="3"/>
  <c r="P325" i="3" s="1"/>
  <c r="L326" i="3"/>
  <c r="P326" i="3" s="1"/>
  <c r="L327" i="3"/>
  <c r="L328" i="3"/>
  <c r="M328" i="3" s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M17" i="3" s="1"/>
  <c r="L18" i="3"/>
  <c r="P18" i="3" s="1"/>
  <c r="L19" i="3"/>
  <c r="L20" i="3"/>
  <c r="L2" i="3"/>
  <c r="H328" i="3"/>
  <c r="I328" i="3" s="1"/>
  <c r="N328" i="3" s="1"/>
  <c r="P327" i="3"/>
  <c r="H327" i="3"/>
  <c r="I327" i="3" s="1"/>
  <c r="H326" i="3"/>
  <c r="I326" i="3" s="1"/>
  <c r="H325" i="3"/>
  <c r="I325" i="3" s="1"/>
  <c r="P324" i="3"/>
  <c r="H324" i="3"/>
  <c r="I324" i="3" s="1"/>
  <c r="P323" i="3"/>
  <c r="H323" i="3"/>
  <c r="I323" i="3" s="1"/>
  <c r="H322" i="3"/>
  <c r="I322" i="3" s="1"/>
  <c r="H321" i="3"/>
  <c r="I321" i="3" s="1"/>
  <c r="H320" i="3"/>
  <c r="I320" i="3" s="1"/>
  <c r="H319" i="3"/>
  <c r="I319" i="3" s="1"/>
  <c r="H318" i="3"/>
  <c r="I318" i="3" s="1"/>
  <c r="H317" i="3"/>
  <c r="I317" i="3" s="1"/>
  <c r="P316" i="3"/>
  <c r="H316" i="3"/>
  <c r="I316" i="3" s="1"/>
  <c r="N316" i="3" s="1"/>
  <c r="M315" i="3"/>
  <c r="H315" i="3"/>
  <c r="I315" i="3" s="1"/>
  <c r="H314" i="3"/>
  <c r="I314" i="3" s="1"/>
  <c r="H313" i="3"/>
  <c r="I313" i="3" s="1"/>
  <c r="M312" i="3"/>
  <c r="H312" i="3"/>
  <c r="I312" i="3" s="1"/>
  <c r="H311" i="3"/>
  <c r="I311" i="3" s="1"/>
  <c r="H310" i="3"/>
  <c r="I310" i="3" s="1"/>
  <c r="P309" i="3"/>
  <c r="H309" i="3"/>
  <c r="I309" i="3" s="1"/>
  <c r="N309" i="3" s="1"/>
  <c r="H308" i="3"/>
  <c r="I308" i="3" s="1"/>
  <c r="P307" i="3"/>
  <c r="H307" i="3"/>
  <c r="I307" i="3" s="1"/>
  <c r="N307" i="3" s="1"/>
  <c r="H306" i="3"/>
  <c r="I306" i="3" s="1"/>
  <c r="H305" i="3"/>
  <c r="I305" i="3" s="1"/>
  <c r="N305" i="3" s="1"/>
  <c r="P304" i="3"/>
  <c r="M304" i="3"/>
  <c r="H304" i="3"/>
  <c r="I304" i="3" s="1"/>
  <c r="N304" i="3" s="1"/>
  <c r="H303" i="3"/>
  <c r="I303" i="3" s="1"/>
  <c r="N303" i="3" s="1"/>
  <c r="H302" i="3"/>
  <c r="I302" i="3" s="1"/>
  <c r="H301" i="3"/>
  <c r="I301" i="3" s="1"/>
  <c r="P300" i="3"/>
  <c r="H300" i="3"/>
  <c r="I300" i="3" s="1"/>
  <c r="P299" i="3"/>
  <c r="H299" i="3"/>
  <c r="I299" i="3" s="1"/>
  <c r="H298" i="3"/>
  <c r="I298" i="3" s="1"/>
  <c r="H297" i="3"/>
  <c r="I297" i="3" s="1"/>
  <c r="M296" i="3"/>
  <c r="H296" i="3"/>
  <c r="I296" i="3" s="1"/>
  <c r="N296" i="3" s="1"/>
  <c r="H295" i="3"/>
  <c r="I295" i="3" s="1"/>
  <c r="N295" i="3" s="1"/>
  <c r="P294" i="3"/>
  <c r="H294" i="3"/>
  <c r="I294" i="3" s="1"/>
  <c r="H293" i="3"/>
  <c r="I293" i="3" s="1"/>
  <c r="H292" i="3"/>
  <c r="I292" i="3" s="1"/>
  <c r="H291" i="3"/>
  <c r="I291" i="3" s="1"/>
  <c r="H290" i="3"/>
  <c r="I290" i="3" s="1"/>
  <c r="N290" i="3" s="1"/>
  <c r="H289" i="3"/>
  <c r="I289" i="3" s="1"/>
  <c r="N289" i="3" s="1"/>
  <c r="M288" i="3"/>
  <c r="H288" i="3"/>
  <c r="I288" i="3" s="1"/>
  <c r="H287" i="3"/>
  <c r="I287" i="3" s="1"/>
  <c r="N287" i="3" s="1"/>
  <c r="P286" i="3"/>
  <c r="H286" i="3"/>
  <c r="I286" i="3" s="1"/>
  <c r="P285" i="3"/>
  <c r="H285" i="3"/>
  <c r="I285" i="3" s="1"/>
  <c r="P284" i="3"/>
  <c r="H284" i="3"/>
  <c r="I284" i="3" s="1"/>
  <c r="N284" i="3" s="1"/>
  <c r="M283" i="3"/>
  <c r="H283" i="3"/>
  <c r="I283" i="3" s="1"/>
  <c r="H282" i="3"/>
  <c r="I282" i="3" s="1"/>
  <c r="H281" i="3"/>
  <c r="I281" i="3" s="1"/>
  <c r="M280" i="3"/>
  <c r="H280" i="3"/>
  <c r="I280" i="3" s="1"/>
  <c r="N280" i="3" s="1"/>
  <c r="H279" i="3"/>
  <c r="I279" i="3" s="1"/>
  <c r="I278" i="3"/>
  <c r="N278" i="3" s="1"/>
  <c r="H278" i="3"/>
  <c r="P277" i="3"/>
  <c r="H277" i="3"/>
  <c r="I277" i="3" s="1"/>
  <c r="H276" i="3"/>
  <c r="I276" i="3" s="1"/>
  <c r="M275" i="3"/>
  <c r="P275" i="3"/>
  <c r="H275" i="3"/>
  <c r="I275" i="3" s="1"/>
  <c r="H274" i="3"/>
  <c r="I274" i="3" s="1"/>
  <c r="H273" i="3"/>
  <c r="I273" i="3" s="1"/>
  <c r="M272" i="3"/>
  <c r="H272" i="3"/>
  <c r="I272" i="3" s="1"/>
  <c r="H271" i="3"/>
  <c r="I271" i="3" s="1"/>
  <c r="N271" i="3" s="1"/>
  <c r="H270" i="3"/>
  <c r="I270" i="3" s="1"/>
  <c r="P269" i="3"/>
  <c r="H269" i="3"/>
  <c r="I269" i="3" s="1"/>
  <c r="P268" i="3"/>
  <c r="H268" i="3"/>
  <c r="I268" i="3" s="1"/>
  <c r="N268" i="3" s="1"/>
  <c r="P267" i="3"/>
  <c r="H267" i="3"/>
  <c r="I267" i="3" s="1"/>
  <c r="N267" i="3" s="1"/>
  <c r="H266" i="3"/>
  <c r="I266" i="3" s="1"/>
  <c r="H265" i="3"/>
  <c r="I265" i="3" s="1"/>
  <c r="N265" i="3" s="1"/>
  <c r="M264" i="3"/>
  <c r="H264" i="3"/>
  <c r="I264" i="3" s="1"/>
  <c r="H263" i="3"/>
  <c r="I263" i="3" s="1"/>
  <c r="P262" i="3"/>
  <c r="H262" i="3"/>
  <c r="I262" i="3" s="1"/>
  <c r="N262" i="3" s="1"/>
  <c r="H261" i="3"/>
  <c r="I261" i="3" s="1"/>
  <c r="H260" i="3"/>
  <c r="I260" i="3" s="1"/>
  <c r="P259" i="3"/>
  <c r="H259" i="3"/>
  <c r="I259" i="3" s="1"/>
  <c r="H258" i="3"/>
  <c r="I258" i="3" s="1"/>
  <c r="H257" i="3"/>
  <c r="I257" i="3" s="1"/>
  <c r="M256" i="3"/>
  <c r="H256" i="3"/>
  <c r="I256" i="3" s="1"/>
  <c r="N256" i="3" s="1"/>
  <c r="H255" i="3"/>
  <c r="I255" i="3" s="1"/>
  <c r="N255" i="3" s="1"/>
  <c r="H254" i="3"/>
  <c r="I254" i="3" s="1"/>
  <c r="H253" i="3"/>
  <c r="I253" i="3" s="1"/>
  <c r="P252" i="3"/>
  <c r="H252" i="3"/>
  <c r="I252" i="3" s="1"/>
  <c r="P251" i="3"/>
  <c r="M251" i="3"/>
  <c r="H251" i="3"/>
  <c r="I251" i="3" s="1"/>
  <c r="N251" i="3" s="1"/>
  <c r="H250" i="3"/>
  <c r="I250" i="3" s="1"/>
  <c r="N250" i="3" s="1"/>
  <c r="H249" i="3"/>
  <c r="I249" i="3" s="1"/>
  <c r="N249" i="3" s="1"/>
  <c r="M248" i="3"/>
  <c r="H248" i="3"/>
  <c r="I248" i="3" s="1"/>
  <c r="H247" i="3"/>
  <c r="I247" i="3" s="1"/>
  <c r="H246" i="3"/>
  <c r="I246" i="3" s="1"/>
  <c r="H245" i="3"/>
  <c r="I245" i="3" s="1"/>
  <c r="H244" i="3"/>
  <c r="I244" i="3" s="1"/>
  <c r="P243" i="3"/>
  <c r="H243" i="3"/>
  <c r="I243" i="3" s="1"/>
  <c r="H242" i="3"/>
  <c r="I242" i="3" s="1"/>
  <c r="H241" i="3"/>
  <c r="I241" i="3" s="1"/>
  <c r="N241" i="3" s="1"/>
  <c r="M240" i="3"/>
  <c r="H240" i="3"/>
  <c r="I240" i="3" s="1"/>
  <c r="H239" i="3"/>
  <c r="I239" i="3" s="1"/>
  <c r="H238" i="3"/>
  <c r="I238" i="3" s="1"/>
  <c r="H237" i="3"/>
  <c r="I237" i="3" s="1"/>
  <c r="P236" i="3"/>
  <c r="H236" i="3"/>
  <c r="I236" i="3" s="1"/>
  <c r="M235" i="3"/>
  <c r="H235" i="3"/>
  <c r="I235" i="3" s="1"/>
  <c r="H234" i="3"/>
  <c r="I234" i="3" s="1"/>
  <c r="H233" i="3"/>
  <c r="I233" i="3" s="1"/>
  <c r="M232" i="3"/>
  <c r="H232" i="3"/>
  <c r="I232" i="3" s="1"/>
  <c r="H231" i="3"/>
  <c r="I231" i="3" s="1"/>
  <c r="H230" i="3"/>
  <c r="I230" i="3" s="1"/>
  <c r="N230" i="3" s="1"/>
  <c r="H229" i="3"/>
  <c r="I229" i="3" s="1"/>
  <c r="N229" i="3" s="1"/>
  <c r="H228" i="3"/>
  <c r="I228" i="3" s="1"/>
  <c r="P227" i="3"/>
  <c r="H227" i="3"/>
  <c r="I227" i="3" s="1"/>
  <c r="H226" i="3"/>
  <c r="I226" i="3" s="1"/>
  <c r="H225" i="3"/>
  <c r="I225" i="3" s="1"/>
  <c r="N225" i="3" s="1"/>
  <c r="M224" i="3"/>
  <c r="H224" i="3"/>
  <c r="I224" i="3" s="1"/>
  <c r="N224" i="3" s="1"/>
  <c r="H223" i="3"/>
  <c r="I223" i="3" s="1"/>
  <c r="H222" i="3"/>
  <c r="I222" i="3" s="1"/>
  <c r="H221" i="3"/>
  <c r="I221" i="3" s="1"/>
  <c r="H220" i="3"/>
  <c r="I220" i="3" s="1"/>
  <c r="N220" i="3" s="1"/>
  <c r="P219" i="3"/>
  <c r="H219" i="3"/>
  <c r="I219" i="3" s="1"/>
  <c r="H218" i="3"/>
  <c r="I218" i="3" s="1"/>
  <c r="H217" i="3"/>
  <c r="I217" i="3" s="1"/>
  <c r="M216" i="3"/>
  <c r="H216" i="3"/>
  <c r="I216" i="3" s="1"/>
  <c r="H215" i="3"/>
  <c r="I215" i="3" s="1"/>
  <c r="N215" i="3" s="1"/>
  <c r="H214" i="3"/>
  <c r="I214" i="3" s="1"/>
  <c r="H213" i="3"/>
  <c r="I213" i="3" s="1"/>
  <c r="H212" i="3"/>
  <c r="I212" i="3" s="1"/>
  <c r="M211" i="3"/>
  <c r="P211" i="3"/>
  <c r="H211" i="3"/>
  <c r="I211" i="3" s="1"/>
  <c r="H210" i="3"/>
  <c r="I210" i="3" s="1"/>
  <c r="N210" i="3" s="1"/>
  <c r="H209" i="3"/>
  <c r="I209" i="3" s="1"/>
  <c r="N209" i="3" s="1"/>
  <c r="M208" i="3"/>
  <c r="H208" i="3"/>
  <c r="I208" i="3" s="1"/>
  <c r="H207" i="3"/>
  <c r="I207" i="3" s="1"/>
  <c r="H206" i="3"/>
  <c r="I206" i="3" s="1"/>
  <c r="H205" i="3"/>
  <c r="I205" i="3" s="1"/>
  <c r="H204" i="3"/>
  <c r="I204" i="3" s="1"/>
  <c r="M203" i="3"/>
  <c r="H203" i="3"/>
  <c r="I203" i="3" s="1"/>
  <c r="H202" i="3"/>
  <c r="I202" i="3" s="1"/>
  <c r="N202" i="3" s="1"/>
  <c r="H201" i="3"/>
  <c r="I201" i="3" s="1"/>
  <c r="N201" i="3" s="1"/>
  <c r="M200" i="3"/>
  <c r="H200" i="3"/>
  <c r="I200" i="3" s="1"/>
  <c r="N200" i="3" s="1"/>
  <c r="H199" i="3"/>
  <c r="I199" i="3" s="1"/>
  <c r="N199" i="3" s="1"/>
  <c r="P198" i="3"/>
  <c r="H198" i="3"/>
  <c r="I198" i="3" s="1"/>
  <c r="H197" i="3"/>
  <c r="I197" i="3" s="1"/>
  <c r="H196" i="3"/>
  <c r="I196" i="3" s="1"/>
  <c r="P195" i="3"/>
  <c r="H195" i="3"/>
  <c r="I195" i="3" s="1"/>
  <c r="N195" i="3" s="1"/>
  <c r="H194" i="3"/>
  <c r="I194" i="3" s="1"/>
  <c r="N194" i="3" s="1"/>
  <c r="H193" i="3"/>
  <c r="I193" i="3" s="1"/>
  <c r="M192" i="3"/>
  <c r="H192" i="3"/>
  <c r="I192" i="3" s="1"/>
  <c r="H191" i="3"/>
  <c r="I191" i="3" s="1"/>
  <c r="N191" i="3" s="1"/>
  <c r="H190" i="3"/>
  <c r="I190" i="3" s="1"/>
  <c r="H189" i="3"/>
  <c r="I189" i="3" s="1"/>
  <c r="N189" i="3" s="1"/>
  <c r="H188" i="3"/>
  <c r="I188" i="3" s="1"/>
  <c r="P187" i="3"/>
  <c r="H187" i="3"/>
  <c r="I187" i="3" s="1"/>
  <c r="H186" i="3"/>
  <c r="I186" i="3" s="1"/>
  <c r="H185" i="3"/>
  <c r="I185" i="3" s="1"/>
  <c r="M184" i="3"/>
  <c r="H184" i="3"/>
  <c r="I184" i="3" s="1"/>
  <c r="H183" i="3"/>
  <c r="I183" i="3" s="1"/>
  <c r="P182" i="3"/>
  <c r="H182" i="3"/>
  <c r="I182" i="3" s="1"/>
  <c r="N182" i="3" s="1"/>
  <c r="H181" i="3"/>
  <c r="I181" i="3" s="1"/>
  <c r="H180" i="3"/>
  <c r="I180" i="3" s="1"/>
  <c r="M179" i="3"/>
  <c r="P179" i="3"/>
  <c r="H179" i="3"/>
  <c r="I179" i="3" s="1"/>
  <c r="H178" i="3"/>
  <c r="I178" i="3" s="1"/>
  <c r="H177" i="3"/>
  <c r="I177" i="3" s="1"/>
  <c r="M176" i="3"/>
  <c r="H176" i="3"/>
  <c r="I176" i="3" s="1"/>
  <c r="N176" i="3" s="1"/>
  <c r="H175" i="3"/>
  <c r="I175" i="3" s="1"/>
  <c r="H174" i="3"/>
  <c r="I174" i="3" s="1"/>
  <c r="H173" i="3"/>
  <c r="I173" i="3" s="1"/>
  <c r="H172" i="3"/>
  <c r="I172" i="3" s="1"/>
  <c r="P171" i="3"/>
  <c r="H171" i="3"/>
  <c r="I171" i="3" s="1"/>
  <c r="N171" i="3" s="1"/>
  <c r="H170" i="3"/>
  <c r="I170" i="3" s="1"/>
  <c r="H169" i="3"/>
  <c r="I169" i="3" s="1"/>
  <c r="M168" i="3"/>
  <c r="H168" i="3"/>
  <c r="I168" i="3" s="1"/>
  <c r="H167" i="3"/>
  <c r="I167" i="3" s="1"/>
  <c r="P166" i="3"/>
  <c r="H166" i="3"/>
  <c r="I166" i="3" s="1"/>
  <c r="N166" i="3" s="1"/>
  <c r="H165" i="3"/>
  <c r="I165" i="3" s="1"/>
  <c r="H164" i="3"/>
  <c r="I164" i="3" s="1"/>
  <c r="P163" i="3"/>
  <c r="M163" i="3"/>
  <c r="H163" i="3"/>
  <c r="I163" i="3" s="1"/>
  <c r="H162" i="3"/>
  <c r="I162" i="3" s="1"/>
  <c r="N162" i="3" s="1"/>
  <c r="H161" i="3"/>
  <c r="I161" i="3" s="1"/>
  <c r="N161" i="3" s="1"/>
  <c r="M160" i="3"/>
  <c r="H160" i="3"/>
  <c r="I160" i="3" s="1"/>
  <c r="N160" i="3" s="1"/>
  <c r="H159" i="3"/>
  <c r="I159" i="3" s="1"/>
  <c r="N159" i="3" s="1"/>
  <c r="H158" i="3"/>
  <c r="I158" i="3" s="1"/>
  <c r="H157" i="3"/>
  <c r="I157" i="3" s="1"/>
  <c r="H156" i="3"/>
  <c r="I156" i="3" s="1"/>
  <c r="N156" i="3" s="1"/>
  <c r="P155" i="3"/>
  <c r="H155" i="3"/>
  <c r="I155" i="3" s="1"/>
  <c r="H154" i="3"/>
  <c r="I154" i="3" s="1"/>
  <c r="H153" i="3"/>
  <c r="I153" i="3" s="1"/>
  <c r="P152" i="3"/>
  <c r="M152" i="3"/>
  <c r="H152" i="3"/>
  <c r="I152" i="3" s="1"/>
  <c r="N152" i="3" s="1"/>
  <c r="H151" i="3"/>
  <c r="I151" i="3" s="1"/>
  <c r="N151" i="3" s="1"/>
  <c r="M150" i="3"/>
  <c r="P150" i="3"/>
  <c r="H150" i="3"/>
  <c r="I150" i="3" s="1"/>
  <c r="N150" i="3" s="1"/>
  <c r="H149" i="3"/>
  <c r="I149" i="3" s="1"/>
  <c r="H148" i="3"/>
  <c r="I148" i="3" s="1"/>
  <c r="P147" i="3"/>
  <c r="H147" i="3"/>
  <c r="I147" i="3" s="1"/>
  <c r="H146" i="3"/>
  <c r="I146" i="3" s="1"/>
  <c r="H145" i="3"/>
  <c r="I145" i="3" s="1"/>
  <c r="N145" i="3" s="1"/>
  <c r="M144" i="3"/>
  <c r="H144" i="3"/>
  <c r="I144" i="3" s="1"/>
  <c r="H143" i="3"/>
  <c r="I143" i="3" s="1"/>
  <c r="H142" i="3"/>
  <c r="I142" i="3" s="1"/>
  <c r="H141" i="3"/>
  <c r="I141" i="3" s="1"/>
  <c r="H140" i="3"/>
  <c r="I140" i="3" s="1"/>
  <c r="M139" i="3"/>
  <c r="H139" i="3"/>
  <c r="I139" i="3" s="1"/>
  <c r="H138" i="3"/>
  <c r="I138" i="3" s="1"/>
  <c r="H137" i="3"/>
  <c r="I137" i="3" s="1"/>
  <c r="N137" i="3" s="1"/>
  <c r="M136" i="3"/>
  <c r="H136" i="3"/>
  <c r="I136" i="3" s="1"/>
  <c r="H135" i="3"/>
  <c r="I135" i="3" s="1"/>
  <c r="N135" i="3" s="1"/>
  <c r="P134" i="3"/>
  <c r="H134" i="3"/>
  <c r="I134" i="3" s="1"/>
  <c r="H133" i="3"/>
  <c r="I133" i="3" s="1"/>
  <c r="N133" i="3" s="1"/>
  <c r="H132" i="3"/>
  <c r="I132" i="3" s="1"/>
  <c r="P131" i="3"/>
  <c r="M131" i="3"/>
  <c r="H131" i="3"/>
  <c r="I131" i="3" s="1"/>
  <c r="H130" i="3"/>
  <c r="I130" i="3" s="1"/>
  <c r="N130" i="3" s="1"/>
  <c r="H129" i="3"/>
  <c r="I129" i="3" s="1"/>
  <c r="M128" i="3"/>
  <c r="H128" i="3"/>
  <c r="I128" i="3" s="1"/>
  <c r="N128" i="3" s="1"/>
  <c r="H127" i="3"/>
  <c r="I127" i="3" s="1"/>
  <c r="H126" i="3"/>
  <c r="I126" i="3" s="1"/>
  <c r="H125" i="3"/>
  <c r="I125" i="3" s="1"/>
  <c r="N125" i="3" s="1"/>
  <c r="H124" i="3"/>
  <c r="I124" i="3" s="1"/>
  <c r="P123" i="3"/>
  <c r="H123" i="3"/>
  <c r="I123" i="3" s="1"/>
  <c r="H122" i="3"/>
  <c r="I122" i="3" s="1"/>
  <c r="N122" i="3" s="1"/>
  <c r="H121" i="3"/>
  <c r="I121" i="3" s="1"/>
  <c r="P120" i="3"/>
  <c r="M120" i="3"/>
  <c r="H120" i="3"/>
  <c r="I120" i="3" s="1"/>
  <c r="N120" i="3" s="1"/>
  <c r="P119" i="3"/>
  <c r="H119" i="3"/>
  <c r="I119" i="3" s="1"/>
  <c r="P118" i="3"/>
  <c r="H118" i="3"/>
  <c r="I118" i="3" s="1"/>
  <c r="N118" i="3" s="1"/>
  <c r="M117" i="3"/>
  <c r="P117" i="3"/>
  <c r="H117" i="3"/>
  <c r="I117" i="3" s="1"/>
  <c r="N117" i="3" s="1"/>
  <c r="M116" i="3"/>
  <c r="H116" i="3"/>
  <c r="I116" i="3" s="1"/>
  <c r="P115" i="3"/>
  <c r="H115" i="3"/>
  <c r="I115" i="3" s="1"/>
  <c r="P114" i="3"/>
  <c r="H114" i="3"/>
  <c r="I114" i="3" s="1"/>
  <c r="N114" i="3" s="1"/>
  <c r="P113" i="3"/>
  <c r="M113" i="3"/>
  <c r="H113" i="3"/>
  <c r="I113" i="3" s="1"/>
  <c r="P112" i="3"/>
  <c r="H112" i="3"/>
  <c r="I112" i="3" s="1"/>
  <c r="P111" i="3"/>
  <c r="H111" i="3"/>
  <c r="I111" i="3" s="1"/>
  <c r="H110" i="3"/>
  <c r="I110" i="3" s="1"/>
  <c r="M109" i="3"/>
  <c r="H109" i="3"/>
  <c r="I109" i="3" s="1"/>
  <c r="N109" i="3" s="1"/>
  <c r="P108" i="3"/>
  <c r="H108" i="3"/>
  <c r="I108" i="3" s="1"/>
  <c r="P107" i="3"/>
  <c r="H107" i="3"/>
  <c r="I107" i="3" s="1"/>
  <c r="N107" i="3" s="1"/>
  <c r="P106" i="3"/>
  <c r="H106" i="3"/>
  <c r="I106" i="3" s="1"/>
  <c r="P105" i="3"/>
  <c r="H105" i="3"/>
  <c r="I105" i="3" s="1"/>
  <c r="P104" i="3"/>
  <c r="H104" i="3"/>
  <c r="I104" i="3" s="1"/>
  <c r="P103" i="3"/>
  <c r="H103" i="3"/>
  <c r="I103" i="3" s="1"/>
  <c r="N103" i="3" s="1"/>
  <c r="P102" i="3"/>
  <c r="M102" i="3"/>
  <c r="H102" i="3"/>
  <c r="I102" i="3" s="1"/>
  <c r="N102" i="3" s="1"/>
  <c r="P101" i="3"/>
  <c r="M101" i="3"/>
  <c r="H101" i="3"/>
  <c r="I101" i="3" s="1"/>
  <c r="N101" i="3" s="1"/>
  <c r="H100" i="3"/>
  <c r="I100" i="3" s="1"/>
  <c r="P99" i="3"/>
  <c r="H99" i="3"/>
  <c r="I99" i="3" s="1"/>
  <c r="P98" i="3"/>
  <c r="H98" i="3"/>
  <c r="I98" i="3" s="1"/>
  <c r="N98" i="3" s="1"/>
  <c r="P97" i="3"/>
  <c r="H97" i="3"/>
  <c r="I97" i="3" s="1"/>
  <c r="P96" i="3"/>
  <c r="H96" i="3"/>
  <c r="I96" i="3" s="1"/>
  <c r="P95" i="3"/>
  <c r="H95" i="3"/>
  <c r="I95" i="3" s="1"/>
  <c r="H94" i="3"/>
  <c r="I94" i="3" s="1"/>
  <c r="P93" i="3"/>
  <c r="H93" i="3"/>
  <c r="I93" i="3" s="1"/>
  <c r="N93" i="3" s="1"/>
  <c r="P92" i="3"/>
  <c r="H92" i="3"/>
  <c r="I92" i="3" s="1"/>
  <c r="P91" i="3"/>
  <c r="H91" i="3"/>
  <c r="I91" i="3" s="1"/>
  <c r="N91" i="3" s="1"/>
  <c r="P90" i="3"/>
  <c r="M90" i="3"/>
  <c r="H90" i="3"/>
  <c r="I90" i="3" s="1"/>
  <c r="N90" i="3" s="1"/>
  <c r="P89" i="3"/>
  <c r="H89" i="3"/>
  <c r="I89" i="3" s="1"/>
  <c r="N89" i="3" s="1"/>
  <c r="M88" i="3"/>
  <c r="P88" i="3"/>
  <c r="H88" i="3"/>
  <c r="I88" i="3" s="1"/>
  <c r="N88" i="3" s="1"/>
  <c r="P87" i="3"/>
  <c r="M87" i="3"/>
  <c r="H87" i="3"/>
  <c r="I87" i="3" s="1"/>
  <c r="N87" i="3" s="1"/>
  <c r="M86" i="3"/>
  <c r="P86" i="3"/>
  <c r="H86" i="3"/>
  <c r="I86" i="3" s="1"/>
  <c r="N86" i="3" s="1"/>
  <c r="P85" i="3"/>
  <c r="H85" i="3"/>
  <c r="I85" i="3" s="1"/>
  <c r="N85" i="3" s="1"/>
  <c r="H84" i="3"/>
  <c r="I84" i="3" s="1"/>
  <c r="P83" i="3"/>
  <c r="H83" i="3"/>
  <c r="I83" i="3" s="1"/>
  <c r="M82" i="3"/>
  <c r="P82" i="3"/>
  <c r="H82" i="3"/>
  <c r="I82" i="3" s="1"/>
  <c r="N82" i="3" s="1"/>
  <c r="P81" i="3"/>
  <c r="H81" i="3"/>
  <c r="I81" i="3" s="1"/>
  <c r="N81" i="3" s="1"/>
  <c r="M80" i="3"/>
  <c r="H80" i="3"/>
  <c r="I80" i="3" s="1"/>
  <c r="N80" i="3" s="1"/>
  <c r="P79" i="3"/>
  <c r="H79" i="3"/>
  <c r="I79" i="3" s="1"/>
  <c r="N79" i="3" s="1"/>
  <c r="H78" i="3"/>
  <c r="I78" i="3" s="1"/>
  <c r="P77" i="3"/>
  <c r="M77" i="3"/>
  <c r="H77" i="3"/>
  <c r="I77" i="3" s="1"/>
  <c r="N77" i="3" s="1"/>
  <c r="P76" i="3"/>
  <c r="H76" i="3"/>
  <c r="I76" i="3" s="1"/>
  <c r="P75" i="3"/>
  <c r="H75" i="3"/>
  <c r="I75" i="3" s="1"/>
  <c r="P74" i="3"/>
  <c r="M74" i="3"/>
  <c r="H74" i="3"/>
  <c r="I74" i="3" s="1"/>
  <c r="N74" i="3" s="1"/>
  <c r="P73" i="3"/>
  <c r="H73" i="3"/>
  <c r="I73" i="3" s="1"/>
  <c r="P72" i="3"/>
  <c r="H72" i="3"/>
  <c r="I72" i="3" s="1"/>
  <c r="N72" i="3" s="1"/>
  <c r="M71" i="3"/>
  <c r="P71" i="3"/>
  <c r="H71" i="3"/>
  <c r="I71" i="3" s="1"/>
  <c r="N71" i="3" s="1"/>
  <c r="P70" i="3"/>
  <c r="H70" i="3"/>
  <c r="I70" i="3" s="1"/>
  <c r="M69" i="3"/>
  <c r="P69" i="3"/>
  <c r="H69" i="3"/>
  <c r="I69" i="3" s="1"/>
  <c r="N69" i="3" s="1"/>
  <c r="H68" i="3"/>
  <c r="I68" i="3" s="1"/>
  <c r="P67" i="3"/>
  <c r="H67" i="3"/>
  <c r="I67" i="3" s="1"/>
  <c r="P66" i="3"/>
  <c r="H66" i="3"/>
  <c r="I66" i="3" s="1"/>
  <c r="M65" i="3"/>
  <c r="H65" i="3"/>
  <c r="I65" i="3" s="1"/>
  <c r="P64" i="3"/>
  <c r="H64" i="3"/>
  <c r="I64" i="3" s="1"/>
  <c r="N64" i="3" s="1"/>
  <c r="M63" i="3"/>
  <c r="P63" i="3"/>
  <c r="H63" i="3"/>
  <c r="I63" i="3" s="1"/>
  <c r="N63" i="3" s="1"/>
  <c r="H62" i="3"/>
  <c r="I62" i="3" s="1"/>
  <c r="P61" i="3"/>
  <c r="H61" i="3"/>
  <c r="I61" i="3" s="1"/>
  <c r="N61" i="3" s="1"/>
  <c r="P60" i="3"/>
  <c r="H60" i="3"/>
  <c r="I60" i="3" s="1"/>
  <c r="P59" i="3"/>
  <c r="H59" i="3"/>
  <c r="I59" i="3" s="1"/>
  <c r="N59" i="3" s="1"/>
  <c r="P58" i="3"/>
  <c r="H58" i="3"/>
  <c r="I58" i="3" s="1"/>
  <c r="P57" i="3"/>
  <c r="M57" i="3"/>
  <c r="H57" i="3"/>
  <c r="I57" i="3" s="1"/>
  <c r="N57" i="3" s="1"/>
  <c r="P56" i="3"/>
  <c r="H56" i="3"/>
  <c r="I56" i="3" s="1"/>
  <c r="N56" i="3" s="1"/>
  <c r="P55" i="3"/>
  <c r="H55" i="3"/>
  <c r="I55" i="3" s="1"/>
  <c r="P54" i="3"/>
  <c r="H54" i="3"/>
  <c r="I54" i="3" s="1"/>
  <c r="N54" i="3" s="1"/>
  <c r="P53" i="3"/>
  <c r="H53" i="3"/>
  <c r="I53" i="3" s="1"/>
  <c r="H52" i="3"/>
  <c r="I52" i="3" s="1"/>
  <c r="M51" i="3"/>
  <c r="P51" i="3"/>
  <c r="H51" i="3"/>
  <c r="I51" i="3" s="1"/>
  <c r="N51" i="3" s="1"/>
  <c r="P50" i="3"/>
  <c r="H50" i="3"/>
  <c r="I50" i="3" s="1"/>
  <c r="M49" i="3"/>
  <c r="H49" i="3"/>
  <c r="I49" i="3" s="1"/>
  <c r="P48" i="3"/>
  <c r="H48" i="3"/>
  <c r="I48" i="3" s="1"/>
  <c r="P47" i="3"/>
  <c r="H47" i="3"/>
  <c r="I47" i="3" s="1"/>
  <c r="N47" i="3" s="1"/>
  <c r="P46" i="3"/>
  <c r="H46" i="3"/>
  <c r="I46" i="3" s="1"/>
  <c r="N46" i="3" s="1"/>
  <c r="P45" i="3"/>
  <c r="M45" i="3"/>
  <c r="H45" i="3"/>
  <c r="I45" i="3" s="1"/>
  <c r="N45" i="3" s="1"/>
  <c r="P44" i="3"/>
  <c r="H44" i="3"/>
  <c r="I44" i="3" s="1"/>
  <c r="P43" i="3"/>
  <c r="H43" i="3"/>
  <c r="I43" i="3" s="1"/>
  <c r="P42" i="3"/>
  <c r="H42" i="3"/>
  <c r="I42" i="3" s="1"/>
  <c r="N42" i="3" s="1"/>
  <c r="M41" i="3"/>
  <c r="H41" i="3"/>
  <c r="I41" i="3" s="1"/>
  <c r="P40" i="3"/>
  <c r="H40" i="3"/>
  <c r="I40" i="3" s="1"/>
  <c r="P39" i="3"/>
  <c r="H39" i="3"/>
  <c r="I39" i="3" s="1"/>
  <c r="N39" i="3" s="1"/>
  <c r="P38" i="3"/>
  <c r="H38" i="3"/>
  <c r="I38" i="3" s="1"/>
  <c r="M37" i="3"/>
  <c r="H37" i="3"/>
  <c r="I37" i="3" s="1"/>
  <c r="N37" i="3" s="1"/>
  <c r="P36" i="3"/>
  <c r="H36" i="3"/>
  <c r="I36" i="3" s="1"/>
  <c r="P35" i="3"/>
  <c r="I35" i="3"/>
  <c r="H35" i="3"/>
  <c r="P34" i="3"/>
  <c r="H34" i="3"/>
  <c r="I34" i="3" s="1"/>
  <c r="M33" i="3"/>
  <c r="H33" i="3"/>
  <c r="I33" i="3" s="1"/>
  <c r="P32" i="3"/>
  <c r="H32" i="3"/>
  <c r="I32" i="3" s="1"/>
  <c r="N32" i="3" s="1"/>
  <c r="P31" i="3"/>
  <c r="H31" i="3"/>
  <c r="I31" i="3" s="1"/>
  <c r="N31" i="3" s="1"/>
  <c r="P30" i="3"/>
  <c r="H30" i="3"/>
  <c r="I30" i="3" s="1"/>
  <c r="P29" i="3"/>
  <c r="H29" i="3"/>
  <c r="I29" i="3" s="1"/>
  <c r="N29" i="3" s="1"/>
  <c r="M28" i="3"/>
  <c r="P28" i="3"/>
  <c r="H28" i="3"/>
  <c r="I28" i="3" s="1"/>
  <c r="M27" i="3"/>
  <c r="P27" i="3"/>
  <c r="H27" i="3"/>
  <c r="I27" i="3" s="1"/>
  <c r="N27" i="3" s="1"/>
  <c r="P26" i="3"/>
  <c r="H26" i="3"/>
  <c r="I26" i="3" s="1"/>
  <c r="P25" i="3"/>
  <c r="M25" i="3"/>
  <c r="H25" i="3"/>
  <c r="I25" i="3" s="1"/>
  <c r="N25" i="3" s="1"/>
  <c r="M24" i="3"/>
  <c r="P24" i="3"/>
  <c r="H24" i="3"/>
  <c r="I24" i="3" s="1"/>
  <c r="N24" i="3" s="1"/>
  <c r="M23" i="3"/>
  <c r="P23" i="3"/>
  <c r="H23" i="3"/>
  <c r="I23" i="3" s="1"/>
  <c r="P22" i="3"/>
  <c r="H22" i="3"/>
  <c r="I22" i="3" s="1"/>
  <c r="N22" i="3" s="1"/>
  <c r="P21" i="3"/>
  <c r="M21" i="3"/>
  <c r="H21" i="3"/>
  <c r="I21" i="3" s="1"/>
  <c r="N21" i="3" s="1"/>
  <c r="P20" i="3"/>
  <c r="H20" i="3"/>
  <c r="I20" i="3" s="1"/>
  <c r="P19" i="3"/>
  <c r="M19" i="3"/>
  <c r="H19" i="3"/>
  <c r="I19" i="3" s="1"/>
  <c r="N19" i="3" s="1"/>
  <c r="H18" i="3"/>
  <c r="I18" i="3" s="1"/>
  <c r="H17" i="3"/>
  <c r="I17" i="3" s="1"/>
  <c r="P16" i="3"/>
  <c r="H16" i="3"/>
  <c r="I16" i="3" s="1"/>
  <c r="N16" i="3" s="1"/>
  <c r="P15" i="3"/>
  <c r="H15" i="3"/>
  <c r="I15" i="3" s="1"/>
  <c r="N15" i="3" s="1"/>
  <c r="M14" i="3"/>
  <c r="P14" i="3"/>
  <c r="H14" i="3"/>
  <c r="I14" i="3" s="1"/>
  <c r="N14" i="3" s="1"/>
  <c r="P13" i="3"/>
  <c r="H13" i="3"/>
  <c r="I13" i="3" s="1"/>
  <c r="N13" i="3" s="1"/>
  <c r="P12" i="3"/>
  <c r="H12" i="3"/>
  <c r="I12" i="3" s="1"/>
  <c r="M11" i="3"/>
  <c r="H11" i="3"/>
  <c r="I11" i="3" s="1"/>
  <c r="P10" i="3"/>
  <c r="H10" i="3"/>
  <c r="I10" i="3" s="1"/>
  <c r="N10" i="3" s="1"/>
  <c r="M9" i="3"/>
  <c r="H9" i="3"/>
  <c r="I9" i="3" s="1"/>
  <c r="N9" i="3" s="1"/>
  <c r="P8" i="3"/>
  <c r="H8" i="3"/>
  <c r="I8" i="3" s="1"/>
  <c r="N8" i="3" s="1"/>
  <c r="P7" i="3"/>
  <c r="H7" i="3"/>
  <c r="I7" i="3" s="1"/>
  <c r="N7" i="3" s="1"/>
  <c r="M6" i="3"/>
  <c r="P6" i="3"/>
  <c r="H6" i="3"/>
  <c r="I6" i="3" s="1"/>
  <c r="P5" i="3"/>
  <c r="H5" i="3"/>
  <c r="I5" i="3" s="1"/>
  <c r="P4" i="3"/>
  <c r="H4" i="3"/>
  <c r="I4" i="3" s="1"/>
  <c r="N4" i="3" s="1"/>
  <c r="M3" i="3"/>
  <c r="H3" i="3"/>
  <c r="I3" i="3" s="1"/>
  <c r="P2" i="3"/>
  <c r="H2" i="3"/>
  <c r="I2" i="3" s="1"/>
  <c r="N2" i="3" s="1"/>
  <c r="AB298" i="1"/>
  <c r="Y298" i="1"/>
  <c r="V298" i="1"/>
  <c r="S298" i="1"/>
  <c r="P298" i="1"/>
  <c r="AB297" i="1"/>
  <c r="Y297" i="1"/>
  <c r="V297" i="1"/>
  <c r="S297" i="1"/>
  <c r="P297" i="1"/>
  <c r="AB296" i="1"/>
  <c r="Y296" i="1"/>
  <c r="V296" i="1"/>
  <c r="S296" i="1"/>
  <c r="P296" i="1"/>
  <c r="AB295" i="1"/>
  <c r="Y295" i="1"/>
  <c r="V295" i="1"/>
  <c r="S295" i="1"/>
  <c r="P295" i="1"/>
  <c r="AB294" i="1"/>
  <c r="Y294" i="1"/>
  <c r="V294" i="1"/>
  <c r="S294" i="1"/>
  <c r="P294" i="1"/>
  <c r="AB293" i="1"/>
  <c r="Y293" i="1"/>
  <c r="V293" i="1"/>
  <c r="S293" i="1"/>
  <c r="P293" i="1"/>
  <c r="AB292" i="1"/>
  <c r="Y292" i="1"/>
  <c r="V292" i="1"/>
  <c r="S292" i="1"/>
  <c r="P292" i="1"/>
  <c r="AB291" i="1"/>
  <c r="Y291" i="1"/>
  <c r="V291" i="1"/>
  <c r="S291" i="1"/>
  <c r="P291" i="1"/>
  <c r="AB290" i="1"/>
  <c r="Y290" i="1"/>
  <c r="V290" i="1"/>
  <c r="S290" i="1"/>
  <c r="P290" i="1"/>
  <c r="AB289" i="1"/>
  <c r="Y289" i="1"/>
  <c r="T289" i="1"/>
  <c r="V289" i="1" s="1"/>
  <c r="Q289" i="1"/>
  <c r="S289" i="1" s="1"/>
  <c r="N289" i="1"/>
  <c r="P289" i="1" s="1"/>
  <c r="L289" i="1"/>
  <c r="AB288" i="1"/>
  <c r="Y288" i="1"/>
  <c r="V288" i="1"/>
  <c r="Q288" i="1"/>
  <c r="S288" i="1" s="1"/>
  <c r="E288" i="1" s="1"/>
  <c r="F288" i="1" s="1"/>
  <c r="J288" i="1" s="1"/>
  <c r="P288" i="1"/>
  <c r="L288" i="1"/>
  <c r="AB287" i="1"/>
  <c r="Y287" i="1"/>
  <c r="V287" i="1"/>
  <c r="Q287" i="1"/>
  <c r="S287" i="1" s="1"/>
  <c r="N287" i="1"/>
  <c r="P287" i="1" s="1"/>
  <c r="E287" i="1" s="1"/>
  <c r="F287" i="1" s="1"/>
  <c r="J287" i="1" s="1"/>
  <c r="L287" i="1"/>
  <c r="AB286" i="1"/>
  <c r="Y286" i="1"/>
  <c r="V286" i="1"/>
  <c r="Q286" i="1"/>
  <c r="S286" i="1" s="1"/>
  <c r="P286" i="1"/>
  <c r="N286" i="1"/>
  <c r="L286" i="1"/>
  <c r="AB285" i="1"/>
  <c r="Y285" i="1"/>
  <c r="V285" i="1"/>
  <c r="Q285" i="1"/>
  <c r="S285" i="1" s="1"/>
  <c r="P285" i="1"/>
  <c r="E285" i="1" s="1"/>
  <c r="F285" i="1" s="1"/>
  <c r="J285" i="1" s="1"/>
  <c r="N285" i="1"/>
  <c r="L285" i="1"/>
  <c r="AB283" i="1"/>
  <c r="Y283" i="1"/>
  <c r="V283" i="1"/>
  <c r="S283" i="1"/>
  <c r="P283" i="1"/>
  <c r="E283" i="1" s="1"/>
  <c r="F283" i="1" s="1"/>
  <c r="J283" i="1" s="1"/>
  <c r="L283" i="1"/>
  <c r="AB282" i="1"/>
  <c r="Y282" i="1"/>
  <c r="V282" i="1"/>
  <c r="S282" i="1"/>
  <c r="P282" i="1"/>
  <c r="E282" i="1" s="1"/>
  <c r="F282" i="1" s="1"/>
  <c r="J282" i="1" s="1"/>
  <c r="L282" i="1"/>
  <c r="AB281" i="1"/>
  <c r="Y281" i="1"/>
  <c r="V281" i="1"/>
  <c r="S281" i="1"/>
  <c r="P281" i="1"/>
  <c r="E281" i="1" s="1"/>
  <c r="F281" i="1" s="1"/>
  <c r="J281" i="1" s="1"/>
  <c r="L281" i="1"/>
  <c r="AB280" i="1"/>
  <c r="Y280" i="1"/>
  <c r="V280" i="1"/>
  <c r="S280" i="1"/>
  <c r="P280" i="1"/>
  <c r="L280" i="1"/>
  <c r="AB279" i="1"/>
  <c r="Y279" i="1"/>
  <c r="V279" i="1"/>
  <c r="S279" i="1"/>
  <c r="E279" i="1" s="1"/>
  <c r="F279" i="1" s="1"/>
  <c r="J279" i="1" s="1"/>
  <c r="P279" i="1"/>
  <c r="L279" i="1"/>
  <c r="AB277" i="1"/>
  <c r="Y277" i="1"/>
  <c r="V277" i="1"/>
  <c r="S277" i="1"/>
  <c r="P277" i="1"/>
  <c r="AB276" i="1"/>
  <c r="Y276" i="1"/>
  <c r="V276" i="1"/>
  <c r="S276" i="1"/>
  <c r="P276" i="1"/>
  <c r="M276" i="1"/>
  <c r="L276" i="1"/>
  <c r="E276" i="1"/>
  <c r="F276" i="1" s="1"/>
  <c r="AB275" i="1"/>
  <c r="Y275" i="1"/>
  <c r="E275" i="1" s="1"/>
  <c r="F275" i="1" s="1"/>
  <c r="V275" i="1"/>
  <c r="S275" i="1"/>
  <c r="P275" i="1"/>
  <c r="M275" i="1"/>
  <c r="L275" i="1"/>
  <c r="AB274" i="1"/>
  <c r="Y274" i="1"/>
  <c r="V274" i="1"/>
  <c r="S274" i="1"/>
  <c r="P274" i="1"/>
  <c r="E274" i="1" s="1"/>
  <c r="F274" i="1" s="1"/>
  <c r="M274" i="1"/>
  <c r="L274" i="1"/>
  <c r="AB273" i="1"/>
  <c r="Y273" i="1"/>
  <c r="V273" i="1"/>
  <c r="S273" i="1"/>
  <c r="P273" i="1"/>
  <c r="E273" i="1" s="1"/>
  <c r="M273" i="1"/>
  <c r="L273" i="1"/>
  <c r="F273" i="1"/>
  <c r="AB272" i="1"/>
  <c r="Y272" i="1"/>
  <c r="V272" i="1"/>
  <c r="S272" i="1"/>
  <c r="P272" i="1"/>
  <c r="M272" i="1"/>
  <c r="L272" i="1"/>
  <c r="AB271" i="1"/>
  <c r="Y271" i="1"/>
  <c r="V271" i="1"/>
  <c r="S271" i="1"/>
  <c r="P271" i="1"/>
  <c r="M271" i="1"/>
  <c r="L271" i="1"/>
  <c r="AB270" i="1"/>
  <c r="Y270" i="1"/>
  <c r="V270" i="1"/>
  <c r="S270" i="1"/>
  <c r="P270" i="1"/>
  <c r="M270" i="1"/>
  <c r="L270" i="1"/>
  <c r="E270" i="1"/>
  <c r="F270" i="1" s="1"/>
  <c r="K270" i="1" s="1"/>
  <c r="AB269" i="1"/>
  <c r="E269" i="1" s="1"/>
  <c r="F269" i="1" s="1"/>
  <c r="K269" i="1" s="1"/>
  <c r="Y269" i="1"/>
  <c r="V269" i="1"/>
  <c r="S269" i="1"/>
  <c r="P269" i="1"/>
  <c r="M269" i="1"/>
  <c r="L269" i="1"/>
  <c r="AB268" i="1"/>
  <c r="Y268" i="1"/>
  <c r="V268" i="1"/>
  <c r="S268" i="1"/>
  <c r="P268" i="1"/>
  <c r="E268" i="1" s="1"/>
  <c r="F268" i="1" s="1"/>
  <c r="M268" i="1"/>
  <c r="L268" i="1"/>
  <c r="AB267" i="1"/>
  <c r="Y267" i="1"/>
  <c r="V267" i="1"/>
  <c r="E267" i="1" s="1"/>
  <c r="F267" i="1" s="1"/>
  <c r="S267" i="1"/>
  <c r="P267" i="1"/>
  <c r="M267" i="1"/>
  <c r="L267" i="1"/>
  <c r="AB266" i="1"/>
  <c r="Y266" i="1"/>
  <c r="V266" i="1"/>
  <c r="S266" i="1"/>
  <c r="P266" i="1"/>
  <c r="E266" i="1" s="1"/>
  <c r="F266" i="1" s="1"/>
  <c r="J266" i="1" s="1"/>
  <c r="M266" i="1"/>
  <c r="L266" i="1"/>
  <c r="K266" i="1"/>
  <c r="AB265" i="1"/>
  <c r="Y265" i="1"/>
  <c r="V265" i="1"/>
  <c r="S265" i="1"/>
  <c r="P265" i="1"/>
  <c r="M265" i="1"/>
  <c r="L265" i="1"/>
  <c r="AB264" i="1"/>
  <c r="Y264" i="1"/>
  <c r="V264" i="1"/>
  <c r="S264" i="1"/>
  <c r="P264" i="1"/>
  <c r="M264" i="1"/>
  <c r="L264" i="1"/>
  <c r="AB263" i="1"/>
  <c r="Y263" i="1"/>
  <c r="V263" i="1"/>
  <c r="S263" i="1"/>
  <c r="P263" i="1"/>
  <c r="E263" i="1" s="1"/>
  <c r="F263" i="1" s="1"/>
  <c r="M263" i="1"/>
  <c r="L263" i="1"/>
  <c r="AB262" i="1"/>
  <c r="Y262" i="1"/>
  <c r="V262" i="1"/>
  <c r="S262" i="1"/>
  <c r="P262" i="1"/>
  <c r="M262" i="1"/>
  <c r="L262" i="1"/>
  <c r="AB261" i="1"/>
  <c r="Y261" i="1"/>
  <c r="V261" i="1"/>
  <c r="S261" i="1"/>
  <c r="E261" i="1" s="1"/>
  <c r="F261" i="1" s="1"/>
  <c r="J261" i="1" s="1"/>
  <c r="P261" i="1"/>
  <c r="M261" i="1"/>
  <c r="L261" i="1"/>
  <c r="AB260" i="1"/>
  <c r="Y260" i="1"/>
  <c r="V260" i="1"/>
  <c r="S260" i="1"/>
  <c r="P260" i="1"/>
  <c r="M260" i="1"/>
  <c r="L260" i="1"/>
  <c r="E260" i="1"/>
  <c r="F260" i="1" s="1"/>
  <c r="AB259" i="1"/>
  <c r="Y259" i="1"/>
  <c r="E259" i="1" s="1"/>
  <c r="F259" i="1" s="1"/>
  <c r="V259" i="1"/>
  <c r="S259" i="1"/>
  <c r="P259" i="1"/>
  <c r="M259" i="1"/>
  <c r="L259" i="1"/>
  <c r="AB258" i="1"/>
  <c r="Y258" i="1"/>
  <c r="V258" i="1"/>
  <c r="S258" i="1"/>
  <c r="P258" i="1"/>
  <c r="E258" i="1" s="1"/>
  <c r="F258" i="1" s="1"/>
  <c r="M258" i="1"/>
  <c r="L258" i="1"/>
  <c r="AB257" i="1"/>
  <c r="Y257" i="1"/>
  <c r="V257" i="1"/>
  <c r="S257" i="1"/>
  <c r="P257" i="1"/>
  <c r="E257" i="1" s="1"/>
  <c r="F257" i="1" s="1"/>
  <c r="M257" i="1"/>
  <c r="L257" i="1"/>
  <c r="AB256" i="1"/>
  <c r="E256" i="1" s="1"/>
  <c r="Y256" i="1"/>
  <c r="V256" i="1"/>
  <c r="S256" i="1"/>
  <c r="P256" i="1"/>
  <c r="M256" i="1"/>
  <c r="L256" i="1"/>
  <c r="F256" i="1"/>
  <c r="AB255" i="1"/>
  <c r="Y255" i="1"/>
  <c r="V255" i="1"/>
  <c r="S255" i="1"/>
  <c r="P255" i="1"/>
  <c r="E255" i="1" s="1"/>
  <c r="F255" i="1" s="1"/>
  <c r="M255" i="1"/>
  <c r="L255" i="1"/>
  <c r="AB254" i="1"/>
  <c r="Y254" i="1"/>
  <c r="V254" i="1"/>
  <c r="S254" i="1"/>
  <c r="P254" i="1"/>
  <c r="M254" i="1"/>
  <c r="L254" i="1"/>
  <c r="E254" i="1"/>
  <c r="F254" i="1" s="1"/>
  <c r="K254" i="1" s="1"/>
  <c r="AB253" i="1"/>
  <c r="Y253" i="1"/>
  <c r="V253" i="1"/>
  <c r="S253" i="1"/>
  <c r="P253" i="1"/>
  <c r="M253" i="1"/>
  <c r="L253" i="1"/>
  <c r="J253" i="1"/>
  <c r="E253" i="1"/>
  <c r="F253" i="1" s="1"/>
  <c r="K253" i="1" s="1"/>
  <c r="AB252" i="1"/>
  <c r="Y252" i="1"/>
  <c r="V252" i="1"/>
  <c r="S252" i="1"/>
  <c r="P252" i="1"/>
  <c r="E252" i="1" s="1"/>
  <c r="F252" i="1" s="1"/>
  <c r="M252" i="1"/>
  <c r="L252" i="1"/>
  <c r="AB251" i="1"/>
  <c r="Y251" i="1"/>
  <c r="V251" i="1"/>
  <c r="S251" i="1"/>
  <c r="P251" i="1"/>
  <c r="E251" i="1" s="1"/>
  <c r="F251" i="1" s="1"/>
  <c r="M251" i="1"/>
  <c r="L251" i="1"/>
  <c r="AB250" i="1"/>
  <c r="Y250" i="1"/>
  <c r="V250" i="1"/>
  <c r="S250" i="1"/>
  <c r="P250" i="1"/>
  <c r="M250" i="1"/>
  <c r="L250" i="1"/>
  <c r="K250" i="1"/>
  <c r="F250" i="1"/>
  <c r="J250" i="1" s="1"/>
  <c r="E250" i="1"/>
  <c r="AB249" i="1"/>
  <c r="Y249" i="1"/>
  <c r="V249" i="1"/>
  <c r="S249" i="1"/>
  <c r="E249" i="1" s="1"/>
  <c r="F249" i="1" s="1"/>
  <c r="P249" i="1"/>
  <c r="M249" i="1"/>
  <c r="L249" i="1"/>
  <c r="AB248" i="1"/>
  <c r="Y248" i="1"/>
  <c r="V248" i="1"/>
  <c r="S248" i="1"/>
  <c r="P248" i="1"/>
  <c r="M248" i="1"/>
  <c r="L248" i="1"/>
  <c r="AB247" i="1"/>
  <c r="Y247" i="1"/>
  <c r="V247" i="1"/>
  <c r="S247" i="1"/>
  <c r="P247" i="1"/>
  <c r="E247" i="1" s="1"/>
  <c r="F247" i="1" s="1"/>
  <c r="M247" i="1"/>
  <c r="L247" i="1"/>
  <c r="AB246" i="1"/>
  <c r="Y246" i="1"/>
  <c r="V246" i="1"/>
  <c r="S246" i="1"/>
  <c r="P246" i="1"/>
  <c r="E246" i="1" s="1"/>
  <c r="F246" i="1" s="1"/>
  <c r="M246" i="1"/>
  <c r="L246" i="1"/>
  <c r="AB245" i="1"/>
  <c r="Y245" i="1"/>
  <c r="V245" i="1"/>
  <c r="S245" i="1"/>
  <c r="E245" i="1" s="1"/>
  <c r="F245" i="1" s="1"/>
  <c r="J245" i="1" s="1"/>
  <c r="P245" i="1"/>
  <c r="M245" i="1"/>
  <c r="L245" i="1"/>
  <c r="AB244" i="1"/>
  <c r="Y244" i="1"/>
  <c r="V244" i="1"/>
  <c r="S244" i="1"/>
  <c r="P244" i="1"/>
  <c r="M244" i="1"/>
  <c r="L244" i="1"/>
  <c r="E244" i="1"/>
  <c r="F244" i="1" s="1"/>
  <c r="AB243" i="1"/>
  <c r="Y243" i="1"/>
  <c r="E243" i="1" s="1"/>
  <c r="F243" i="1" s="1"/>
  <c r="V243" i="1"/>
  <c r="S243" i="1"/>
  <c r="P243" i="1"/>
  <c r="M243" i="1"/>
  <c r="L243" i="1"/>
  <c r="AB242" i="1"/>
  <c r="Y242" i="1"/>
  <c r="V242" i="1"/>
  <c r="S242" i="1"/>
  <c r="P242" i="1"/>
  <c r="E242" i="1" s="1"/>
  <c r="F242" i="1" s="1"/>
  <c r="M242" i="1"/>
  <c r="L242" i="1"/>
  <c r="AB241" i="1"/>
  <c r="Y241" i="1"/>
  <c r="V241" i="1"/>
  <c r="S241" i="1"/>
  <c r="P241" i="1"/>
  <c r="E241" i="1" s="1"/>
  <c r="M241" i="1"/>
  <c r="L241" i="1"/>
  <c r="F241" i="1"/>
  <c r="AB240" i="1"/>
  <c r="E240" i="1" s="1"/>
  <c r="F240" i="1" s="1"/>
  <c r="Y240" i="1"/>
  <c r="V240" i="1"/>
  <c r="S240" i="1"/>
  <c r="P240" i="1"/>
  <c r="M240" i="1"/>
  <c r="L240" i="1"/>
  <c r="AB239" i="1"/>
  <c r="Y239" i="1"/>
  <c r="V239" i="1"/>
  <c r="S239" i="1"/>
  <c r="E239" i="1" s="1"/>
  <c r="F239" i="1" s="1"/>
  <c r="P239" i="1"/>
  <c r="M239" i="1"/>
  <c r="L239" i="1"/>
  <c r="AB238" i="1"/>
  <c r="Y238" i="1"/>
  <c r="V238" i="1"/>
  <c r="S238" i="1"/>
  <c r="E238" i="1" s="1"/>
  <c r="F238" i="1" s="1"/>
  <c r="P238" i="1"/>
  <c r="M238" i="1"/>
  <c r="L238" i="1"/>
  <c r="AB237" i="1"/>
  <c r="Y237" i="1"/>
  <c r="V237" i="1"/>
  <c r="S237" i="1"/>
  <c r="P237" i="1"/>
  <c r="M237" i="1"/>
  <c r="L237" i="1"/>
  <c r="J237" i="1"/>
  <c r="E237" i="1"/>
  <c r="F237" i="1" s="1"/>
  <c r="K237" i="1" s="1"/>
  <c r="AB236" i="1"/>
  <c r="Y236" i="1"/>
  <c r="V236" i="1"/>
  <c r="S236" i="1"/>
  <c r="P236" i="1"/>
  <c r="E236" i="1" s="1"/>
  <c r="F236" i="1" s="1"/>
  <c r="M236" i="1"/>
  <c r="L236" i="1"/>
  <c r="AB235" i="1"/>
  <c r="Y235" i="1"/>
  <c r="V235" i="1"/>
  <c r="S235" i="1"/>
  <c r="P235" i="1"/>
  <c r="E235" i="1" s="1"/>
  <c r="F235" i="1" s="1"/>
  <c r="M235" i="1"/>
  <c r="L235" i="1"/>
  <c r="AB234" i="1"/>
  <c r="Y234" i="1"/>
  <c r="V234" i="1"/>
  <c r="S234" i="1"/>
  <c r="P234" i="1"/>
  <c r="M234" i="1"/>
  <c r="L234" i="1"/>
  <c r="K234" i="1"/>
  <c r="F234" i="1"/>
  <c r="J234" i="1" s="1"/>
  <c r="E234" i="1"/>
  <c r="AB233" i="1"/>
  <c r="Y233" i="1"/>
  <c r="V233" i="1"/>
  <c r="S233" i="1"/>
  <c r="P233" i="1"/>
  <c r="E233" i="1" s="1"/>
  <c r="F233" i="1" s="1"/>
  <c r="M233" i="1"/>
  <c r="L233" i="1"/>
  <c r="AB232" i="1"/>
  <c r="Y232" i="1"/>
  <c r="V232" i="1"/>
  <c r="S232" i="1"/>
  <c r="P232" i="1"/>
  <c r="E232" i="1" s="1"/>
  <c r="F232" i="1" s="1"/>
  <c r="K232" i="1" s="1"/>
  <c r="M232" i="1"/>
  <c r="L232" i="1"/>
  <c r="AB231" i="1"/>
  <c r="Y231" i="1"/>
  <c r="V231" i="1"/>
  <c r="S231" i="1"/>
  <c r="P231" i="1"/>
  <c r="E231" i="1" s="1"/>
  <c r="F231" i="1" s="1"/>
  <c r="M231" i="1"/>
  <c r="L231" i="1"/>
  <c r="AB230" i="1"/>
  <c r="Y230" i="1"/>
  <c r="V230" i="1"/>
  <c r="S230" i="1"/>
  <c r="P230" i="1"/>
  <c r="E230" i="1" s="1"/>
  <c r="F230" i="1" s="1"/>
  <c r="M230" i="1"/>
  <c r="L230" i="1"/>
  <c r="AB229" i="1"/>
  <c r="Y229" i="1"/>
  <c r="V229" i="1"/>
  <c r="S229" i="1"/>
  <c r="P229" i="1"/>
  <c r="E229" i="1" s="1"/>
  <c r="F229" i="1" s="1"/>
  <c r="J229" i="1" s="1"/>
  <c r="M229" i="1"/>
  <c r="L229" i="1"/>
  <c r="K229" i="1"/>
  <c r="AB228" i="1"/>
  <c r="Y228" i="1"/>
  <c r="V228" i="1"/>
  <c r="S228" i="1"/>
  <c r="P228" i="1"/>
  <c r="M228" i="1"/>
  <c r="L228" i="1"/>
  <c r="E228" i="1"/>
  <c r="F228" i="1" s="1"/>
  <c r="AB227" i="1"/>
  <c r="Y227" i="1"/>
  <c r="V227" i="1"/>
  <c r="S227" i="1"/>
  <c r="P227" i="1"/>
  <c r="M227" i="1"/>
  <c r="L227" i="1"/>
  <c r="E227" i="1"/>
  <c r="F227" i="1" s="1"/>
  <c r="AB226" i="1"/>
  <c r="Y226" i="1"/>
  <c r="V226" i="1"/>
  <c r="S226" i="1"/>
  <c r="P226" i="1"/>
  <c r="E226" i="1" s="1"/>
  <c r="F226" i="1" s="1"/>
  <c r="M226" i="1"/>
  <c r="L226" i="1"/>
  <c r="AB225" i="1"/>
  <c r="Y225" i="1"/>
  <c r="V225" i="1"/>
  <c r="S225" i="1"/>
  <c r="P225" i="1"/>
  <c r="E225" i="1" s="1"/>
  <c r="M225" i="1"/>
  <c r="L225" i="1"/>
  <c r="F225" i="1"/>
  <c r="AB224" i="1"/>
  <c r="E224" i="1" s="1"/>
  <c r="F224" i="1" s="1"/>
  <c r="Y224" i="1"/>
  <c r="V224" i="1"/>
  <c r="S224" i="1"/>
  <c r="P224" i="1"/>
  <c r="M224" i="1"/>
  <c r="L224" i="1"/>
  <c r="AB223" i="1"/>
  <c r="Y223" i="1"/>
  <c r="V223" i="1"/>
  <c r="S223" i="1"/>
  <c r="E223" i="1" s="1"/>
  <c r="F223" i="1" s="1"/>
  <c r="P223" i="1"/>
  <c r="M223" i="1"/>
  <c r="L223" i="1"/>
  <c r="AB222" i="1"/>
  <c r="Y222" i="1"/>
  <c r="V222" i="1"/>
  <c r="S222" i="1"/>
  <c r="P222" i="1"/>
  <c r="M222" i="1"/>
  <c r="L222" i="1"/>
  <c r="E222" i="1"/>
  <c r="F222" i="1" s="1"/>
  <c r="K222" i="1" s="1"/>
  <c r="AB221" i="1"/>
  <c r="Y221" i="1"/>
  <c r="V221" i="1"/>
  <c r="S221" i="1"/>
  <c r="P221" i="1"/>
  <c r="M221" i="1"/>
  <c r="L221" i="1"/>
  <c r="E221" i="1"/>
  <c r="F221" i="1" s="1"/>
  <c r="K221" i="1" s="1"/>
  <c r="AB220" i="1"/>
  <c r="Y220" i="1"/>
  <c r="V220" i="1"/>
  <c r="S220" i="1"/>
  <c r="P220" i="1"/>
  <c r="E220" i="1" s="1"/>
  <c r="F220" i="1" s="1"/>
  <c r="M220" i="1"/>
  <c r="L220" i="1"/>
  <c r="AB219" i="1"/>
  <c r="Y219" i="1"/>
  <c r="V219" i="1"/>
  <c r="S219" i="1"/>
  <c r="P219" i="1"/>
  <c r="E219" i="1" s="1"/>
  <c r="M219" i="1"/>
  <c r="L219" i="1"/>
  <c r="F219" i="1"/>
  <c r="J219" i="1" s="1"/>
  <c r="AB218" i="1"/>
  <c r="Y218" i="1"/>
  <c r="V218" i="1"/>
  <c r="S218" i="1"/>
  <c r="P218" i="1"/>
  <c r="M218" i="1"/>
  <c r="L218" i="1"/>
  <c r="E218" i="1"/>
  <c r="F218" i="1" s="1"/>
  <c r="J218" i="1" s="1"/>
  <c r="AB217" i="1"/>
  <c r="Y217" i="1"/>
  <c r="V217" i="1"/>
  <c r="S217" i="1"/>
  <c r="E217" i="1" s="1"/>
  <c r="F217" i="1" s="1"/>
  <c r="P217" i="1"/>
  <c r="M217" i="1"/>
  <c r="L217" i="1"/>
  <c r="AB216" i="1"/>
  <c r="Y216" i="1"/>
  <c r="V216" i="1"/>
  <c r="S216" i="1"/>
  <c r="P216" i="1"/>
  <c r="E216" i="1" s="1"/>
  <c r="F216" i="1" s="1"/>
  <c r="K216" i="1" s="1"/>
  <c r="M216" i="1"/>
  <c r="L216" i="1"/>
  <c r="AB215" i="1"/>
  <c r="Y215" i="1"/>
  <c r="V215" i="1"/>
  <c r="S215" i="1"/>
  <c r="P215" i="1"/>
  <c r="E215" i="1" s="1"/>
  <c r="F215" i="1" s="1"/>
  <c r="M215" i="1"/>
  <c r="L215" i="1"/>
  <c r="AB214" i="1"/>
  <c r="Y214" i="1"/>
  <c r="V214" i="1"/>
  <c r="S214" i="1"/>
  <c r="P214" i="1"/>
  <c r="M214" i="1"/>
  <c r="L214" i="1"/>
  <c r="AB213" i="1"/>
  <c r="Y213" i="1"/>
  <c r="V213" i="1"/>
  <c r="S213" i="1"/>
  <c r="P213" i="1"/>
  <c r="E213" i="1" s="1"/>
  <c r="F213" i="1" s="1"/>
  <c r="J213" i="1" s="1"/>
  <c r="M213" i="1"/>
  <c r="L213" i="1"/>
  <c r="K213" i="1"/>
  <c r="AB212" i="1"/>
  <c r="Y212" i="1"/>
  <c r="V212" i="1"/>
  <c r="S212" i="1"/>
  <c r="P212" i="1"/>
  <c r="M212" i="1"/>
  <c r="L212" i="1"/>
  <c r="E212" i="1"/>
  <c r="F212" i="1" s="1"/>
  <c r="AB211" i="1"/>
  <c r="Y211" i="1"/>
  <c r="V211" i="1"/>
  <c r="S211" i="1"/>
  <c r="P211" i="1"/>
  <c r="M211" i="1"/>
  <c r="L211" i="1"/>
  <c r="E211" i="1"/>
  <c r="F211" i="1" s="1"/>
  <c r="AB210" i="1"/>
  <c r="Y210" i="1"/>
  <c r="V210" i="1"/>
  <c r="S210" i="1"/>
  <c r="P210" i="1"/>
  <c r="E210" i="1" s="1"/>
  <c r="F210" i="1" s="1"/>
  <c r="M210" i="1"/>
  <c r="L210" i="1"/>
  <c r="AB209" i="1"/>
  <c r="Y209" i="1"/>
  <c r="V209" i="1"/>
  <c r="S209" i="1"/>
  <c r="P209" i="1"/>
  <c r="E209" i="1" s="1"/>
  <c r="M209" i="1"/>
  <c r="L209" i="1"/>
  <c r="F209" i="1"/>
  <c r="AB208" i="1"/>
  <c r="Y208" i="1"/>
  <c r="V208" i="1"/>
  <c r="S208" i="1"/>
  <c r="P208" i="1"/>
  <c r="M208" i="1"/>
  <c r="L208" i="1"/>
  <c r="AB207" i="1"/>
  <c r="Y207" i="1"/>
  <c r="V207" i="1"/>
  <c r="S207" i="1"/>
  <c r="E207" i="1" s="1"/>
  <c r="F207" i="1" s="1"/>
  <c r="P207" i="1"/>
  <c r="M207" i="1"/>
  <c r="L207" i="1"/>
  <c r="AB206" i="1"/>
  <c r="Y206" i="1"/>
  <c r="V206" i="1"/>
  <c r="S206" i="1"/>
  <c r="E206" i="1" s="1"/>
  <c r="F206" i="1" s="1"/>
  <c r="P206" i="1"/>
  <c r="M206" i="1"/>
  <c r="L206" i="1"/>
  <c r="AB205" i="1"/>
  <c r="Y205" i="1"/>
  <c r="V205" i="1"/>
  <c r="S205" i="1"/>
  <c r="P205" i="1"/>
  <c r="M205" i="1"/>
  <c r="L205" i="1"/>
  <c r="E205" i="1"/>
  <c r="F205" i="1" s="1"/>
  <c r="K205" i="1" s="1"/>
  <c r="AB204" i="1"/>
  <c r="Y204" i="1"/>
  <c r="V204" i="1"/>
  <c r="S204" i="1"/>
  <c r="P204" i="1"/>
  <c r="E204" i="1" s="1"/>
  <c r="F204" i="1" s="1"/>
  <c r="M204" i="1"/>
  <c r="L204" i="1"/>
  <c r="AB203" i="1"/>
  <c r="Y203" i="1"/>
  <c r="V203" i="1"/>
  <c r="S203" i="1"/>
  <c r="P203" i="1"/>
  <c r="E203" i="1" s="1"/>
  <c r="M203" i="1"/>
  <c r="L203" i="1"/>
  <c r="F203" i="1"/>
  <c r="J203" i="1" s="1"/>
  <c r="AB202" i="1"/>
  <c r="Y202" i="1"/>
  <c r="V202" i="1"/>
  <c r="S202" i="1"/>
  <c r="P202" i="1"/>
  <c r="E202" i="1" s="1"/>
  <c r="F202" i="1" s="1"/>
  <c r="J202" i="1" s="1"/>
  <c r="M202" i="1"/>
  <c r="L202" i="1"/>
  <c r="AB201" i="1"/>
  <c r="Y201" i="1"/>
  <c r="V201" i="1"/>
  <c r="S201" i="1"/>
  <c r="P201" i="1"/>
  <c r="M201" i="1"/>
  <c r="L201" i="1"/>
  <c r="AB200" i="1"/>
  <c r="Y200" i="1"/>
  <c r="V200" i="1"/>
  <c r="S200" i="1"/>
  <c r="P200" i="1"/>
  <c r="M200" i="1"/>
  <c r="L200" i="1"/>
  <c r="AB199" i="1"/>
  <c r="Y199" i="1"/>
  <c r="V199" i="1"/>
  <c r="S199" i="1"/>
  <c r="P199" i="1"/>
  <c r="E199" i="1" s="1"/>
  <c r="F199" i="1" s="1"/>
  <c r="M199" i="1"/>
  <c r="L199" i="1"/>
  <c r="AB198" i="1"/>
  <c r="Y198" i="1"/>
  <c r="V198" i="1"/>
  <c r="S198" i="1"/>
  <c r="P198" i="1"/>
  <c r="M198" i="1"/>
  <c r="L198" i="1"/>
  <c r="AB197" i="1"/>
  <c r="Y197" i="1"/>
  <c r="V197" i="1"/>
  <c r="S197" i="1"/>
  <c r="P197" i="1"/>
  <c r="E197" i="1" s="1"/>
  <c r="F197" i="1" s="1"/>
  <c r="J197" i="1" s="1"/>
  <c r="M197" i="1"/>
  <c r="L197" i="1"/>
  <c r="K197" i="1"/>
  <c r="AB196" i="1"/>
  <c r="Y196" i="1"/>
  <c r="V196" i="1"/>
  <c r="S196" i="1"/>
  <c r="P196" i="1"/>
  <c r="M196" i="1"/>
  <c r="L196" i="1"/>
  <c r="E196" i="1"/>
  <c r="F196" i="1" s="1"/>
  <c r="AB195" i="1"/>
  <c r="Y195" i="1"/>
  <c r="V195" i="1"/>
  <c r="S195" i="1"/>
  <c r="P195" i="1"/>
  <c r="M195" i="1"/>
  <c r="L195" i="1"/>
  <c r="E195" i="1"/>
  <c r="F195" i="1" s="1"/>
  <c r="AB194" i="1"/>
  <c r="Y194" i="1"/>
  <c r="V194" i="1"/>
  <c r="S194" i="1"/>
  <c r="P194" i="1"/>
  <c r="E194" i="1" s="1"/>
  <c r="F194" i="1" s="1"/>
  <c r="M194" i="1"/>
  <c r="L194" i="1"/>
  <c r="AB193" i="1"/>
  <c r="Y193" i="1"/>
  <c r="V193" i="1"/>
  <c r="S193" i="1"/>
  <c r="P193" i="1"/>
  <c r="E193" i="1" s="1"/>
  <c r="F193" i="1" s="1"/>
  <c r="M193" i="1"/>
  <c r="L193" i="1"/>
  <c r="AB192" i="1"/>
  <c r="Y192" i="1"/>
  <c r="V192" i="1"/>
  <c r="S192" i="1"/>
  <c r="P192" i="1"/>
  <c r="E192" i="1" s="1"/>
  <c r="F192" i="1" s="1"/>
  <c r="M192" i="1"/>
  <c r="L192" i="1"/>
  <c r="AB191" i="1"/>
  <c r="Y191" i="1"/>
  <c r="V191" i="1"/>
  <c r="S191" i="1"/>
  <c r="E191" i="1" s="1"/>
  <c r="F191" i="1" s="1"/>
  <c r="P191" i="1"/>
  <c r="M191" i="1"/>
  <c r="L191" i="1"/>
  <c r="AB190" i="1"/>
  <c r="Y190" i="1"/>
  <c r="V190" i="1"/>
  <c r="S190" i="1"/>
  <c r="E190" i="1" s="1"/>
  <c r="F190" i="1" s="1"/>
  <c r="P190" i="1"/>
  <c r="M190" i="1"/>
  <c r="L190" i="1"/>
  <c r="AB189" i="1"/>
  <c r="Y189" i="1"/>
  <c r="V189" i="1"/>
  <c r="S189" i="1"/>
  <c r="P189" i="1"/>
  <c r="M189" i="1"/>
  <c r="L189" i="1"/>
  <c r="E189" i="1"/>
  <c r="F189" i="1" s="1"/>
  <c r="K189" i="1" s="1"/>
  <c r="AB188" i="1"/>
  <c r="Y188" i="1"/>
  <c r="V188" i="1"/>
  <c r="S188" i="1"/>
  <c r="P188" i="1"/>
  <c r="E188" i="1" s="1"/>
  <c r="F188" i="1" s="1"/>
  <c r="M188" i="1"/>
  <c r="L188" i="1"/>
  <c r="AB187" i="1"/>
  <c r="Y187" i="1"/>
  <c r="V187" i="1"/>
  <c r="S187" i="1"/>
  <c r="P187" i="1"/>
  <c r="E187" i="1" s="1"/>
  <c r="M187" i="1"/>
  <c r="L187" i="1"/>
  <c r="F187" i="1"/>
  <c r="J187" i="1" s="1"/>
  <c r="AB186" i="1"/>
  <c r="Y186" i="1"/>
  <c r="V186" i="1"/>
  <c r="E186" i="1" s="1"/>
  <c r="F186" i="1" s="1"/>
  <c r="J186" i="1" s="1"/>
  <c r="S186" i="1"/>
  <c r="P186" i="1"/>
  <c r="M186" i="1"/>
  <c r="L186" i="1"/>
  <c r="AB185" i="1"/>
  <c r="Y185" i="1"/>
  <c r="V185" i="1"/>
  <c r="S185" i="1"/>
  <c r="E185" i="1" s="1"/>
  <c r="F185" i="1" s="1"/>
  <c r="P185" i="1"/>
  <c r="M185" i="1"/>
  <c r="L185" i="1"/>
  <c r="AB184" i="1"/>
  <c r="Y184" i="1"/>
  <c r="V184" i="1"/>
  <c r="S184" i="1"/>
  <c r="P184" i="1"/>
  <c r="E184" i="1" s="1"/>
  <c r="F184" i="1" s="1"/>
  <c r="K184" i="1" s="1"/>
  <c r="M184" i="1"/>
  <c r="L184" i="1"/>
  <c r="AB183" i="1"/>
  <c r="Y183" i="1"/>
  <c r="V183" i="1"/>
  <c r="S183" i="1"/>
  <c r="P183" i="1"/>
  <c r="E183" i="1" s="1"/>
  <c r="F183" i="1" s="1"/>
  <c r="M183" i="1"/>
  <c r="L183" i="1"/>
  <c r="AB182" i="1"/>
  <c r="Y182" i="1"/>
  <c r="V182" i="1"/>
  <c r="S182" i="1"/>
  <c r="E182" i="1" s="1"/>
  <c r="F182" i="1" s="1"/>
  <c r="P182" i="1"/>
  <c r="M182" i="1"/>
  <c r="L182" i="1"/>
  <c r="AB181" i="1"/>
  <c r="Y181" i="1"/>
  <c r="V181" i="1"/>
  <c r="S181" i="1"/>
  <c r="P181" i="1"/>
  <c r="E181" i="1" s="1"/>
  <c r="F181" i="1" s="1"/>
  <c r="J181" i="1" s="1"/>
  <c r="M181" i="1"/>
  <c r="L181" i="1"/>
  <c r="AB180" i="1"/>
  <c r="Y180" i="1"/>
  <c r="V180" i="1"/>
  <c r="S180" i="1"/>
  <c r="P180" i="1"/>
  <c r="M180" i="1"/>
  <c r="L180" i="1"/>
  <c r="E180" i="1"/>
  <c r="F180" i="1" s="1"/>
  <c r="AB179" i="1"/>
  <c r="Y179" i="1"/>
  <c r="V179" i="1"/>
  <c r="S179" i="1"/>
  <c r="P179" i="1"/>
  <c r="M179" i="1"/>
  <c r="L179" i="1"/>
  <c r="E179" i="1"/>
  <c r="F179" i="1" s="1"/>
  <c r="AB178" i="1"/>
  <c r="Y178" i="1"/>
  <c r="V178" i="1"/>
  <c r="S178" i="1"/>
  <c r="P178" i="1"/>
  <c r="E178" i="1" s="1"/>
  <c r="F178" i="1" s="1"/>
  <c r="M178" i="1"/>
  <c r="L178" i="1"/>
  <c r="AB177" i="1"/>
  <c r="Y177" i="1"/>
  <c r="V177" i="1"/>
  <c r="S177" i="1"/>
  <c r="P177" i="1"/>
  <c r="E177" i="1" s="1"/>
  <c r="M177" i="1"/>
  <c r="L177" i="1"/>
  <c r="F177" i="1"/>
  <c r="AB176" i="1"/>
  <c r="Y176" i="1"/>
  <c r="V176" i="1"/>
  <c r="S176" i="1"/>
  <c r="P176" i="1"/>
  <c r="M176" i="1"/>
  <c r="L176" i="1"/>
  <c r="AB175" i="1"/>
  <c r="Y175" i="1"/>
  <c r="V175" i="1"/>
  <c r="S175" i="1"/>
  <c r="E175" i="1" s="1"/>
  <c r="F175" i="1" s="1"/>
  <c r="P175" i="1"/>
  <c r="M175" i="1"/>
  <c r="L175" i="1"/>
  <c r="AB174" i="1"/>
  <c r="Y174" i="1"/>
  <c r="V174" i="1"/>
  <c r="S174" i="1"/>
  <c r="P174" i="1"/>
  <c r="M174" i="1"/>
  <c r="L174" i="1"/>
  <c r="E174" i="1"/>
  <c r="F174" i="1" s="1"/>
  <c r="K174" i="1" s="1"/>
  <c r="AB173" i="1"/>
  <c r="Y173" i="1"/>
  <c r="V173" i="1"/>
  <c r="S173" i="1"/>
  <c r="P173" i="1"/>
  <c r="M173" i="1"/>
  <c r="L173" i="1"/>
  <c r="J173" i="1"/>
  <c r="E173" i="1"/>
  <c r="F173" i="1" s="1"/>
  <c r="K173" i="1" s="1"/>
  <c r="AB172" i="1"/>
  <c r="Y172" i="1"/>
  <c r="V172" i="1"/>
  <c r="S172" i="1"/>
  <c r="P172" i="1"/>
  <c r="E172" i="1" s="1"/>
  <c r="F172" i="1" s="1"/>
  <c r="M172" i="1"/>
  <c r="L172" i="1"/>
  <c r="AB171" i="1"/>
  <c r="Y171" i="1"/>
  <c r="V171" i="1"/>
  <c r="S171" i="1"/>
  <c r="P171" i="1"/>
  <c r="E171" i="1" s="1"/>
  <c r="M171" i="1"/>
  <c r="L171" i="1"/>
  <c r="K171" i="1"/>
  <c r="F171" i="1"/>
  <c r="J171" i="1" s="1"/>
  <c r="AB170" i="1"/>
  <c r="Y170" i="1"/>
  <c r="V170" i="1"/>
  <c r="S170" i="1"/>
  <c r="P170" i="1"/>
  <c r="M170" i="1"/>
  <c r="L170" i="1"/>
  <c r="K170" i="1"/>
  <c r="F170" i="1"/>
  <c r="J170" i="1" s="1"/>
  <c r="E170" i="1"/>
  <c r="AB169" i="1"/>
  <c r="Y169" i="1"/>
  <c r="V169" i="1"/>
  <c r="S169" i="1"/>
  <c r="E169" i="1" s="1"/>
  <c r="F169" i="1" s="1"/>
  <c r="P169" i="1"/>
  <c r="M169" i="1"/>
  <c r="L169" i="1"/>
  <c r="AB168" i="1"/>
  <c r="Y168" i="1"/>
  <c r="V168" i="1"/>
  <c r="S168" i="1"/>
  <c r="P168" i="1"/>
  <c r="E168" i="1" s="1"/>
  <c r="F168" i="1" s="1"/>
  <c r="K168" i="1" s="1"/>
  <c r="M168" i="1"/>
  <c r="L168" i="1"/>
  <c r="AB167" i="1"/>
  <c r="Y167" i="1"/>
  <c r="V167" i="1"/>
  <c r="S167" i="1"/>
  <c r="P167" i="1"/>
  <c r="E167" i="1" s="1"/>
  <c r="F167" i="1" s="1"/>
  <c r="M167" i="1"/>
  <c r="L167" i="1"/>
  <c r="AB166" i="1"/>
  <c r="Y166" i="1"/>
  <c r="V166" i="1"/>
  <c r="S166" i="1"/>
  <c r="P166" i="1"/>
  <c r="E166" i="1" s="1"/>
  <c r="F166" i="1" s="1"/>
  <c r="M166" i="1"/>
  <c r="L166" i="1"/>
  <c r="AB165" i="1"/>
  <c r="Y165" i="1"/>
  <c r="V165" i="1"/>
  <c r="S165" i="1"/>
  <c r="P165" i="1"/>
  <c r="M165" i="1"/>
  <c r="L165" i="1"/>
  <c r="AB164" i="1"/>
  <c r="Y164" i="1"/>
  <c r="V164" i="1"/>
  <c r="S164" i="1"/>
  <c r="P164" i="1"/>
  <c r="M164" i="1"/>
  <c r="L164" i="1"/>
  <c r="K164" i="1"/>
  <c r="J164" i="1"/>
  <c r="E164" i="1"/>
  <c r="F164" i="1" s="1"/>
  <c r="AB163" i="1"/>
  <c r="Y163" i="1"/>
  <c r="E163" i="1" s="1"/>
  <c r="F163" i="1" s="1"/>
  <c r="V163" i="1"/>
  <c r="S163" i="1"/>
  <c r="P163" i="1"/>
  <c r="M163" i="1"/>
  <c r="L163" i="1"/>
  <c r="AB162" i="1"/>
  <c r="Y162" i="1"/>
  <c r="V162" i="1"/>
  <c r="S162" i="1"/>
  <c r="P162" i="1"/>
  <c r="E162" i="1" s="1"/>
  <c r="F162" i="1" s="1"/>
  <c r="M162" i="1"/>
  <c r="L162" i="1"/>
  <c r="AB161" i="1"/>
  <c r="Y161" i="1"/>
  <c r="V161" i="1"/>
  <c r="S161" i="1"/>
  <c r="P161" i="1"/>
  <c r="E161" i="1" s="1"/>
  <c r="F161" i="1" s="1"/>
  <c r="M161" i="1"/>
  <c r="L161" i="1"/>
  <c r="AB160" i="1"/>
  <c r="Y160" i="1"/>
  <c r="V160" i="1"/>
  <c r="S160" i="1"/>
  <c r="P160" i="1"/>
  <c r="E160" i="1" s="1"/>
  <c r="F160" i="1" s="1"/>
  <c r="M160" i="1"/>
  <c r="L160" i="1"/>
  <c r="AB159" i="1"/>
  <c r="Y159" i="1"/>
  <c r="V159" i="1"/>
  <c r="S159" i="1"/>
  <c r="P159" i="1"/>
  <c r="M159" i="1"/>
  <c r="L159" i="1"/>
  <c r="AB158" i="1"/>
  <c r="Y158" i="1"/>
  <c r="V158" i="1"/>
  <c r="S158" i="1"/>
  <c r="E158" i="1" s="1"/>
  <c r="F158" i="1" s="1"/>
  <c r="P158" i="1"/>
  <c r="M158" i="1"/>
  <c r="L158" i="1"/>
  <c r="AB157" i="1"/>
  <c r="Y157" i="1"/>
  <c r="V157" i="1"/>
  <c r="S157" i="1"/>
  <c r="P157" i="1"/>
  <c r="M157" i="1"/>
  <c r="L157" i="1"/>
  <c r="E157" i="1"/>
  <c r="F157" i="1" s="1"/>
  <c r="K157" i="1" s="1"/>
  <c r="AB156" i="1"/>
  <c r="Y156" i="1"/>
  <c r="V156" i="1"/>
  <c r="S156" i="1"/>
  <c r="P156" i="1"/>
  <c r="E156" i="1" s="1"/>
  <c r="F156" i="1" s="1"/>
  <c r="M156" i="1"/>
  <c r="L156" i="1"/>
  <c r="AB155" i="1"/>
  <c r="Y155" i="1"/>
  <c r="V155" i="1"/>
  <c r="S155" i="1"/>
  <c r="P155" i="1"/>
  <c r="E155" i="1" s="1"/>
  <c r="F155" i="1" s="1"/>
  <c r="M155" i="1"/>
  <c r="L155" i="1"/>
  <c r="AB154" i="1"/>
  <c r="Y154" i="1"/>
  <c r="V154" i="1"/>
  <c r="S154" i="1"/>
  <c r="P154" i="1"/>
  <c r="M154" i="1"/>
  <c r="L154" i="1"/>
  <c r="F154" i="1"/>
  <c r="J154" i="1" s="1"/>
  <c r="E154" i="1"/>
  <c r="AB153" i="1"/>
  <c r="Y153" i="1"/>
  <c r="V153" i="1"/>
  <c r="S153" i="1"/>
  <c r="P153" i="1"/>
  <c r="M153" i="1"/>
  <c r="L153" i="1"/>
  <c r="AB152" i="1"/>
  <c r="Y152" i="1"/>
  <c r="V152" i="1"/>
  <c r="S152" i="1"/>
  <c r="P152" i="1"/>
  <c r="E152" i="1" s="1"/>
  <c r="F152" i="1" s="1"/>
  <c r="K152" i="1" s="1"/>
  <c r="M152" i="1"/>
  <c r="L152" i="1"/>
  <c r="AB151" i="1"/>
  <c r="Y151" i="1"/>
  <c r="V151" i="1"/>
  <c r="S151" i="1"/>
  <c r="P151" i="1"/>
  <c r="E151" i="1" s="1"/>
  <c r="M151" i="1"/>
  <c r="L151" i="1"/>
  <c r="J151" i="1"/>
  <c r="F151" i="1"/>
  <c r="K151" i="1" s="1"/>
  <c r="AB150" i="1"/>
  <c r="Y150" i="1"/>
  <c r="V150" i="1"/>
  <c r="S150" i="1"/>
  <c r="P150" i="1"/>
  <c r="M150" i="1"/>
  <c r="L150" i="1"/>
  <c r="AB149" i="1"/>
  <c r="Y149" i="1"/>
  <c r="V149" i="1"/>
  <c r="S149" i="1"/>
  <c r="P149" i="1"/>
  <c r="M149" i="1"/>
  <c r="L149" i="1"/>
  <c r="AB148" i="1"/>
  <c r="Y148" i="1"/>
  <c r="V148" i="1"/>
  <c r="S148" i="1"/>
  <c r="P148" i="1"/>
  <c r="M148" i="1"/>
  <c r="L148" i="1"/>
  <c r="K148" i="1"/>
  <c r="E148" i="1"/>
  <c r="F148" i="1" s="1"/>
  <c r="J148" i="1" s="1"/>
  <c r="AB147" i="1"/>
  <c r="Y147" i="1"/>
  <c r="V147" i="1"/>
  <c r="S147" i="1"/>
  <c r="P147" i="1"/>
  <c r="M147" i="1"/>
  <c r="L147" i="1"/>
  <c r="E147" i="1"/>
  <c r="F147" i="1" s="1"/>
  <c r="AB146" i="1"/>
  <c r="Y146" i="1"/>
  <c r="V146" i="1"/>
  <c r="S146" i="1"/>
  <c r="P146" i="1"/>
  <c r="M146" i="1"/>
  <c r="L146" i="1"/>
  <c r="AB145" i="1"/>
  <c r="Y145" i="1"/>
  <c r="V145" i="1"/>
  <c r="S145" i="1"/>
  <c r="P145" i="1"/>
  <c r="E145" i="1" s="1"/>
  <c r="M145" i="1"/>
  <c r="L145" i="1"/>
  <c r="F145" i="1"/>
  <c r="J145" i="1" s="1"/>
  <c r="AB144" i="1"/>
  <c r="Y144" i="1"/>
  <c r="V144" i="1"/>
  <c r="S144" i="1"/>
  <c r="P144" i="1"/>
  <c r="M144" i="1"/>
  <c r="L144" i="1"/>
  <c r="AB143" i="1"/>
  <c r="Y143" i="1"/>
  <c r="V143" i="1"/>
  <c r="S143" i="1"/>
  <c r="P143" i="1"/>
  <c r="M143" i="1"/>
  <c r="L143" i="1"/>
  <c r="AB142" i="1"/>
  <c r="Y142" i="1"/>
  <c r="V142" i="1"/>
  <c r="S142" i="1"/>
  <c r="E142" i="1" s="1"/>
  <c r="F142" i="1" s="1"/>
  <c r="P142" i="1"/>
  <c r="M142" i="1"/>
  <c r="L142" i="1"/>
  <c r="AB141" i="1"/>
  <c r="Y141" i="1"/>
  <c r="V141" i="1"/>
  <c r="S141" i="1"/>
  <c r="P141" i="1"/>
  <c r="M141" i="1"/>
  <c r="L141" i="1"/>
  <c r="E141" i="1"/>
  <c r="F141" i="1" s="1"/>
  <c r="K141" i="1" s="1"/>
  <c r="AB140" i="1"/>
  <c r="Y140" i="1"/>
  <c r="V140" i="1"/>
  <c r="S140" i="1"/>
  <c r="P140" i="1"/>
  <c r="M140" i="1"/>
  <c r="L140" i="1"/>
  <c r="AB139" i="1"/>
  <c r="Y139" i="1"/>
  <c r="V139" i="1"/>
  <c r="S139" i="1"/>
  <c r="P139" i="1"/>
  <c r="M139" i="1"/>
  <c r="L139" i="1"/>
  <c r="AB138" i="1"/>
  <c r="Y138" i="1"/>
  <c r="V138" i="1"/>
  <c r="S138" i="1"/>
  <c r="P138" i="1"/>
  <c r="M138" i="1"/>
  <c r="L138" i="1"/>
  <c r="F138" i="1"/>
  <c r="J138" i="1" s="1"/>
  <c r="E138" i="1"/>
  <c r="AB137" i="1"/>
  <c r="Y137" i="1"/>
  <c r="V137" i="1"/>
  <c r="S137" i="1"/>
  <c r="P137" i="1"/>
  <c r="E137" i="1" s="1"/>
  <c r="F137" i="1" s="1"/>
  <c r="M137" i="1"/>
  <c r="L137" i="1"/>
  <c r="AB136" i="1"/>
  <c r="Y136" i="1"/>
  <c r="V136" i="1"/>
  <c r="S136" i="1"/>
  <c r="P136" i="1"/>
  <c r="M136" i="1"/>
  <c r="L136" i="1"/>
  <c r="AB135" i="1"/>
  <c r="Y135" i="1"/>
  <c r="V135" i="1"/>
  <c r="S135" i="1"/>
  <c r="P135" i="1"/>
  <c r="E135" i="1" s="1"/>
  <c r="M135" i="1"/>
  <c r="L135" i="1"/>
  <c r="F135" i="1"/>
  <c r="K135" i="1" s="1"/>
  <c r="AB134" i="1"/>
  <c r="Y134" i="1"/>
  <c r="V134" i="1"/>
  <c r="S134" i="1"/>
  <c r="P134" i="1"/>
  <c r="M134" i="1"/>
  <c r="L134" i="1"/>
  <c r="AB133" i="1"/>
  <c r="Y133" i="1"/>
  <c r="V133" i="1"/>
  <c r="S133" i="1"/>
  <c r="P133" i="1"/>
  <c r="M133" i="1"/>
  <c r="L133" i="1"/>
  <c r="AB132" i="1"/>
  <c r="Y132" i="1"/>
  <c r="V132" i="1"/>
  <c r="S132" i="1"/>
  <c r="P132" i="1"/>
  <c r="M132" i="1"/>
  <c r="L132" i="1"/>
  <c r="K132" i="1"/>
  <c r="E132" i="1"/>
  <c r="F132" i="1" s="1"/>
  <c r="J132" i="1" s="1"/>
  <c r="AB131" i="1"/>
  <c r="Y131" i="1"/>
  <c r="V131" i="1"/>
  <c r="S131" i="1"/>
  <c r="E131" i="1" s="1"/>
  <c r="F131" i="1" s="1"/>
  <c r="P131" i="1"/>
  <c r="M131" i="1"/>
  <c r="L131" i="1"/>
  <c r="AB130" i="1"/>
  <c r="Y130" i="1"/>
  <c r="V130" i="1"/>
  <c r="S130" i="1"/>
  <c r="P130" i="1"/>
  <c r="M130" i="1"/>
  <c r="L130" i="1"/>
  <c r="AB129" i="1"/>
  <c r="Y129" i="1"/>
  <c r="V129" i="1"/>
  <c r="S129" i="1"/>
  <c r="P129" i="1"/>
  <c r="E129" i="1" s="1"/>
  <c r="F129" i="1" s="1"/>
  <c r="M129" i="1"/>
  <c r="L129" i="1"/>
  <c r="AB128" i="1"/>
  <c r="Y128" i="1"/>
  <c r="V128" i="1"/>
  <c r="S128" i="1"/>
  <c r="P128" i="1"/>
  <c r="M128" i="1"/>
  <c r="L128" i="1"/>
  <c r="AB127" i="1"/>
  <c r="Y127" i="1"/>
  <c r="V127" i="1"/>
  <c r="S127" i="1"/>
  <c r="P127" i="1"/>
  <c r="M127" i="1"/>
  <c r="L127" i="1"/>
  <c r="AB126" i="1"/>
  <c r="Y126" i="1"/>
  <c r="V126" i="1"/>
  <c r="S126" i="1"/>
  <c r="P126" i="1"/>
  <c r="M126" i="1"/>
  <c r="L126" i="1"/>
  <c r="E126" i="1"/>
  <c r="F126" i="1" s="1"/>
  <c r="K126" i="1" s="1"/>
  <c r="AB125" i="1"/>
  <c r="Y125" i="1"/>
  <c r="E125" i="1" s="1"/>
  <c r="F125" i="1" s="1"/>
  <c r="V125" i="1"/>
  <c r="S125" i="1"/>
  <c r="P125" i="1"/>
  <c r="M125" i="1"/>
  <c r="L125" i="1"/>
  <c r="AB124" i="1"/>
  <c r="Y124" i="1"/>
  <c r="V124" i="1"/>
  <c r="S124" i="1"/>
  <c r="P124" i="1"/>
  <c r="E124" i="1" s="1"/>
  <c r="F124" i="1" s="1"/>
  <c r="M124" i="1"/>
  <c r="L124" i="1"/>
  <c r="AB123" i="1"/>
  <c r="Y123" i="1"/>
  <c r="V123" i="1"/>
  <c r="S123" i="1"/>
  <c r="P123" i="1"/>
  <c r="E123" i="1" s="1"/>
  <c r="F123" i="1" s="1"/>
  <c r="M123" i="1"/>
  <c r="L123" i="1"/>
  <c r="AB122" i="1"/>
  <c r="Y122" i="1"/>
  <c r="V122" i="1"/>
  <c r="S122" i="1"/>
  <c r="P122" i="1"/>
  <c r="E122" i="1" s="1"/>
  <c r="F122" i="1" s="1"/>
  <c r="M122" i="1"/>
  <c r="L122" i="1"/>
  <c r="AB121" i="1"/>
  <c r="Y121" i="1"/>
  <c r="V121" i="1"/>
  <c r="S121" i="1"/>
  <c r="P121" i="1"/>
  <c r="M121" i="1"/>
  <c r="L121" i="1"/>
  <c r="E121" i="1"/>
  <c r="F121" i="1" s="1"/>
  <c r="AB120" i="1"/>
  <c r="Y120" i="1"/>
  <c r="V120" i="1"/>
  <c r="S120" i="1"/>
  <c r="E120" i="1" s="1"/>
  <c r="F120" i="1" s="1"/>
  <c r="P120" i="1"/>
  <c r="M120" i="1"/>
  <c r="L120" i="1"/>
  <c r="AB119" i="1"/>
  <c r="Y119" i="1"/>
  <c r="V119" i="1"/>
  <c r="S119" i="1"/>
  <c r="P119" i="1"/>
  <c r="E119" i="1" s="1"/>
  <c r="F119" i="1" s="1"/>
  <c r="M119" i="1"/>
  <c r="L119" i="1"/>
  <c r="AB118" i="1"/>
  <c r="Y118" i="1"/>
  <c r="V118" i="1"/>
  <c r="S118" i="1"/>
  <c r="P118" i="1"/>
  <c r="M118" i="1"/>
  <c r="L118" i="1"/>
  <c r="AB117" i="1"/>
  <c r="Y117" i="1"/>
  <c r="V117" i="1"/>
  <c r="S117" i="1"/>
  <c r="P117" i="1"/>
  <c r="M117" i="1"/>
  <c r="L117" i="1"/>
  <c r="AB116" i="1"/>
  <c r="Y116" i="1"/>
  <c r="V116" i="1"/>
  <c r="S116" i="1"/>
  <c r="P116" i="1"/>
  <c r="M116" i="1"/>
  <c r="L116" i="1"/>
  <c r="E116" i="1"/>
  <c r="F116" i="1" s="1"/>
  <c r="K116" i="1" s="1"/>
  <c r="AB115" i="1"/>
  <c r="Y115" i="1"/>
  <c r="V115" i="1"/>
  <c r="E115" i="1" s="1"/>
  <c r="F115" i="1" s="1"/>
  <c r="S115" i="1"/>
  <c r="P115" i="1"/>
  <c r="M115" i="1"/>
  <c r="L115" i="1"/>
  <c r="AB114" i="1"/>
  <c r="Y114" i="1"/>
  <c r="V114" i="1"/>
  <c r="S114" i="1"/>
  <c r="P114" i="1"/>
  <c r="E114" i="1" s="1"/>
  <c r="F114" i="1" s="1"/>
  <c r="M114" i="1"/>
  <c r="L114" i="1"/>
  <c r="AB113" i="1"/>
  <c r="Y113" i="1"/>
  <c r="V113" i="1"/>
  <c r="S113" i="1"/>
  <c r="P113" i="1"/>
  <c r="M113" i="1"/>
  <c r="L113" i="1"/>
  <c r="AB112" i="1"/>
  <c r="Y112" i="1"/>
  <c r="V112" i="1"/>
  <c r="S112" i="1"/>
  <c r="P112" i="1"/>
  <c r="E112" i="1" s="1"/>
  <c r="F112" i="1" s="1"/>
  <c r="M112" i="1"/>
  <c r="L112" i="1"/>
  <c r="AB111" i="1"/>
  <c r="Y111" i="1"/>
  <c r="V111" i="1"/>
  <c r="S111" i="1"/>
  <c r="P111" i="1"/>
  <c r="E111" i="1" s="1"/>
  <c r="F111" i="1" s="1"/>
  <c r="M111" i="1"/>
  <c r="L111" i="1"/>
  <c r="AB110" i="1"/>
  <c r="Y110" i="1"/>
  <c r="V110" i="1"/>
  <c r="S110" i="1"/>
  <c r="P110" i="1"/>
  <c r="E110" i="1" s="1"/>
  <c r="F110" i="1" s="1"/>
  <c r="M110" i="1"/>
  <c r="L110" i="1"/>
  <c r="AB109" i="1"/>
  <c r="Y109" i="1"/>
  <c r="V109" i="1"/>
  <c r="S109" i="1"/>
  <c r="E109" i="1" s="1"/>
  <c r="F109" i="1" s="1"/>
  <c r="P109" i="1"/>
  <c r="M109" i="1"/>
  <c r="L109" i="1"/>
  <c r="AB108" i="1"/>
  <c r="Y108" i="1"/>
  <c r="V108" i="1"/>
  <c r="S108" i="1"/>
  <c r="P108" i="1"/>
  <c r="M108" i="1"/>
  <c r="L108" i="1"/>
  <c r="E108" i="1"/>
  <c r="F108" i="1" s="1"/>
  <c r="J108" i="1" s="1"/>
  <c r="AB107" i="1"/>
  <c r="Y107" i="1"/>
  <c r="V107" i="1"/>
  <c r="S107" i="1"/>
  <c r="P107" i="1"/>
  <c r="E107" i="1" s="1"/>
  <c r="F107" i="1" s="1"/>
  <c r="M107" i="1"/>
  <c r="L107" i="1"/>
  <c r="AB106" i="1"/>
  <c r="Y106" i="1"/>
  <c r="V106" i="1"/>
  <c r="S106" i="1"/>
  <c r="P106" i="1"/>
  <c r="E106" i="1" s="1"/>
  <c r="F106" i="1" s="1"/>
  <c r="M106" i="1"/>
  <c r="L106" i="1"/>
  <c r="AB105" i="1"/>
  <c r="Y105" i="1"/>
  <c r="V105" i="1"/>
  <c r="S105" i="1"/>
  <c r="P105" i="1"/>
  <c r="E105" i="1" s="1"/>
  <c r="F105" i="1" s="1"/>
  <c r="M105" i="1"/>
  <c r="L105" i="1"/>
  <c r="AB104" i="1"/>
  <c r="Y104" i="1"/>
  <c r="V104" i="1"/>
  <c r="S104" i="1"/>
  <c r="P104" i="1"/>
  <c r="E104" i="1" s="1"/>
  <c r="F104" i="1" s="1"/>
  <c r="M104" i="1"/>
  <c r="L104" i="1"/>
  <c r="AB103" i="1"/>
  <c r="Y103" i="1"/>
  <c r="V103" i="1"/>
  <c r="S103" i="1"/>
  <c r="E103" i="1" s="1"/>
  <c r="F103" i="1" s="1"/>
  <c r="P103" i="1"/>
  <c r="M103" i="1"/>
  <c r="L103" i="1"/>
  <c r="AB102" i="1"/>
  <c r="Y102" i="1"/>
  <c r="V102" i="1"/>
  <c r="S102" i="1"/>
  <c r="P102" i="1"/>
  <c r="E102" i="1" s="1"/>
  <c r="F102" i="1" s="1"/>
  <c r="M102" i="1"/>
  <c r="L102" i="1"/>
  <c r="AB101" i="1"/>
  <c r="Y101" i="1"/>
  <c r="V101" i="1"/>
  <c r="S101" i="1"/>
  <c r="P101" i="1"/>
  <c r="E101" i="1" s="1"/>
  <c r="F101" i="1" s="1"/>
  <c r="M101" i="1"/>
  <c r="L101" i="1"/>
  <c r="AB100" i="1"/>
  <c r="Y100" i="1"/>
  <c r="V100" i="1"/>
  <c r="E100" i="1" s="1"/>
  <c r="F100" i="1" s="1"/>
  <c r="S100" i="1"/>
  <c r="P100" i="1"/>
  <c r="M100" i="1"/>
  <c r="L100" i="1"/>
  <c r="AB99" i="1"/>
  <c r="Y99" i="1"/>
  <c r="V99" i="1"/>
  <c r="S99" i="1"/>
  <c r="P99" i="1"/>
  <c r="E99" i="1" s="1"/>
  <c r="F99" i="1" s="1"/>
  <c r="M99" i="1"/>
  <c r="L99" i="1"/>
  <c r="AB98" i="1"/>
  <c r="Y98" i="1"/>
  <c r="V98" i="1"/>
  <c r="S98" i="1"/>
  <c r="P98" i="1"/>
  <c r="M98" i="1"/>
  <c r="L98" i="1"/>
  <c r="E98" i="1"/>
  <c r="F98" i="1" s="1"/>
  <c r="AB97" i="1"/>
  <c r="Y97" i="1"/>
  <c r="V97" i="1"/>
  <c r="S97" i="1"/>
  <c r="P97" i="1"/>
  <c r="E97" i="1" s="1"/>
  <c r="F97" i="1" s="1"/>
  <c r="M97" i="1"/>
  <c r="L97" i="1"/>
  <c r="AB96" i="1"/>
  <c r="Y96" i="1"/>
  <c r="V96" i="1"/>
  <c r="S96" i="1"/>
  <c r="P96" i="1"/>
  <c r="E96" i="1" s="1"/>
  <c r="F96" i="1" s="1"/>
  <c r="M96" i="1"/>
  <c r="L96" i="1"/>
  <c r="AB95" i="1"/>
  <c r="Y95" i="1"/>
  <c r="V95" i="1"/>
  <c r="S95" i="1"/>
  <c r="P95" i="1"/>
  <c r="M95" i="1"/>
  <c r="L95" i="1"/>
  <c r="E95" i="1"/>
  <c r="F95" i="1" s="1"/>
  <c r="AB94" i="1"/>
  <c r="Y94" i="1"/>
  <c r="V94" i="1"/>
  <c r="S94" i="1"/>
  <c r="E94" i="1" s="1"/>
  <c r="F94" i="1" s="1"/>
  <c r="P94" i="1"/>
  <c r="M94" i="1"/>
  <c r="L94" i="1"/>
  <c r="AB93" i="1"/>
  <c r="Y93" i="1"/>
  <c r="V93" i="1"/>
  <c r="S93" i="1"/>
  <c r="P93" i="1"/>
  <c r="E93" i="1" s="1"/>
  <c r="F93" i="1" s="1"/>
  <c r="M93" i="1"/>
  <c r="L93" i="1"/>
  <c r="AB92" i="1"/>
  <c r="Y92" i="1"/>
  <c r="V92" i="1"/>
  <c r="S92" i="1"/>
  <c r="P92" i="1"/>
  <c r="M92" i="1"/>
  <c r="L92" i="1"/>
  <c r="E92" i="1"/>
  <c r="F92" i="1" s="1"/>
  <c r="AB91" i="1"/>
  <c r="Y91" i="1"/>
  <c r="V91" i="1"/>
  <c r="S91" i="1"/>
  <c r="P91" i="1"/>
  <c r="E91" i="1" s="1"/>
  <c r="F91" i="1" s="1"/>
  <c r="M91" i="1"/>
  <c r="L91" i="1"/>
  <c r="AB90" i="1"/>
  <c r="Y90" i="1"/>
  <c r="V90" i="1"/>
  <c r="S90" i="1"/>
  <c r="P90" i="1"/>
  <c r="E90" i="1" s="1"/>
  <c r="F90" i="1" s="1"/>
  <c r="M90" i="1"/>
  <c r="L90" i="1"/>
  <c r="AB89" i="1"/>
  <c r="Y89" i="1"/>
  <c r="V89" i="1"/>
  <c r="S89" i="1"/>
  <c r="P89" i="1"/>
  <c r="E89" i="1" s="1"/>
  <c r="F89" i="1" s="1"/>
  <c r="M89" i="1"/>
  <c r="L89" i="1"/>
  <c r="AB88" i="1"/>
  <c r="Y88" i="1"/>
  <c r="V88" i="1"/>
  <c r="S88" i="1"/>
  <c r="P88" i="1"/>
  <c r="E88" i="1" s="1"/>
  <c r="F88" i="1" s="1"/>
  <c r="M88" i="1"/>
  <c r="L88" i="1"/>
  <c r="AB87" i="1"/>
  <c r="Y87" i="1"/>
  <c r="V87" i="1"/>
  <c r="S87" i="1"/>
  <c r="E87" i="1" s="1"/>
  <c r="F87" i="1" s="1"/>
  <c r="P87" i="1"/>
  <c r="M87" i="1"/>
  <c r="L87" i="1"/>
  <c r="AB86" i="1"/>
  <c r="Y86" i="1"/>
  <c r="V86" i="1"/>
  <c r="S86" i="1"/>
  <c r="P86" i="1"/>
  <c r="E86" i="1" s="1"/>
  <c r="F86" i="1" s="1"/>
  <c r="M86" i="1"/>
  <c r="L86" i="1"/>
  <c r="AB85" i="1"/>
  <c r="Y85" i="1"/>
  <c r="V85" i="1"/>
  <c r="S85" i="1"/>
  <c r="P85" i="1"/>
  <c r="E85" i="1" s="1"/>
  <c r="F85" i="1" s="1"/>
  <c r="M85" i="1"/>
  <c r="L85" i="1"/>
  <c r="AB84" i="1"/>
  <c r="Y84" i="1"/>
  <c r="V84" i="1"/>
  <c r="E84" i="1" s="1"/>
  <c r="F84" i="1" s="1"/>
  <c r="S84" i="1"/>
  <c r="P84" i="1"/>
  <c r="M84" i="1"/>
  <c r="L84" i="1"/>
  <c r="AB83" i="1"/>
  <c r="Y83" i="1"/>
  <c r="V83" i="1"/>
  <c r="T83" i="1"/>
  <c r="Q83" i="1"/>
  <c r="S83" i="1" s="1"/>
  <c r="N83" i="1"/>
  <c r="P83" i="1" s="1"/>
  <c r="M83" i="1"/>
  <c r="L83" i="1"/>
  <c r="AB82" i="1"/>
  <c r="Y82" i="1"/>
  <c r="V82" i="1"/>
  <c r="Q82" i="1"/>
  <c r="S82" i="1" s="1"/>
  <c r="P82" i="1"/>
  <c r="M82" i="1"/>
  <c r="L82" i="1"/>
  <c r="AB81" i="1"/>
  <c r="Y81" i="1"/>
  <c r="V81" i="1"/>
  <c r="S81" i="1"/>
  <c r="Q81" i="1"/>
  <c r="N81" i="1"/>
  <c r="P81" i="1" s="1"/>
  <c r="E81" i="1" s="1"/>
  <c r="F81" i="1" s="1"/>
  <c r="M81" i="1"/>
  <c r="L81" i="1"/>
  <c r="AB80" i="1"/>
  <c r="Y80" i="1"/>
  <c r="V80" i="1"/>
  <c r="S80" i="1"/>
  <c r="Q80" i="1"/>
  <c r="N80" i="1"/>
  <c r="P80" i="1" s="1"/>
  <c r="E80" i="1" s="1"/>
  <c r="F80" i="1" s="1"/>
  <c r="M80" i="1"/>
  <c r="L80" i="1"/>
  <c r="AB79" i="1"/>
  <c r="Y79" i="1"/>
  <c r="V79" i="1"/>
  <c r="S79" i="1"/>
  <c r="Q79" i="1"/>
  <c r="N79" i="1"/>
  <c r="P79" i="1" s="1"/>
  <c r="E79" i="1" s="1"/>
  <c r="F79" i="1" s="1"/>
  <c r="M79" i="1"/>
  <c r="L79" i="1"/>
  <c r="AB78" i="1"/>
  <c r="Y78" i="1"/>
  <c r="V78" i="1"/>
  <c r="S78" i="1"/>
  <c r="P78" i="1"/>
  <c r="E78" i="1" s="1"/>
  <c r="F78" i="1" s="1"/>
  <c r="M78" i="1"/>
  <c r="L78" i="1"/>
  <c r="AB77" i="1"/>
  <c r="Y77" i="1"/>
  <c r="V77" i="1"/>
  <c r="S77" i="1"/>
  <c r="P77" i="1"/>
  <c r="M77" i="1"/>
  <c r="L77" i="1"/>
  <c r="E77" i="1"/>
  <c r="F77" i="1" s="1"/>
  <c r="AB76" i="1"/>
  <c r="Y76" i="1"/>
  <c r="V76" i="1"/>
  <c r="S76" i="1"/>
  <c r="E76" i="1" s="1"/>
  <c r="F76" i="1" s="1"/>
  <c r="P76" i="1"/>
  <c r="M76" i="1"/>
  <c r="L76" i="1"/>
  <c r="AB75" i="1"/>
  <c r="Y75" i="1"/>
  <c r="V75" i="1"/>
  <c r="S75" i="1"/>
  <c r="P75" i="1"/>
  <c r="E75" i="1" s="1"/>
  <c r="F75" i="1" s="1"/>
  <c r="M75" i="1"/>
  <c r="L75" i="1"/>
  <c r="AB74" i="1"/>
  <c r="Y74" i="1"/>
  <c r="V74" i="1"/>
  <c r="S74" i="1"/>
  <c r="P74" i="1"/>
  <c r="M74" i="1"/>
  <c r="L74" i="1"/>
  <c r="E74" i="1"/>
  <c r="F74" i="1" s="1"/>
  <c r="AB73" i="1"/>
  <c r="Y73" i="1"/>
  <c r="V73" i="1"/>
  <c r="S73" i="1"/>
  <c r="P73" i="1"/>
  <c r="E73" i="1" s="1"/>
  <c r="F73" i="1" s="1"/>
  <c r="M73" i="1"/>
  <c r="L73" i="1"/>
  <c r="AB72" i="1"/>
  <c r="Y72" i="1"/>
  <c r="V72" i="1"/>
  <c r="S72" i="1"/>
  <c r="P72" i="1"/>
  <c r="E72" i="1" s="1"/>
  <c r="F72" i="1" s="1"/>
  <c r="M72" i="1"/>
  <c r="L72" i="1"/>
  <c r="AB71" i="1"/>
  <c r="Y71" i="1"/>
  <c r="V71" i="1"/>
  <c r="S71" i="1"/>
  <c r="P71" i="1"/>
  <c r="E71" i="1" s="1"/>
  <c r="F71" i="1" s="1"/>
  <c r="M71" i="1"/>
  <c r="L71" i="1"/>
  <c r="AB70" i="1"/>
  <c r="Y70" i="1"/>
  <c r="V70" i="1"/>
  <c r="S70" i="1"/>
  <c r="P70" i="1"/>
  <c r="E70" i="1" s="1"/>
  <c r="F70" i="1" s="1"/>
  <c r="M70" i="1"/>
  <c r="L70" i="1"/>
  <c r="AB69" i="1"/>
  <c r="Y69" i="1"/>
  <c r="V69" i="1"/>
  <c r="S69" i="1"/>
  <c r="E69" i="1" s="1"/>
  <c r="F69" i="1" s="1"/>
  <c r="P69" i="1"/>
  <c r="M69" i="1"/>
  <c r="L69" i="1"/>
  <c r="AB68" i="1"/>
  <c r="Y68" i="1"/>
  <c r="V68" i="1"/>
  <c r="S68" i="1"/>
  <c r="P68" i="1"/>
  <c r="E68" i="1" s="1"/>
  <c r="F68" i="1" s="1"/>
  <c r="M68" i="1"/>
  <c r="L68" i="1"/>
  <c r="AB67" i="1"/>
  <c r="Y67" i="1"/>
  <c r="V67" i="1"/>
  <c r="S67" i="1"/>
  <c r="P67" i="1"/>
  <c r="E67" i="1" s="1"/>
  <c r="F67" i="1" s="1"/>
  <c r="M67" i="1"/>
  <c r="L67" i="1"/>
  <c r="AB66" i="1"/>
  <c r="Y66" i="1"/>
  <c r="V66" i="1"/>
  <c r="S66" i="1"/>
  <c r="P66" i="1"/>
  <c r="E66" i="1" s="1"/>
  <c r="F66" i="1" s="1"/>
  <c r="M66" i="1"/>
  <c r="L66" i="1"/>
  <c r="AB65" i="1"/>
  <c r="Y65" i="1"/>
  <c r="V65" i="1"/>
  <c r="S65" i="1"/>
  <c r="P65" i="1"/>
  <c r="E65" i="1" s="1"/>
  <c r="F65" i="1" s="1"/>
  <c r="M65" i="1"/>
  <c r="L65" i="1"/>
  <c r="AB64" i="1"/>
  <c r="Y64" i="1"/>
  <c r="V64" i="1"/>
  <c r="S64" i="1"/>
  <c r="P64" i="1"/>
  <c r="M64" i="1"/>
  <c r="L64" i="1"/>
  <c r="E64" i="1"/>
  <c r="F64" i="1" s="1"/>
  <c r="AB63" i="1"/>
  <c r="Y63" i="1"/>
  <c r="V63" i="1"/>
  <c r="S63" i="1"/>
  <c r="P63" i="1"/>
  <c r="E63" i="1" s="1"/>
  <c r="F63" i="1" s="1"/>
  <c r="M63" i="1"/>
  <c r="L63" i="1"/>
  <c r="AB62" i="1"/>
  <c r="Y62" i="1"/>
  <c r="V62" i="1"/>
  <c r="S62" i="1"/>
  <c r="P62" i="1"/>
  <c r="E62" i="1" s="1"/>
  <c r="F62" i="1" s="1"/>
  <c r="M62" i="1"/>
  <c r="L62" i="1"/>
  <c r="AB61" i="1"/>
  <c r="Y61" i="1"/>
  <c r="V61" i="1"/>
  <c r="S61" i="1"/>
  <c r="P61" i="1"/>
  <c r="M61" i="1"/>
  <c r="L61" i="1"/>
  <c r="E61" i="1"/>
  <c r="F61" i="1" s="1"/>
  <c r="AB60" i="1"/>
  <c r="Y60" i="1"/>
  <c r="V60" i="1"/>
  <c r="S60" i="1"/>
  <c r="P60" i="1"/>
  <c r="E60" i="1" s="1"/>
  <c r="F60" i="1" s="1"/>
  <c r="M60" i="1"/>
  <c r="L60" i="1"/>
  <c r="AB59" i="1"/>
  <c r="Y59" i="1"/>
  <c r="V59" i="1"/>
  <c r="S59" i="1"/>
  <c r="P59" i="1"/>
  <c r="E59" i="1" s="1"/>
  <c r="F59" i="1" s="1"/>
  <c r="M59" i="1"/>
  <c r="L59" i="1"/>
  <c r="AB58" i="1"/>
  <c r="Y58" i="1"/>
  <c r="V58" i="1"/>
  <c r="S58" i="1"/>
  <c r="P58" i="1"/>
  <c r="M58" i="1"/>
  <c r="L58" i="1"/>
  <c r="E58" i="1"/>
  <c r="F58" i="1" s="1"/>
  <c r="AB57" i="1"/>
  <c r="Y57" i="1"/>
  <c r="V57" i="1"/>
  <c r="S57" i="1"/>
  <c r="P57" i="1"/>
  <c r="M57" i="1"/>
  <c r="L57" i="1"/>
  <c r="E57" i="1"/>
  <c r="F57" i="1" s="1"/>
  <c r="AB56" i="1"/>
  <c r="Y56" i="1"/>
  <c r="V56" i="1"/>
  <c r="S56" i="1"/>
  <c r="P56" i="1"/>
  <c r="E56" i="1" s="1"/>
  <c r="F56" i="1" s="1"/>
  <c r="M56" i="1"/>
  <c r="L56" i="1"/>
  <c r="AB55" i="1"/>
  <c r="Y55" i="1"/>
  <c r="V55" i="1"/>
  <c r="S55" i="1"/>
  <c r="P55" i="1"/>
  <c r="E55" i="1" s="1"/>
  <c r="F55" i="1" s="1"/>
  <c r="M55" i="1"/>
  <c r="L55" i="1"/>
  <c r="AB54" i="1"/>
  <c r="Y54" i="1"/>
  <c r="V54" i="1"/>
  <c r="S54" i="1"/>
  <c r="P54" i="1"/>
  <c r="E54" i="1" s="1"/>
  <c r="F54" i="1" s="1"/>
  <c r="M54" i="1"/>
  <c r="L54" i="1"/>
  <c r="AB53" i="1"/>
  <c r="Y53" i="1"/>
  <c r="V53" i="1"/>
  <c r="S53" i="1"/>
  <c r="E53" i="1" s="1"/>
  <c r="F53" i="1" s="1"/>
  <c r="P53" i="1"/>
  <c r="M53" i="1"/>
  <c r="L53" i="1"/>
  <c r="AB52" i="1"/>
  <c r="Y52" i="1"/>
  <c r="V52" i="1"/>
  <c r="S52" i="1"/>
  <c r="P52" i="1"/>
  <c r="E52" i="1" s="1"/>
  <c r="F52" i="1" s="1"/>
  <c r="M52" i="1"/>
  <c r="L52" i="1"/>
  <c r="AB51" i="1"/>
  <c r="Y51" i="1"/>
  <c r="V51" i="1"/>
  <c r="S51" i="1"/>
  <c r="P51" i="1"/>
  <c r="E51" i="1" s="1"/>
  <c r="F51" i="1" s="1"/>
  <c r="M51" i="1"/>
  <c r="L51" i="1"/>
  <c r="AB50" i="1"/>
  <c r="Y50" i="1"/>
  <c r="V50" i="1"/>
  <c r="S50" i="1"/>
  <c r="P50" i="1"/>
  <c r="E50" i="1" s="1"/>
  <c r="F50" i="1" s="1"/>
  <c r="M50" i="1"/>
  <c r="L50" i="1"/>
  <c r="AB49" i="1"/>
  <c r="Y49" i="1"/>
  <c r="V49" i="1"/>
  <c r="S49" i="1"/>
  <c r="P49" i="1"/>
  <c r="E49" i="1" s="1"/>
  <c r="F49" i="1" s="1"/>
  <c r="M49" i="1"/>
  <c r="L49" i="1"/>
  <c r="AB48" i="1"/>
  <c r="Y48" i="1"/>
  <c r="V48" i="1"/>
  <c r="S48" i="1"/>
  <c r="P48" i="1"/>
  <c r="M48" i="1"/>
  <c r="L48" i="1"/>
  <c r="E48" i="1"/>
  <c r="F48" i="1" s="1"/>
  <c r="AB47" i="1"/>
  <c r="Y47" i="1"/>
  <c r="V47" i="1"/>
  <c r="S47" i="1"/>
  <c r="P47" i="1"/>
  <c r="E47" i="1" s="1"/>
  <c r="F47" i="1" s="1"/>
  <c r="M47" i="1"/>
  <c r="L47" i="1"/>
  <c r="AB46" i="1"/>
  <c r="Y46" i="1"/>
  <c r="V46" i="1"/>
  <c r="S46" i="1"/>
  <c r="P46" i="1"/>
  <c r="E46" i="1" s="1"/>
  <c r="F46" i="1" s="1"/>
  <c r="M46" i="1"/>
  <c r="L46" i="1"/>
  <c r="AB45" i="1"/>
  <c r="Y45" i="1"/>
  <c r="V45" i="1"/>
  <c r="S45" i="1"/>
  <c r="P45" i="1"/>
  <c r="M45" i="1"/>
  <c r="L45" i="1"/>
  <c r="E45" i="1"/>
  <c r="F45" i="1" s="1"/>
  <c r="AB44" i="1"/>
  <c r="Y44" i="1"/>
  <c r="V44" i="1"/>
  <c r="S44" i="1"/>
  <c r="E44" i="1" s="1"/>
  <c r="F44" i="1" s="1"/>
  <c r="P44" i="1"/>
  <c r="M44" i="1"/>
  <c r="L44" i="1"/>
  <c r="AB43" i="1"/>
  <c r="Y43" i="1"/>
  <c r="V43" i="1"/>
  <c r="S43" i="1"/>
  <c r="P43" i="1"/>
  <c r="E43" i="1" s="1"/>
  <c r="F43" i="1" s="1"/>
  <c r="M43" i="1"/>
  <c r="L43" i="1"/>
  <c r="AB42" i="1"/>
  <c r="Y42" i="1"/>
  <c r="V42" i="1"/>
  <c r="S42" i="1"/>
  <c r="P42" i="1"/>
  <c r="M42" i="1"/>
  <c r="L42" i="1"/>
  <c r="E42" i="1"/>
  <c r="F42" i="1" s="1"/>
  <c r="AB41" i="1"/>
  <c r="Y41" i="1"/>
  <c r="V41" i="1"/>
  <c r="S41" i="1"/>
  <c r="P41" i="1"/>
  <c r="M41" i="1"/>
  <c r="L41" i="1"/>
  <c r="E41" i="1"/>
  <c r="F41" i="1" s="1"/>
  <c r="AB40" i="1"/>
  <c r="Y40" i="1"/>
  <c r="V40" i="1"/>
  <c r="S40" i="1"/>
  <c r="P40" i="1"/>
  <c r="E40" i="1" s="1"/>
  <c r="F40" i="1" s="1"/>
  <c r="M40" i="1"/>
  <c r="L40" i="1"/>
  <c r="AB39" i="1"/>
  <c r="Y39" i="1"/>
  <c r="V39" i="1"/>
  <c r="S39" i="1"/>
  <c r="P39" i="1"/>
  <c r="E39" i="1" s="1"/>
  <c r="F39" i="1" s="1"/>
  <c r="M39" i="1"/>
  <c r="L39" i="1"/>
  <c r="AB38" i="1"/>
  <c r="Y38" i="1"/>
  <c r="V38" i="1"/>
  <c r="S38" i="1"/>
  <c r="P38" i="1"/>
  <c r="E38" i="1" s="1"/>
  <c r="F38" i="1" s="1"/>
  <c r="M38" i="1"/>
  <c r="L38" i="1"/>
  <c r="AB37" i="1"/>
  <c r="Y37" i="1"/>
  <c r="V37" i="1"/>
  <c r="S37" i="1"/>
  <c r="E37" i="1" s="1"/>
  <c r="F37" i="1" s="1"/>
  <c r="P37" i="1"/>
  <c r="M37" i="1"/>
  <c r="L37" i="1"/>
  <c r="AB36" i="1"/>
  <c r="Y36" i="1"/>
  <c r="V36" i="1"/>
  <c r="S36" i="1"/>
  <c r="P36" i="1"/>
  <c r="E36" i="1" s="1"/>
  <c r="F36" i="1" s="1"/>
  <c r="M36" i="1"/>
  <c r="L36" i="1"/>
  <c r="AB35" i="1"/>
  <c r="Y35" i="1"/>
  <c r="V35" i="1"/>
  <c r="S35" i="1"/>
  <c r="P35" i="1"/>
  <c r="E35" i="1" s="1"/>
  <c r="F35" i="1" s="1"/>
  <c r="M35" i="1"/>
  <c r="L35" i="1"/>
  <c r="AB34" i="1"/>
  <c r="Y34" i="1"/>
  <c r="V34" i="1"/>
  <c r="S34" i="1"/>
  <c r="E34" i="1" s="1"/>
  <c r="F34" i="1" s="1"/>
  <c r="P34" i="1"/>
  <c r="M34" i="1"/>
  <c r="L34" i="1"/>
  <c r="AB33" i="1"/>
  <c r="Y33" i="1"/>
  <c r="V33" i="1"/>
  <c r="E33" i="1" s="1"/>
  <c r="F33" i="1" s="1"/>
  <c r="S33" i="1"/>
  <c r="P33" i="1"/>
  <c r="M33" i="1"/>
  <c r="L33" i="1"/>
  <c r="AB32" i="1"/>
  <c r="Y32" i="1"/>
  <c r="V32" i="1"/>
  <c r="S32" i="1"/>
  <c r="P32" i="1"/>
  <c r="M32" i="1"/>
  <c r="L32" i="1"/>
  <c r="E32" i="1"/>
  <c r="F32" i="1" s="1"/>
  <c r="AB31" i="1"/>
  <c r="Y31" i="1"/>
  <c r="E31" i="1" s="1"/>
  <c r="F31" i="1" s="1"/>
  <c r="V31" i="1"/>
  <c r="S31" i="1"/>
  <c r="P31" i="1"/>
  <c r="M31" i="1"/>
  <c r="L31" i="1"/>
  <c r="AB30" i="1"/>
  <c r="Y30" i="1"/>
  <c r="V30" i="1"/>
  <c r="S30" i="1"/>
  <c r="P30" i="1"/>
  <c r="E30" i="1" s="1"/>
  <c r="F30" i="1" s="1"/>
  <c r="M30" i="1"/>
  <c r="L30" i="1"/>
  <c r="AB29" i="1"/>
  <c r="Y29" i="1"/>
  <c r="V29" i="1"/>
  <c r="S29" i="1"/>
  <c r="P29" i="1"/>
  <c r="M29" i="1"/>
  <c r="L29" i="1"/>
  <c r="E29" i="1"/>
  <c r="F29" i="1" s="1"/>
  <c r="AB28" i="1"/>
  <c r="E28" i="1" s="1"/>
  <c r="F28" i="1" s="1"/>
  <c r="Y28" i="1"/>
  <c r="V28" i="1"/>
  <c r="S28" i="1"/>
  <c r="P28" i="1"/>
  <c r="M28" i="1"/>
  <c r="L28" i="1"/>
  <c r="AB27" i="1"/>
  <c r="Y27" i="1"/>
  <c r="V27" i="1"/>
  <c r="S27" i="1"/>
  <c r="P27" i="1"/>
  <c r="E27" i="1" s="1"/>
  <c r="F27" i="1" s="1"/>
  <c r="M27" i="1"/>
  <c r="L27" i="1"/>
  <c r="AB26" i="1"/>
  <c r="Y26" i="1"/>
  <c r="V26" i="1"/>
  <c r="S26" i="1"/>
  <c r="P26" i="1"/>
  <c r="M26" i="1"/>
  <c r="L26" i="1"/>
  <c r="E26" i="1"/>
  <c r="F26" i="1" s="1"/>
  <c r="AB25" i="1"/>
  <c r="Y25" i="1"/>
  <c r="V25" i="1"/>
  <c r="S25" i="1"/>
  <c r="P25" i="1"/>
  <c r="M25" i="1"/>
  <c r="L25" i="1"/>
  <c r="E25" i="1"/>
  <c r="F25" i="1" s="1"/>
  <c r="AB24" i="1"/>
  <c r="Y24" i="1"/>
  <c r="V24" i="1"/>
  <c r="S24" i="1"/>
  <c r="P24" i="1"/>
  <c r="E24" i="1" s="1"/>
  <c r="F24" i="1" s="1"/>
  <c r="M24" i="1"/>
  <c r="L24" i="1"/>
  <c r="AB23" i="1"/>
  <c r="Y23" i="1"/>
  <c r="V23" i="1"/>
  <c r="S23" i="1"/>
  <c r="P23" i="1"/>
  <c r="E23" i="1" s="1"/>
  <c r="F23" i="1" s="1"/>
  <c r="M23" i="1"/>
  <c r="L23" i="1"/>
  <c r="AB22" i="1"/>
  <c r="Y22" i="1"/>
  <c r="V22" i="1"/>
  <c r="S22" i="1"/>
  <c r="P22" i="1"/>
  <c r="E22" i="1" s="1"/>
  <c r="F22" i="1" s="1"/>
  <c r="M22" i="1"/>
  <c r="L22" i="1"/>
  <c r="AB21" i="1"/>
  <c r="Y21" i="1"/>
  <c r="V21" i="1"/>
  <c r="S21" i="1"/>
  <c r="E21" i="1" s="1"/>
  <c r="F21" i="1" s="1"/>
  <c r="P21" i="1"/>
  <c r="M21" i="1"/>
  <c r="L21" i="1"/>
  <c r="AB20" i="1"/>
  <c r="Y20" i="1"/>
  <c r="V20" i="1"/>
  <c r="S20" i="1"/>
  <c r="P20" i="1"/>
  <c r="E20" i="1" s="1"/>
  <c r="F20" i="1" s="1"/>
  <c r="M20" i="1"/>
  <c r="L20" i="1"/>
  <c r="AB19" i="1"/>
  <c r="Y19" i="1"/>
  <c r="V19" i="1"/>
  <c r="S19" i="1"/>
  <c r="P19" i="1"/>
  <c r="E19" i="1" s="1"/>
  <c r="F19" i="1" s="1"/>
  <c r="M19" i="1"/>
  <c r="L19" i="1"/>
  <c r="AB18" i="1"/>
  <c r="Y18" i="1"/>
  <c r="V18" i="1"/>
  <c r="S18" i="1"/>
  <c r="E18" i="1" s="1"/>
  <c r="F18" i="1" s="1"/>
  <c r="P18" i="1"/>
  <c r="M18" i="1"/>
  <c r="L18" i="1"/>
  <c r="AB17" i="1"/>
  <c r="Y17" i="1"/>
  <c r="V17" i="1"/>
  <c r="S17" i="1"/>
  <c r="P17" i="1"/>
  <c r="E17" i="1" s="1"/>
  <c r="F17" i="1" s="1"/>
  <c r="M17" i="1"/>
  <c r="L17" i="1"/>
  <c r="AB16" i="1"/>
  <c r="Y16" i="1"/>
  <c r="V16" i="1"/>
  <c r="S16" i="1"/>
  <c r="P16" i="1"/>
  <c r="M16" i="1"/>
  <c r="L16" i="1"/>
  <c r="E16" i="1"/>
  <c r="F16" i="1" s="1"/>
  <c r="AB15" i="1"/>
  <c r="Y15" i="1"/>
  <c r="E15" i="1" s="1"/>
  <c r="F15" i="1" s="1"/>
  <c r="V15" i="1"/>
  <c r="S15" i="1"/>
  <c r="P15" i="1"/>
  <c r="M15" i="1"/>
  <c r="L15" i="1"/>
  <c r="AB14" i="1"/>
  <c r="Y14" i="1"/>
  <c r="V14" i="1"/>
  <c r="S14" i="1"/>
  <c r="P14" i="1"/>
  <c r="E14" i="1" s="1"/>
  <c r="F14" i="1" s="1"/>
  <c r="M14" i="1"/>
  <c r="L14" i="1"/>
  <c r="AB13" i="1"/>
  <c r="Y13" i="1"/>
  <c r="V13" i="1"/>
  <c r="S13" i="1"/>
  <c r="P13" i="1"/>
  <c r="M13" i="1"/>
  <c r="L13" i="1"/>
  <c r="E13" i="1"/>
  <c r="F13" i="1" s="1"/>
  <c r="AB12" i="1"/>
  <c r="E12" i="1" s="1"/>
  <c r="F12" i="1" s="1"/>
  <c r="Y12" i="1"/>
  <c r="V12" i="1"/>
  <c r="S12" i="1"/>
  <c r="P12" i="1"/>
  <c r="M12" i="1"/>
  <c r="L12" i="1"/>
  <c r="AB11" i="1"/>
  <c r="Y11" i="1"/>
  <c r="V11" i="1"/>
  <c r="S11" i="1"/>
  <c r="P11" i="1"/>
  <c r="E11" i="1" s="1"/>
  <c r="F11" i="1" s="1"/>
  <c r="M11" i="1"/>
  <c r="L11" i="1"/>
  <c r="AB10" i="1"/>
  <c r="Y10" i="1"/>
  <c r="V10" i="1"/>
  <c r="S10" i="1"/>
  <c r="P10" i="1"/>
  <c r="M10" i="1"/>
  <c r="L10" i="1"/>
  <c r="E10" i="1"/>
  <c r="F10" i="1" s="1"/>
  <c r="AB9" i="1"/>
  <c r="Y9" i="1"/>
  <c r="V9" i="1"/>
  <c r="S9" i="1"/>
  <c r="P9" i="1"/>
  <c r="M9" i="1"/>
  <c r="L9" i="1"/>
  <c r="E9" i="1"/>
  <c r="F9" i="1" s="1"/>
  <c r="AB8" i="1"/>
  <c r="Y8" i="1"/>
  <c r="V8" i="1"/>
  <c r="S8" i="1"/>
  <c r="P8" i="1"/>
  <c r="E8" i="1" s="1"/>
  <c r="F8" i="1" s="1"/>
  <c r="M8" i="1"/>
  <c r="L8" i="1"/>
  <c r="AB7" i="1"/>
  <c r="Y7" i="1"/>
  <c r="V7" i="1"/>
  <c r="S7" i="1"/>
  <c r="P7" i="1"/>
  <c r="E7" i="1" s="1"/>
  <c r="F7" i="1" s="1"/>
  <c r="M7" i="1"/>
  <c r="L7" i="1"/>
  <c r="AB6" i="1"/>
  <c r="Y6" i="1"/>
  <c r="V6" i="1"/>
  <c r="S6" i="1"/>
  <c r="P6" i="1"/>
  <c r="E6" i="1" s="1"/>
  <c r="F6" i="1" s="1"/>
  <c r="M6" i="1"/>
  <c r="L6" i="1"/>
  <c r="AB5" i="1"/>
  <c r="Y5" i="1"/>
  <c r="V5" i="1"/>
  <c r="S5" i="1"/>
  <c r="E5" i="1" s="1"/>
  <c r="F5" i="1" s="1"/>
  <c r="P5" i="1"/>
  <c r="M5" i="1"/>
  <c r="L5" i="1"/>
  <c r="AB4" i="1"/>
  <c r="Y4" i="1"/>
  <c r="V4" i="1"/>
  <c r="S4" i="1"/>
  <c r="P4" i="1"/>
  <c r="E4" i="1" s="1"/>
  <c r="F4" i="1" s="1"/>
  <c r="M4" i="1"/>
  <c r="L4" i="1"/>
  <c r="AB3" i="1"/>
  <c r="Y3" i="1"/>
  <c r="V3" i="1"/>
  <c r="S3" i="1"/>
  <c r="P3" i="1"/>
  <c r="E3" i="1" s="1"/>
  <c r="F3" i="1" s="1"/>
  <c r="M3" i="1"/>
  <c r="L3" i="1"/>
  <c r="AB2" i="1"/>
  <c r="Y2" i="1"/>
  <c r="V2" i="1"/>
  <c r="E2" i="1" s="1"/>
  <c r="F2" i="1" s="1"/>
  <c r="S2" i="1"/>
  <c r="P2" i="1"/>
  <c r="M2" i="1"/>
  <c r="L2" i="1"/>
  <c r="N325" i="3" l="1"/>
  <c r="N158" i="3"/>
  <c r="N221" i="3"/>
  <c r="N326" i="3"/>
  <c r="N126" i="3"/>
  <c r="N180" i="3"/>
  <c r="N222" i="3"/>
  <c r="N244" i="3"/>
  <c r="N100" i="3"/>
  <c r="N214" i="3"/>
  <c r="N301" i="3"/>
  <c r="N310" i="3"/>
  <c r="N254" i="3"/>
  <c r="N174" i="3"/>
  <c r="N205" i="3"/>
  <c r="N302" i="3"/>
  <c r="N293" i="3"/>
  <c r="N312" i="3"/>
  <c r="N321" i="3"/>
  <c r="N196" i="3"/>
  <c r="N206" i="3"/>
  <c r="N62" i="3"/>
  <c r="N164" i="3"/>
  <c r="N228" i="3"/>
  <c r="N238" i="3"/>
  <c r="N276" i="3"/>
  <c r="N285" i="3"/>
  <c r="N294" i="3"/>
  <c r="P62" i="3"/>
  <c r="N116" i="3"/>
  <c r="N30" i="3"/>
  <c r="M36" i="3"/>
  <c r="M56" i="3"/>
  <c r="P109" i="3"/>
  <c r="N17" i="3"/>
  <c r="M31" i="3"/>
  <c r="N43" i="3"/>
  <c r="N48" i="3"/>
  <c r="N67" i="3"/>
  <c r="N73" i="3"/>
  <c r="M89" i="3"/>
  <c r="M100" i="3"/>
  <c r="M147" i="3"/>
  <c r="M214" i="3"/>
  <c r="P235" i="3"/>
  <c r="N324" i="3"/>
  <c r="P80" i="3"/>
  <c r="P315" i="3"/>
  <c r="M47" i="3"/>
  <c r="M115" i="3"/>
  <c r="M174" i="3"/>
  <c r="M243" i="3"/>
  <c r="P256" i="3"/>
  <c r="P283" i="3"/>
  <c r="P296" i="3"/>
  <c r="M302" i="3"/>
  <c r="P37" i="3"/>
  <c r="M48" i="3"/>
  <c r="M67" i="3"/>
  <c r="M73" i="3"/>
  <c r="M81" i="3"/>
  <c r="N127" i="3"/>
  <c r="N134" i="3"/>
  <c r="M227" i="3"/>
  <c r="N38" i="3"/>
  <c r="N49" i="3"/>
  <c r="N68" i="3"/>
  <c r="N78" i="3"/>
  <c r="N111" i="3"/>
  <c r="N121" i="3"/>
  <c r="N142" i="3"/>
  <c r="N190" i="3"/>
  <c r="N216" i="3"/>
  <c r="N223" i="3"/>
  <c r="N291" i="3"/>
  <c r="M60" i="3"/>
  <c r="M22" i="3"/>
  <c r="P49" i="3"/>
  <c r="M78" i="3"/>
  <c r="M111" i="3"/>
  <c r="P216" i="3"/>
  <c r="M291" i="3"/>
  <c r="M54" i="3"/>
  <c r="M107" i="3"/>
  <c r="N129" i="3"/>
  <c r="N163" i="3"/>
  <c r="N204" i="3"/>
  <c r="P272" i="3"/>
  <c r="N279" i="3"/>
  <c r="N286" i="3"/>
  <c r="P312" i="3"/>
  <c r="M323" i="3"/>
  <c r="N40" i="3"/>
  <c r="N50" i="3"/>
  <c r="N92" i="3"/>
  <c r="N108" i="3"/>
  <c r="N112" i="3"/>
  <c r="N123" i="3"/>
  <c r="N157" i="3"/>
  <c r="N177" i="3"/>
  <c r="N198" i="3"/>
  <c r="M40" i="3"/>
  <c r="M50" i="3"/>
  <c r="M108" i="3"/>
  <c r="M112" i="3"/>
  <c r="M123" i="3"/>
  <c r="M198" i="3"/>
  <c r="M85" i="3"/>
  <c r="M79" i="3"/>
  <c r="N84" i="3"/>
  <c r="M98" i="3"/>
  <c r="M118" i="3"/>
  <c r="N131" i="3"/>
  <c r="N172" i="3"/>
  <c r="N226" i="3"/>
  <c r="N233" i="3"/>
  <c r="M267" i="3"/>
  <c r="P280" i="3"/>
  <c r="M42" i="3"/>
  <c r="M55" i="3"/>
  <c r="M59" i="3"/>
  <c r="M94" i="3"/>
  <c r="P139" i="3"/>
  <c r="N36" i="3"/>
  <c r="M84" i="3"/>
  <c r="N94" i="3"/>
  <c r="N139" i="3"/>
  <c r="N146" i="3"/>
  <c r="N165" i="3"/>
  <c r="N173" i="3"/>
  <c r="N227" i="3"/>
  <c r="N308" i="3"/>
  <c r="N3" i="3"/>
  <c r="M35" i="3"/>
  <c r="M53" i="3"/>
  <c r="N75" i="3"/>
  <c r="M95" i="3"/>
  <c r="M106" i="3"/>
  <c r="N110" i="3"/>
  <c r="N168" i="3"/>
  <c r="N186" i="3"/>
  <c r="N192" i="3"/>
  <c r="P203" i="3"/>
  <c r="N232" i="3"/>
  <c r="N261" i="3"/>
  <c r="N273" i="3"/>
  <c r="N323" i="3"/>
  <c r="P3" i="3"/>
  <c r="P9" i="3"/>
  <c r="M32" i="3"/>
  <c r="M39" i="3"/>
  <c r="M64" i="3"/>
  <c r="P68" i="3"/>
  <c r="M92" i="3"/>
  <c r="M103" i="3"/>
  <c r="M114" i="3"/>
  <c r="N140" i="3"/>
  <c r="N169" i="3"/>
  <c r="N175" i="3"/>
  <c r="N187" i="3"/>
  <c r="N193" i="3"/>
  <c r="P232" i="3"/>
  <c r="M238" i="3"/>
  <c r="M307" i="3"/>
  <c r="M318" i="3"/>
  <c r="N319" i="3"/>
  <c r="M29" i="3"/>
  <c r="M43" i="3"/>
  <c r="M61" i="3"/>
  <c r="M72" i="3"/>
  <c r="N115" i="3"/>
  <c r="M134" i="3"/>
  <c r="N141" i="3"/>
  <c r="N147" i="3"/>
  <c r="M158" i="3"/>
  <c r="N170" i="3"/>
  <c r="N181" i="3"/>
  <c r="M187" i="3"/>
  <c r="N211" i="3"/>
  <c r="M222" i="3"/>
  <c r="N245" i="3"/>
  <c r="N275" i="3"/>
  <c r="N5" i="3"/>
  <c r="N11" i="3"/>
  <c r="N26" i="3"/>
  <c r="N33" i="3"/>
  <c r="N44" i="3"/>
  <c r="N58" i="3"/>
  <c r="N65" i="3"/>
  <c r="N83" i="3"/>
  <c r="N97" i="3"/>
  <c r="N104" i="3"/>
  <c r="N119" i="3"/>
  <c r="N153" i="3"/>
  <c r="N217" i="3"/>
  <c r="N234" i="3"/>
  <c r="N240" i="3"/>
  <c r="N257" i="3"/>
  <c r="N263" i="3"/>
  <c r="N269" i="3"/>
  <c r="N314" i="3"/>
  <c r="N320" i="3"/>
  <c r="N6" i="3"/>
  <c r="P11" i="3"/>
  <c r="P17" i="3"/>
  <c r="M26" i="3"/>
  <c r="P33" i="3"/>
  <c r="M44" i="3"/>
  <c r="M58" i="3"/>
  <c r="P65" i="3"/>
  <c r="M93" i="3"/>
  <c r="M97" i="3"/>
  <c r="M104" i="3"/>
  <c r="M119" i="3"/>
  <c r="P176" i="3"/>
  <c r="N218" i="3"/>
  <c r="N235" i="3"/>
  <c r="P240" i="3"/>
  <c r="N252" i="3"/>
  <c r="N264" i="3"/>
  <c r="N298" i="3"/>
  <c r="N315" i="3"/>
  <c r="P320" i="3"/>
  <c r="N12" i="3"/>
  <c r="N18" i="3"/>
  <c r="N23" i="3"/>
  <c r="N55" i="3"/>
  <c r="N136" i="3"/>
  <c r="M142" i="3"/>
  <c r="M171" i="3"/>
  <c r="M182" i="3"/>
  <c r="M206" i="3"/>
  <c r="N34" i="3"/>
  <c r="N41" i="3"/>
  <c r="N52" i="3"/>
  <c r="N66" i="3"/>
  <c r="N105" i="3"/>
  <c r="N143" i="3"/>
  <c r="N149" i="3"/>
  <c r="N155" i="3"/>
  <c r="N183" i="3"/>
  <c r="M195" i="3"/>
  <c r="N207" i="3"/>
  <c r="N213" i="3"/>
  <c r="N219" i="3"/>
  <c r="N247" i="3"/>
  <c r="N253" i="3"/>
  <c r="P264" i="3"/>
  <c r="N282" i="3"/>
  <c r="N292" i="3"/>
  <c r="N299" i="3"/>
  <c r="N327" i="3"/>
  <c r="M34" i="3"/>
  <c r="P41" i="3"/>
  <c r="M52" i="3"/>
  <c r="M66" i="3"/>
  <c r="M70" i="3"/>
  <c r="M105" i="3"/>
  <c r="N113" i="3"/>
  <c r="M155" i="3"/>
  <c r="M219" i="3"/>
  <c r="P224" i="3"/>
  <c r="N236" i="3"/>
  <c r="N248" i="3"/>
  <c r="M259" i="3"/>
  <c r="N277" i="3"/>
  <c r="N283" i="3"/>
  <c r="N288" i="3"/>
  <c r="M299" i="3"/>
  <c r="N259" i="3"/>
  <c r="N20" i="3"/>
  <c r="N28" i="3"/>
  <c r="M38" i="3"/>
  <c r="N60" i="3"/>
  <c r="M91" i="3"/>
  <c r="N132" i="3"/>
  <c r="N138" i="3"/>
  <c r="P144" i="3"/>
  <c r="M166" i="3"/>
  <c r="N179" i="3"/>
  <c r="P208" i="3"/>
  <c r="M230" i="3"/>
  <c r="N237" i="3"/>
  <c r="N243" i="3"/>
  <c r="P248" i="3"/>
  <c r="N266" i="3"/>
  <c r="N272" i="3"/>
  <c r="P288" i="3"/>
  <c r="N300" i="3"/>
  <c r="N311" i="3"/>
  <c r="N317" i="3"/>
  <c r="P328" i="3"/>
  <c r="N35" i="3"/>
  <c r="N53" i="3"/>
  <c r="N95" i="3"/>
  <c r="N99" i="3"/>
  <c r="N106" i="3"/>
  <c r="N167" i="3"/>
  <c r="N185" i="3"/>
  <c r="N197" i="3"/>
  <c r="N203" i="3"/>
  <c r="N231" i="3"/>
  <c r="N260" i="3"/>
  <c r="K16" i="1"/>
  <c r="J16" i="1"/>
  <c r="J58" i="1"/>
  <c r="K58" i="1"/>
  <c r="J71" i="1"/>
  <c r="K71" i="1"/>
  <c r="K104" i="1"/>
  <c r="J104" i="1"/>
  <c r="K115" i="1"/>
  <c r="J115" i="1"/>
  <c r="K38" i="1"/>
  <c r="J38" i="1"/>
  <c r="K60" i="1"/>
  <c r="J60" i="1"/>
  <c r="K93" i="1"/>
  <c r="J93" i="1"/>
  <c r="K122" i="1"/>
  <c r="J122" i="1"/>
  <c r="K257" i="1"/>
  <c r="J257" i="1"/>
  <c r="J18" i="1"/>
  <c r="K18" i="1"/>
  <c r="K27" i="1"/>
  <c r="J27" i="1"/>
  <c r="K31" i="1"/>
  <c r="J31" i="1"/>
  <c r="K45" i="1"/>
  <c r="J45" i="1"/>
  <c r="J49" i="1"/>
  <c r="K49" i="1"/>
  <c r="K80" i="1"/>
  <c r="J80" i="1"/>
  <c r="E82" i="1"/>
  <c r="F82" i="1" s="1"/>
  <c r="K91" i="1"/>
  <c r="J91" i="1"/>
  <c r="J102" i="1"/>
  <c r="K102" i="1"/>
  <c r="J111" i="1"/>
  <c r="K111" i="1"/>
  <c r="K131" i="1"/>
  <c r="J131" i="1"/>
  <c r="J161" i="1"/>
  <c r="K161" i="1"/>
  <c r="K193" i="1"/>
  <c r="J193" i="1"/>
  <c r="K259" i="1"/>
  <c r="J259" i="1"/>
  <c r="K69" i="1"/>
  <c r="J69" i="1"/>
  <c r="K109" i="1"/>
  <c r="J109" i="1"/>
  <c r="K142" i="1"/>
  <c r="J142" i="1"/>
  <c r="K240" i="1"/>
  <c r="J240" i="1"/>
  <c r="K89" i="1"/>
  <c r="J89" i="1"/>
  <c r="K76" i="1"/>
  <c r="J76" i="1"/>
  <c r="K43" i="1"/>
  <c r="J43" i="1"/>
  <c r="K61" i="1"/>
  <c r="J61" i="1"/>
  <c r="J65" i="1"/>
  <c r="K65" i="1"/>
  <c r="J100" i="1"/>
  <c r="K100" i="1"/>
  <c r="K275" i="1"/>
  <c r="J275" i="1"/>
  <c r="J129" i="1"/>
  <c r="K129" i="1"/>
  <c r="K8" i="1"/>
  <c r="J8" i="1"/>
  <c r="K87" i="1"/>
  <c r="J87" i="1"/>
  <c r="J92" i="1"/>
  <c r="K92" i="1"/>
  <c r="K96" i="1"/>
  <c r="J96" i="1"/>
  <c r="J105" i="1"/>
  <c r="K105" i="1"/>
  <c r="K114" i="1"/>
  <c r="J114" i="1"/>
  <c r="J121" i="1"/>
  <c r="K121" i="1"/>
  <c r="J155" i="1"/>
  <c r="K155" i="1"/>
  <c r="K163" i="1"/>
  <c r="J163" i="1"/>
  <c r="K41" i="1"/>
  <c r="J41" i="1"/>
  <c r="K238" i="1"/>
  <c r="J238" i="1"/>
  <c r="J34" i="1"/>
  <c r="K34" i="1"/>
  <c r="K63" i="1"/>
  <c r="J63" i="1"/>
  <c r="K72" i="1"/>
  <c r="J72" i="1"/>
  <c r="J19" i="1"/>
  <c r="K19" i="1"/>
  <c r="J26" i="1"/>
  <c r="K26" i="1"/>
  <c r="K30" i="1"/>
  <c r="J30" i="1"/>
  <c r="K39" i="1"/>
  <c r="J39" i="1"/>
  <c r="K48" i="1"/>
  <c r="J48" i="1"/>
  <c r="K57" i="1"/>
  <c r="J57" i="1"/>
  <c r="K85" i="1"/>
  <c r="J85" i="1"/>
  <c r="J123" i="1"/>
  <c r="K123" i="1"/>
  <c r="K56" i="1"/>
  <c r="J56" i="1"/>
  <c r="K14" i="1"/>
  <c r="J14" i="1"/>
  <c r="K21" i="1"/>
  <c r="J21" i="1"/>
  <c r="J52" i="1"/>
  <c r="K52" i="1"/>
  <c r="K6" i="1"/>
  <c r="J6" i="1"/>
  <c r="K12" i="1"/>
  <c r="J12" i="1"/>
  <c r="J50" i="1"/>
  <c r="K50" i="1"/>
  <c r="K70" i="1"/>
  <c r="J70" i="1"/>
  <c r="K77" i="1"/>
  <c r="J77" i="1"/>
  <c r="E83" i="1"/>
  <c r="F83" i="1" s="1"/>
  <c r="K94" i="1"/>
  <c r="J94" i="1"/>
  <c r="J112" i="1"/>
  <c r="K112" i="1"/>
  <c r="K125" i="1"/>
  <c r="J125" i="1"/>
  <c r="K25" i="1"/>
  <c r="J25" i="1"/>
  <c r="K5" i="1"/>
  <c r="J5" i="1"/>
  <c r="K78" i="1"/>
  <c r="J78" i="1"/>
  <c r="K206" i="1"/>
  <c r="J206" i="1"/>
  <c r="J4" i="1"/>
  <c r="K4" i="1"/>
  <c r="K24" i="1"/>
  <c r="J24" i="1"/>
  <c r="K37" i="1"/>
  <c r="J37" i="1"/>
  <c r="K68" i="1"/>
  <c r="J68" i="1"/>
  <c r="K90" i="1"/>
  <c r="J90" i="1"/>
  <c r="K101" i="1"/>
  <c r="J101" i="1"/>
  <c r="K110" i="1"/>
  <c r="J110" i="1"/>
  <c r="K119" i="1"/>
  <c r="J119" i="1"/>
  <c r="K160" i="1"/>
  <c r="J160" i="1"/>
  <c r="K192" i="1"/>
  <c r="J192" i="1"/>
  <c r="J267" i="1"/>
  <c r="K267" i="1"/>
  <c r="J7" i="1"/>
  <c r="K7" i="1"/>
  <c r="J74" i="1"/>
  <c r="K74" i="1"/>
  <c r="K81" i="1"/>
  <c r="J81" i="1"/>
  <c r="K46" i="1"/>
  <c r="J46" i="1"/>
  <c r="K64" i="1"/>
  <c r="J64" i="1"/>
  <c r="K224" i="1"/>
  <c r="J224" i="1"/>
  <c r="J235" i="1"/>
  <c r="K235" i="1"/>
  <c r="J33" i="1"/>
  <c r="K33" i="1"/>
  <c r="K47" i="1"/>
  <c r="J47" i="1"/>
  <c r="K98" i="1"/>
  <c r="J98" i="1"/>
  <c r="J3" i="1"/>
  <c r="K3" i="1"/>
  <c r="K32" i="1"/>
  <c r="J32" i="1"/>
  <c r="J17" i="1"/>
  <c r="K17" i="1"/>
  <c r="J42" i="1"/>
  <c r="K42" i="1"/>
  <c r="K22" i="1"/>
  <c r="J22" i="1"/>
  <c r="K28" i="1"/>
  <c r="J28" i="1"/>
  <c r="J66" i="1"/>
  <c r="K66" i="1"/>
  <c r="K75" i="1"/>
  <c r="J75" i="1"/>
  <c r="K88" i="1"/>
  <c r="J88" i="1"/>
  <c r="K95" i="1"/>
  <c r="J95" i="1"/>
  <c r="J99" i="1"/>
  <c r="K99" i="1"/>
  <c r="K62" i="1"/>
  <c r="J62" i="1"/>
  <c r="K84" i="1"/>
  <c r="J84" i="1"/>
  <c r="J251" i="1"/>
  <c r="K251" i="1"/>
  <c r="J10" i="1"/>
  <c r="K10" i="1"/>
  <c r="K79" i="1"/>
  <c r="J79" i="1"/>
  <c r="K103" i="1"/>
  <c r="J103" i="1"/>
  <c r="K9" i="1"/>
  <c r="J9" i="1"/>
  <c r="K55" i="1"/>
  <c r="J55" i="1"/>
  <c r="J11" i="1"/>
  <c r="K11" i="1"/>
  <c r="J15" i="1"/>
  <c r="K15" i="1"/>
  <c r="K29" i="1"/>
  <c r="J29" i="1"/>
  <c r="K44" i="1"/>
  <c r="J44" i="1"/>
  <c r="K73" i="1"/>
  <c r="J73" i="1"/>
  <c r="K97" i="1"/>
  <c r="J97" i="1"/>
  <c r="K106" i="1"/>
  <c r="J106" i="1"/>
  <c r="K158" i="1"/>
  <c r="J158" i="1"/>
  <c r="K190" i="1"/>
  <c r="J190" i="1"/>
  <c r="J51" i="1"/>
  <c r="K51" i="1"/>
  <c r="K36" i="1"/>
  <c r="J36" i="1"/>
  <c r="K120" i="1"/>
  <c r="J120" i="1"/>
  <c r="K23" i="1"/>
  <c r="J23" i="1"/>
  <c r="K67" i="1"/>
  <c r="J67" i="1"/>
  <c r="K54" i="1"/>
  <c r="J54" i="1"/>
  <c r="K107" i="1"/>
  <c r="J107" i="1"/>
  <c r="K13" i="1"/>
  <c r="J13" i="1"/>
  <c r="K59" i="1"/>
  <c r="J59" i="1"/>
  <c r="K243" i="1"/>
  <c r="J243" i="1"/>
  <c r="J35" i="1"/>
  <c r="K35" i="1"/>
  <c r="K2" i="1"/>
  <c r="J2" i="1"/>
  <c r="K20" i="1"/>
  <c r="J20" i="1"/>
  <c r="K40" i="1"/>
  <c r="J40" i="1"/>
  <c r="K53" i="1"/>
  <c r="J53" i="1"/>
  <c r="K86" i="1"/>
  <c r="J86" i="1"/>
  <c r="K124" i="1"/>
  <c r="J124" i="1"/>
  <c r="J174" i="1"/>
  <c r="K276" i="1"/>
  <c r="J276" i="1"/>
  <c r="J126" i="1"/>
  <c r="K137" i="1"/>
  <c r="J137" i="1"/>
  <c r="J141" i="1"/>
  <c r="K147" i="1"/>
  <c r="J147" i="1"/>
  <c r="K166" i="1"/>
  <c r="J166" i="1"/>
  <c r="K172" i="1"/>
  <c r="J172" i="1"/>
  <c r="K178" i="1"/>
  <c r="J178" i="1"/>
  <c r="K182" i="1"/>
  <c r="J182" i="1"/>
  <c r="K203" i="1"/>
  <c r="J205" i="1"/>
  <c r="K209" i="1"/>
  <c r="J209" i="1"/>
  <c r="K215" i="1"/>
  <c r="J215" i="1"/>
  <c r="K217" i="1"/>
  <c r="J217" i="1"/>
  <c r="K247" i="1"/>
  <c r="J247" i="1"/>
  <c r="J116" i="1"/>
  <c r="J135" i="1"/>
  <c r="K162" i="1"/>
  <c r="J162" i="1"/>
  <c r="K211" i="1"/>
  <c r="J211" i="1"/>
  <c r="E133" i="1"/>
  <c r="F133" i="1" s="1"/>
  <c r="K145" i="1"/>
  <c r="E176" i="1"/>
  <c r="F176" i="1" s="1"/>
  <c r="K239" i="1"/>
  <c r="J239" i="1"/>
  <c r="J270" i="1"/>
  <c r="K195" i="1"/>
  <c r="J195" i="1"/>
  <c r="K223" i="1"/>
  <c r="J223" i="1"/>
  <c r="K274" i="1"/>
  <c r="J274" i="1"/>
  <c r="E139" i="1"/>
  <c r="F139" i="1" s="1"/>
  <c r="K187" i="1"/>
  <c r="J189" i="1"/>
  <c r="K199" i="1"/>
  <c r="J199" i="1"/>
  <c r="E201" i="1"/>
  <c r="F201" i="1" s="1"/>
  <c r="J232" i="1"/>
  <c r="K260" i="1"/>
  <c r="J260" i="1"/>
  <c r="K268" i="1"/>
  <c r="J268" i="1"/>
  <c r="K194" i="1"/>
  <c r="J194" i="1"/>
  <c r="K233" i="1"/>
  <c r="J233" i="1"/>
  <c r="K241" i="1"/>
  <c r="J241" i="1"/>
  <c r="E113" i="1"/>
  <c r="F113" i="1" s="1"/>
  <c r="E143" i="1"/>
  <c r="F143" i="1" s="1"/>
  <c r="E153" i="1"/>
  <c r="F153" i="1" s="1"/>
  <c r="J157" i="1"/>
  <c r="K207" i="1"/>
  <c r="J207" i="1"/>
  <c r="K244" i="1"/>
  <c r="J244" i="1"/>
  <c r="K256" i="1"/>
  <c r="J256" i="1"/>
  <c r="E264" i="1"/>
  <c r="F264" i="1" s="1"/>
  <c r="E280" i="1"/>
  <c r="F280" i="1" s="1"/>
  <c r="J280" i="1" s="1"/>
  <c r="J221" i="1"/>
  <c r="K231" i="1"/>
  <c r="J231" i="1"/>
  <c r="K108" i="1"/>
  <c r="E118" i="1"/>
  <c r="F118" i="1" s="1"/>
  <c r="E128" i="1"/>
  <c r="F128" i="1" s="1"/>
  <c r="E149" i="1"/>
  <c r="F149" i="1" s="1"/>
  <c r="K179" i="1"/>
  <c r="J179" i="1"/>
  <c r="K181" i="1"/>
  <c r="J216" i="1"/>
  <c r="K218" i="1"/>
  <c r="K228" i="1"/>
  <c r="J228" i="1"/>
  <c r="E248" i="1"/>
  <c r="F248" i="1" s="1"/>
  <c r="J254" i="1"/>
  <c r="E262" i="1"/>
  <c r="F262" i="1" s="1"/>
  <c r="E272" i="1"/>
  <c r="F272" i="1" s="1"/>
  <c r="E130" i="1"/>
  <c r="F130" i="1" s="1"/>
  <c r="K177" i="1"/>
  <c r="J177" i="1"/>
  <c r="K183" i="1"/>
  <c r="J183" i="1"/>
  <c r="K185" i="1"/>
  <c r="J185" i="1"/>
  <c r="K246" i="1"/>
  <c r="J246" i="1"/>
  <c r="K252" i="1"/>
  <c r="J252" i="1"/>
  <c r="K258" i="1"/>
  <c r="J258" i="1"/>
  <c r="E286" i="1"/>
  <c r="F286" i="1" s="1"/>
  <c r="J286" i="1" s="1"/>
  <c r="K138" i="1"/>
  <c r="K167" i="1"/>
  <c r="J167" i="1"/>
  <c r="K169" i="1"/>
  <c r="J169" i="1"/>
  <c r="K191" i="1"/>
  <c r="J191" i="1"/>
  <c r="K202" i="1"/>
  <c r="K212" i="1"/>
  <c r="J212" i="1"/>
  <c r="J222" i="1"/>
  <c r="K230" i="1"/>
  <c r="J230" i="1"/>
  <c r="K236" i="1"/>
  <c r="J236" i="1"/>
  <c r="K242" i="1"/>
  <c r="J242" i="1"/>
  <c r="E134" i="1"/>
  <c r="F134" i="1" s="1"/>
  <c r="E159" i="1"/>
  <c r="F159" i="1" s="1"/>
  <c r="K220" i="1"/>
  <c r="J220" i="1"/>
  <c r="K226" i="1"/>
  <c r="J226" i="1"/>
  <c r="J269" i="1"/>
  <c r="K273" i="1"/>
  <c r="J273" i="1"/>
  <c r="E136" i="1"/>
  <c r="F136" i="1" s="1"/>
  <c r="E214" i="1"/>
  <c r="F214" i="1" s="1"/>
  <c r="K180" i="1"/>
  <c r="J180" i="1"/>
  <c r="K249" i="1"/>
  <c r="J249" i="1"/>
  <c r="K156" i="1"/>
  <c r="J156" i="1"/>
  <c r="K225" i="1"/>
  <c r="J225" i="1"/>
  <c r="E140" i="1"/>
  <c r="F140" i="1" s="1"/>
  <c r="J152" i="1"/>
  <c r="E165" i="1"/>
  <c r="F165" i="1" s="1"/>
  <c r="K175" i="1"/>
  <c r="J175" i="1"/>
  <c r="K186" i="1"/>
  <c r="K196" i="1"/>
  <c r="J196" i="1"/>
  <c r="K204" i="1"/>
  <c r="J204" i="1"/>
  <c r="K210" i="1"/>
  <c r="J210" i="1"/>
  <c r="K188" i="1"/>
  <c r="J188" i="1"/>
  <c r="K227" i="1"/>
  <c r="J227" i="1"/>
  <c r="K255" i="1"/>
  <c r="J255" i="1"/>
  <c r="E144" i="1"/>
  <c r="F144" i="1" s="1"/>
  <c r="E146" i="1"/>
  <c r="F146" i="1" s="1"/>
  <c r="K154" i="1"/>
  <c r="J184" i="1"/>
  <c r="E200" i="1"/>
  <c r="F200" i="1" s="1"/>
  <c r="E208" i="1"/>
  <c r="F208" i="1" s="1"/>
  <c r="K261" i="1"/>
  <c r="E265" i="1"/>
  <c r="F265" i="1" s="1"/>
  <c r="E271" i="1"/>
  <c r="F271" i="1" s="1"/>
  <c r="E289" i="1"/>
  <c r="F289" i="1" s="1"/>
  <c r="J289" i="1" s="1"/>
  <c r="K219" i="1"/>
  <c r="E117" i="1"/>
  <c r="F117" i="1" s="1"/>
  <c r="E127" i="1"/>
  <c r="F127" i="1" s="1"/>
  <c r="E150" i="1"/>
  <c r="F150" i="1" s="1"/>
  <c r="J168" i="1"/>
  <c r="E198" i="1"/>
  <c r="F198" i="1" s="1"/>
  <c r="K245" i="1"/>
  <c r="K263" i="1"/>
  <c r="J263" i="1"/>
  <c r="P148" i="3"/>
  <c r="M148" i="3"/>
  <c r="P178" i="3"/>
  <c r="M178" i="3"/>
  <c r="P212" i="3"/>
  <c r="M212" i="3"/>
  <c r="P239" i="3"/>
  <c r="M239" i="3"/>
  <c r="N274" i="3"/>
  <c r="P303" i="3"/>
  <c r="M303" i="3"/>
  <c r="N313" i="3"/>
  <c r="M4" i="3"/>
  <c r="M12" i="3"/>
  <c r="M20" i="3"/>
  <c r="M83" i="3"/>
  <c r="P127" i="3"/>
  <c r="M127" i="3"/>
  <c r="N144" i="3"/>
  <c r="N148" i="3"/>
  <c r="P157" i="3"/>
  <c r="M157" i="3"/>
  <c r="P161" i="3"/>
  <c r="M161" i="3"/>
  <c r="N178" i="3"/>
  <c r="P191" i="3"/>
  <c r="M191" i="3"/>
  <c r="N208" i="3"/>
  <c r="N212" i="3"/>
  <c r="P221" i="3"/>
  <c r="M221" i="3"/>
  <c r="P225" i="3"/>
  <c r="M225" i="3"/>
  <c r="N239" i="3"/>
  <c r="P249" i="3"/>
  <c r="M249" i="3"/>
  <c r="M254" i="3"/>
  <c r="P274" i="3"/>
  <c r="M274" i="3"/>
  <c r="P313" i="3"/>
  <c r="M313" i="3"/>
  <c r="P140" i="3"/>
  <c r="M140" i="3"/>
  <c r="P170" i="3"/>
  <c r="M170" i="3"/>
  <c r="P204" i="3"/>
  <c r="M204" i="3"/>
  <c r="P279" i="3"/>
  <c r="M279" i="3"/>
  <c r="N318" i="3"/>
  <c r="M7" i="3"/>
  <c r="M15" i="3"/>
  <c r="M110" i="3"/>
  <c r="P149" i="3"/>
  <c r="M149" i="3"/>
  <c r="P153" i="3"/>
  <c r="M153" i="3"/>
  <c r="P183" i="3"/>
  <c r="M183" i="3"/>
  <c r="P213" i="3"/>
  <c r="M213" i="3"/>
  <c r="P217" i="3"/>
  <c r="M217" i="3"/>
  <c r="P226" i="3"/>
  <c r="M226" i="3"/>
  <c r="P250" i="3"/>
  <c r="M250" i="3"/>
  <c r="P289" i="3"/>
  <c r="M289" i="3"/>
  <c r="M294" i="3"/>
  <c r="P314" i="3"/>
  <c r="M314" i="3"/>
  <c r="P132" i="3"/>
  <c r="M132" i="3"/>
  <c r="P136" i="3"/>
  <c r="P162" i="3"/>
  <c r="M162" i="3"/>
  <c r="P196" i="3"/>
  <c r="M196" i="3"/>
  <c r="P200" i="3"/>
  <c r="P255" i="3"/>
  <c r="M255" i="3"/>
  <c r="P319" i="3"/>
  <c r="M319" i="3"/>
  <c r="M2" i="3"/>
  <c r="M10" i="3"/>
  <c r="M18" i="3"/>
  <c r="M75" i="3"/>
  <c r="P141" i="3"/>
  <c r="M141" i="3"/>
  <c r="P145" i="3"/>
  <c r="M145" i="3"/>
  <c r="P175" i="3"/>
  <c r="M175" i="3"/>
  <c r="P205" i="3"/>
  <c r="M205" i="3"/>
  <c r="P209" i="3"/>
  <c r="M209" i="3"/>
  <c r="P231" i="3"/>
  <c r="M231" i="3"/>
  <c r="P265" i="3"/>
  <c r="M265" i="3"/>
  <c r="M270" i="3"/>
  <c r="P290" i="3"/>
  <c r="M290" i="3"/>
  <c r="P124" i="3"/>
  <c r="M124" i="3"/>
  <c r="P128" i="3"/>
  <c r="P154" i="3"/>
  <c r="M154" i="3"/>
  <c r="P188" i="3"/>
  <c r="M188" i="3"/>
  <c r="P192" i="3"/>
  <c r="P218" i="3"/>
  <c r="M218" i="3"/>
  <c r="N270" i="3"/>
  <c r="P295" i="3"/>
  <c r="M295" i="3"/>
  <c r="M5" i="3"/>
  <c r="M13" i="3"/>
  <c r="M96" i="3"/>
  <c r="M99" i="3"/>
  <c r="N124" i="3"/>
  <c r="P133" i="3"/>
  <c r="M133" i="3"/>
  <c r="P137" i="3"/>
  <c r="M137" i="3"/>
  <c r="N154" i="3"/>
  <c r="P167" i="3"/>
  <c r="M167" i="3"/>
  <c r="N184" i="3"/>
  <c r="N188" i="3"/>
  <c r="P197" i="3"/>
  <c r="M197" i="3"/>
  <c r="P201" i="3"/>
  <c r="M201" i="3"/>
  <c r="P241" i="3"/>
  <c r="M241" i="3"/>
  <c r="M246" i="3"/>
  <c r="P266" i="3"/>
  <c r="M266" i="3"/>
  <c r="P305" i="3"/>
  <c r="M305" i="3"/>
  <c r="M310" i="3"/>
  <c r="N70" i="3"/>
  <c r="N96" i="3"/>
  <c r="P146" i="3"/>
  <c r="M146" i="3"/>
  <c r="P180" i="3"/>
  <c r="M180" i="3"/>
  <c r="P184" i="3"/>
  <c r="P210" i="3"/>
  <c r="M210" i="3"/>
  <c r="N242" i="3"/>
  <c r="N246" i="3"/>
  <c r="P271" i="3"/>
  <c r="M271" i="3"/>
  <c r="N281" i="3"/>
  <c r="N306" i="3"/>
  <c r="M8" i="3"/>
  <c r="M16" i="3"/>
  <c r="N76" i="3"/>
  <c r="P125" i="3"/>
  <c r="M125" i="3"/>
  <c r="P129" i="3"/>
  <c r="M129" i="3"/>
  <c r="P159" i="3"/>
  <c r="M159" i="3"/>
  <c r="P189" i="3"/>
  <c r="M189" i="3"/>
  <c r="P193" i="3"/>
  <c r="M193" i="3"/>
  <c r="P223" i="3"/>
  <c r="M223" i="3"/>
  <c r="P242" i="3"/>
  <c r="M242" i="3"/>
  <c r="P281" i="3"/>
  <c r="M281" i="3"/>
  <c r="P306" i="3"/>
  <c r="M306" i="3"/>
  <c r="P138" i="3"/>
  <c r="M138" i="3"/>
  <c r="P172" i="3"/>
  <c r="M172" i="3"/>
  <c r="P202" i="3"/>
  <c r="M202" i="3"/>
  <c r="P247" i="3"/>
  <c r="M247" i="3"/>
  <c r="P311" i="3"/>
  <c r="M311" i="3"/>
  <c r="M76" i="3"/>
  <c r="P121" i="3"/>
  <c r="M121" i="3"/>
  <c r="P151" i="3"/>
  <c r="M151" i="3"/>
  <c r="P181" i="3"/>
  <c r="M181" i="3"/>
  <c r="P185" i="3"/>
  <c r="M185" i="3"/>
  <c r="P215" i="3"/>
  <c r="M215" i="3"/>
  <c r="P257" i="3"/>
  <c r="M257" i="3"/>
  <c r="M262" i="3"/>
  <c r="P282" i="3"/>
  <c r="M282" i="3"/>
  <c r="P321" i="3"/>
  <c r="M321" i="3"/>
  <c r="P130" i="3"/>
  <c r="M130" i="3"/>
  <c r="P164" i="3"/>
  <c r="M164" i="3"/>
  <c r="P168" i="3"/>
  <c r="P194" i="3"/>
  <c r="M194" i="3"/>
  <c r="P233" i="3"/>
  <c r="M233" i="3"/>
  <c r="N258" i="3"/>
  <c r="P287" i="3"/>
  <c r="M287" i="3"/>
  <c r="N297" i="3"/>
  <c r="N322" i="3"/>
  <c r="P143" i="3"/>
  <c r="M143" i="3"/>
  <c r="P173" i="3"/>
  <c r="M173" i="3"/>
  <c r="P177" i="3"/>
  <c r="M177" i="3"/>
  <c r="P207" i="3"/>
  <c r="M207" i="3"/>
  <c r="P258" i="3"/>
  <c r="M258" i="3"/>
  <c r="P297" i="3"/>
  <c r="M297" i="3"/>
  <c r="P322" i="3"/>
  <c r="M322" i="3"/>
  <c r="P122" i="3"/>
  <c r="M122" i="3"/>
  <c r="M126" i="3"/>
  <c r="P156" i="3"/>
  <c r="M156" i="3"/>
  <c r="P160" i="3"/>
  <c r="P186" i="3"/>
  <c r="M186" i="3"/>
  <c r="M190" i="3"/>
  <c r="P220" i="3"/>
  <c r="M220" i="3"/>
  <c r="P229" i="3"/>
  <c r="M229" i="3"/>
  <c r="P234" i="3"/>
  <c r="M234" i="3"/>
  <c r="P263" i="3"/>
  <c r="M263" i="3"/>
  <c r="P135" i="3"/>
  <c r="M135" i="3"/>
  <c r="P165" i="3"/>
  <c r="M165" i="3"/>
  <c r="P169" i="3"/>
  <c r="M169" i="3"/>
  <c r="P199" i="3"/>
  <c r="M199" i="3"/>
  <c r="P273" i="3"/>
  <c r="M273" i="3"/>
  <c r="M278" i="3"/>
  <c r="P298" i="3"/>
  <c r="M298" i="3"/>
  <c r="M326" i="3"/>
  <c r="M228" i="3"/>
  <c r="M236" i="3"/>
  <c r="M244" i="3"/>
  <c r="M252" i="3"/>
  <c r="M260" i="3"/>
  <c r="M268" i="3"/>
  <c r="M276" i="3"/>
  <c r="M284" i="3"/>
  <c r="M292" i="3"/>
  <c r="M300" i="3"/>
  <c r="M308" i="3"/>
  <c r="M316" i="3"/>
  <c r="M324" i="3"/>
  <c r="M327" i="3"/>
  <c r="M237" i="3"/>
  <c r="M245" i="3"/>
  <c r="M253" i="3"/>
  <c r="M261" i="3"/>
  <c r="M269" i="3"/>
  <c r="M277" i="3"/>
  <c r="M285" i="3"/>
  <c r="M293" i="3"/>
  <c r="M301" i="3"/>
  <c r="M309" i="3"/>
  <c r="M317" i="3"/>
  <c r="M325" i="3"/>
  <c r="K265" i="1" l="1"/>
  <c r="J265" i="1"/>
  <c r="K208" i="1"/>
  <c r="J208" i="1"/>
  <c r="K214" i="1"/>
  <c r="J214" i="1"/>
  <c r="K200" i="1"/>
  <c r="J200" i="1"/>
  <c r="K136" i="1"/>
  <c r="J136" i="1"/>
  <c r="K176" i="1"/>
  <c r="J176" i="1"/>
  <c r="K201" i="1"/>
  <c r="J201" i="1"/>
  <c r="K146" i="1"/>
  <c r="J146" i="1"/>
  <c r="J133" i="1"/>
  <c r="K133" i="1"/>
  <c r="K144" i="1"/>
  <c r="J144" i="1"/>
  <c r="J165" i="1"/>
  <c r="K165" i="1"/>
  <c r="J149" i="1"/>
  <c r="K149" i="1"/>
  <c r="K153" i="1"/>
  <c r="J153" i="1"/>
  <c r="K198" i="1"/>
  <c r="J198" i="1"/>
  <c r="J128" i="1"/>
  <c r="K128" i="1"/>
  <c r="K143" i="1"/>
  <c r="J143" i="1"/>
  <c r="K140" i="1"/>
  <c r="J140" i="1"/>
  <c r="K118" i="1"/>
  <c r="J118" i="1"/>
  <c r="K113" i="1"/>
  <c r="J113" i="1"/>
  <c r="K150" i="1"/>
  <c r="J150" i="1"/>
  <c r="J139" i="1"/>
  <c r="K139" i="1"/>
  <c r="K83" i="1"/>
  <c r="J83" i="1"/>
  <c r="J127" i="1"/>
  <c r="K127" i="1"/>
  <c r="K159" i="1"/>
  <c r="J159" i="1"/>
  <c r="K130" i="1"/>
  <c r="J130" i="1"/>
  <c r="K117" i="1"/>
  <c r="J117" i="1"/>
  <c r="K134" i="1"/>
  <c r="J134" i="1"/>
  <c r="K272" i="1"/>
  <c r="J272" i="1"/>
  <c r="K262" i="1"/>
  <c r="J262" i="1"/>
  <c r="K271" i="1"/>
  <c r="J271" i="1"/>
  <c r="K248" i="1"/>
  <c r="J248" i="1"/>
  <c r="K264" i="1"/>
  <c r="J264" i="1"/>
  <c r="K82" i="1"/>
  <c r="J82" i="1"/>
</calcChain>
</file>

<file path=xl/sharedStrings.xml><?xml version="1.0" encoding="utf-8"?>
<sst xmlns="http://schemas.openxmlformats.org/spreadsheetml/2006/main" count="4065" uniqueCount="514">
  <si>
    <t>Building</t>
  </si>
  <si>
    <t>Names</t>
  </si>
  <si>
    <t>Unlocked Level</t>
  </si>
  <si>
    <t>Max Price (stacks of 10)</t>
  </si>
  <si>
    <t>Ingredients Price</t>
  </si>
  <si>
    <t>Value Added (stacks of 10)</t>
  </si>
  <si>
    <t>XP</t>
  </si>
  <si>
    <t>Default Time</t>
  </si>
  <si>
    <t>Boosted Time</t>
  </si>
  <si>
    <t>Value/Hour (Default Time)</t>
  </si>
  <si>
    <t>Value/Hour (Boosted Time)</t>
  </si>
  <si>
    <t>XP/Hour (Default Time)</t>
  </si>
  <si>
    <t>XP/Hour (Boosted Time)</t>
  </si>
  <si>
    <t>#</t>
  </si>
  <si>
    <t>Ingredient 1</t>
  </si>
  <si>
    <t>Price</t>
  </si>
  <si>
    <t>Ingredient 2</t>
  </si>
  <si>
    <t>Ingredient 3</t>
  </si>
  <si>
    <t>Ingredient 4</t>
  </si>
  <si>
    <t>Ingredient 5</t>
  </si>
  <si>
    <t>Bakery</t>
  </si>
  <si>
    <t>Bread</t>
  </si>
  <si>
    <t>Wheat</t>
  </si>
  <si>
    <t>None</t>
  </si>
  <si>
    <t>Corn Bread</t>
  </si>
  <si>
    <t>Corn</t>
  </si>
  <si>
    <t>Egg</t>
  </si>
  <si>
    <t>Cookie</t>
  </si>
  <si>
    <t>Brown Sugar</t>
  </si>
  <si>
    <t>Raspberry Muffin</t>
  </si>
  <si>
    <t>Raspberry</t>
  </si>
  <si>
    <t>Blackberry Muffin</t>
  </si>
  <si>
    <t>Blackberry</t>
  </si>
  <si>
    <t>Pizza</t>
  </si>
  <si>
    <t>Tomato</t>
  </si>
  <si>
    <t>Cheese</t>
  </si>
  <si>
    <t>Spicy Pizza</t>
  </si>
  <si>
    <t>Chili Pepper</t>
  </si>
  <si>
    <t>Potato Bread</t>
  </si>
  <si>
    <t>Potato</t>
  </si>
  <si>
    <t>White Sugar</t>
  </si>
  <si>
    <t>Butter</t>
  </si>
  <si>
    <t>Frutti di Mare Pizza</t>
  </si>
  <si>
    <t>Fish Fillet</t>
  </si>
  <si>
    <t>Lobster Tail</t>
  </si>
  <si>
    <t>Gingerbread Cookie</t>
  </si>
  <si>
    <t>Ginger</t>
  </si>
  <si>
    <t>Syrup</t>
  </si>
  <si>
    <t>Banana Bread</t>
  </si>
  <si>
    <t>Grapes</t>
  </si>
  <si>
    <t>Banana</t>
  </si>
  <si>
    <t>Bath Kiosk</t>
  </si>
  <si>
    <t>Honey Soap</t>
  </si>
  <si>
    <t>Goat Milk</t>
  </si>
  <si>
    <t>Cacao</t>
  </si>
  <si>
    <t>Honeycomb</t>
  </si>
  <si>
    <t>Lemon Lotion</t>
  </si>
  <si>
    <t>Olive Oil</t>
  </si>
  <si>
    <t>Lemon</t>
  </si>
  <si>
    <t>Exfoliating Soap</t>
  </si>
  <si>
    <t>Coffee Bean</t>
  </si>
  <si>
    <t>Honey Face Mask</t>
  </si>
  <si>
    <t>Honey</t>
  </si>
  <si>
    <t>BBQ Grill</t>
  </si>
  <si>
    <t>Pancake</t>
  </si>
  <si>
    <t>Bacon and Eggs</t>
  </si>
  <si>
    <t>Bacon</t>
  </si>
  <si>
    <t>Hamburger</t>
  </si>
  <si>
    <t>Fish Burger</t>
  </si>
  <si>
    <t>Roasted Tomatoes</t>
  </si>
  <si>
    <t>Baked Potato</t>
  </si>
  <si>
    <t>Cream</t>
  </si>
  <si>
    <t>Fish and Chips</t>
  </si>
  <si>
    <t>Lobster Skewer</t>
  </si>
  <si>
    <t>Garlic Bread</t>
  </si>
  <si>
    <t>Garlic</t>
  </si>
  <si>
    <t>Grilled Onion</t>
  </si>
  <si>
    <t>Onion</t>
  </si>
  <si>
    <t>Winter Veggies</t>
  </si>
  <si>
    <t>Beetroot</t>
  </si>
  <si>
    <t>Carrot</t>
  </si>
  <si>
    <t>Pumpkin</t>
  </si>
  <si>
    <t>Stuffed Peppers</t>
  </si>
  <si>
    <t>Bell Pepper</t>
  </si>
  <si>
    <t>Rice</t>
  </si>
  <si>
    <t>Grilled Eggplant</t>
  </si>
  <si>
    <t>Eggplant</t>
  </si>
  <si>
    <t>Salsa</t>
  </si>
  <si>
    <t>Banana Pancakes</t>
  </si>
  <si>
    <t>Fish Skewer</t>
  </si>
  <si>
    <t>Mushroom</t>
  </si>
  <si>
    <t>Sesame</t>
  </si>
  <si>
    <t>Cake Oven</t>
  </si>
  <si>
    <t>Carrot Cake</t>
  </si>
  <si>
    <t>Red Berry Cake</t>
  </si>
  <si>
    <t>Milk</t>
  </si>
  <si>
    <t>Cherry</t>
  </si>
  <si>
    <t>Cream Cake</t>
  </si>
  <si>
    <t>Cheesecake</t>
  </si>
  <si>
    <t>Strawberry Cake</t>
  </si>
  <si>
    <t>Strawberry</t>
  </si>
  <si>
    <t>Chocolate Cake</t>
  </si>
  <si>
    <t>Potato Feta Cake</t>
  </si>
  <si>
    <t>Goat Cheese</t>
  </si>
  <si>
    <t>Honey Apple Cake</t>
  </si>
  <si>
    <t>Apple</t>
  </si>
  <si>
    <t>Fancy Cake</t>
  </si>
  <si>
    <t>Lily</t>
  </si>
  <si>
    <t>Gold Ore</t>
  </si>
  <si>
    <t>Pineapple Cake</t>
  </si>
  <si>
    <t>Pineapple</t>
  </si>
  <si>
    <t>Lemon Cake</t>
  </si>
  <si>
    <t>Lemon Curd</t>
  </si>
  <si>
    <t>Fruit Cake</t>
  </si>
  <si>
    <t>Orange</t>
  </si>
  <si>
    <t>Chocolate Roll</t>
  </si>
  <si>
    <t>Mint</t>
  </si>
  <si>
    <t>Candle Maker</t>
  </si>
  <si>
    <t>Strawberry Candle</t>
  </si>
  <si>
    <t>Beeswax</t>
  </si>
  <si>
    <t>Raspberry Candle</t>
  </si>
  <si>
    <t>Lemon Candle</t>
  </si>
  <si>
    <t>Colorful Candles</t>
  </si>
  <si>
    <t>Floral Candle</t>
  </si>
  <si>
    <t>Indigo</t>
  </si>
  <si>
    <t>Peony</t>
  </si>
  <si>
    <t>Sunflower</t>
  </si>
  <si>
    <t>Candy Machine</t>
  </si>
  <si>
    <t>Caramel Apple</t>
  </si>
  <si>
    <t>Toffee</t>
  </si>
  <si>
    <t>Chocolate</t>
  </si>
  <si>
    <t>Lollipop</t>
  </si>
  <si>
    <t>Jelly Beans</t>
  </si>
  <si>
    <t>Raspberry Jam</t>
  </si>
  <si>
    <t>Blackberry Jam</t>
  </si>
  <si>
    <t>Honey Peanuts</t>
  </si>
  <si>
    <t>Peanut</t>
  </si>
  <si>
    <t>Cotton Candy</t>
  </si>
  <si>
    <t>Sesame Brittle</t>
  </si>
  <si>
    <t>Coffee Kiosk</t>
  </si>
  <si>
    <t>Espresso</t>
  </si>
  <si>
    <t>Caffè Latte</t>
  </si>
  <si>
    <t>Caffè Mocha</t>
  </si>
  <si>
    <t>Raspberry Mocha</t>
  </si>
  <si>
    <t>Hot Chocolate</t>
  </si>
  <si>
    <t>Caramel Latte</t>
  </si>
  <si>
    <t>Iced Banana Latte</t>
  </si>
  <si>
    <t>Dairy</t>
  </si>
  <si>
    <t>Deep Fryer</t>
  </si>
  <si>
    <t>Bacon Fries</t>
  </si>
  <si>
    <t>Hand Pies</t>
  </si>
  <si>
    <t>Apple Jam</t>
  </si>
  <si>
    <t>Chili Poppers</t>
  </si>
  <si>
    <t>Fried Candy Bar</t>
  </si>
  <si>
    <t>Donut Maker</t>
  </si>
  <si>
    <t>Plain Donut</t>
  </si>
  <si>
    <t>Sprinkled Donut</t>
  </si>
  <si>
    <t>Crunchy Donut</t>
  </si>
  <si>
    <t>Cream Donut</t>
  </si>
  <si>
    <t>Bacon Donut</t>
  </si>
  <si>
    <t>Filled Donut</t>
  </si>
  <si>
    <t>Feed Mill</t>
  </si>
  <si>
    <t>Chicken Feed</t>
  </si>
  <si>
    <t>Cow Feed</t>
  </si>
  <si>
    <t>Soybean</t>
  </si>
  <si>
    <t>Pig Feed</t>
  </si>
  <si>
    <t>Sheep Feed</t>
  </si>
  <si>
    <t>Goat Feed</t>
  </si>
  <si>
    <t>Wheat Bundle</t>
  </si>
  <si>
    <t>Flower Shop</t>
  </si>
  <si>
    <t>Rustic Bouquet</t>
  </si>
  <si>
    <t>Cotton</t>
  </si>
  <si>
    <t>Bright Bouquet</t>
  </si>
  <si>
    <t>Iron Ore</t>
  </si>
  <si>
    <t>Gracious Bouquet</t>
  </si>
  <si>
    <t>Cotton Fabric</t>
  </si>
  <si>
    <t>Diamond</t>
  </si>
  <si>
    <t>Candy Bouquet</t>
  </si>
  <si>
    <t>Birthday Bouquet</t>
  </si>
  <si>
    <t>Cherry Juice</t>
  </si>
  <si>
    <t>Soft Bouquet</t>
  </si>
  <si>
    <t>Veggie Bouquet</t>
  </si>
  <si>
    <t>Broccoli</t>
  </si>
  <si>
    <t>Fondue Pot</t>
  </si>
  <si>
    <t>Chocolate Fondue</t>
  </si>
  <si>
    <t>Bacon Fondue</t>
  </si>
  <si>
    <t>Cheese Fondue</t>
  </si>
  <si>
    <t>Hat Maker</t>
  </si>
  <si>
    <t>Cloche Hat</t>
  </si>
  <si>
    <t>Wool</t>
  </si>
  <si>
    <t>Top Hat</t>
  </si>
  <si>
    <t>Refined Coal</t>
  </si>
  <si>
    <t>Duck Feather</t>
  </si>
  <si>
    <t>Sun Hat</t>
  </si>
  <si>
    <t>Flower Crown</t>
  </si>
  <si>
    <t>Honey Extractor</t>
  </si>
  <si>
    <t>Hot Dog Stand</t>
  </si>
  <si>
    <t>Hot Dog</t>
  </si>
  <si>
    <t>Tomato Sauce</t>
  </si>
  <si>
    <t>Tofu Dog</t>
  </si>
  <si>
    <t>Lettuce</t>
  </si>
  <si>
    <t>Corn Dog</t>
  </si>
  <si>
    <t>Onion Dog</t>
  </si>
  <si>
    <t>Ice Cream Maker</t>
  </si>
  <si>
    <t>Vanilla Ice Cream</t>
  </si>
  <si>
    <t>Cherry Popsicle</t>
  </si>
  <si>
    <t>Strawberry Ice Cream</t>
  </si>
  <si>
    <t>Chocolate Ice Cream</t>
  </si>
  <si>
    <t>Sesame Ice Cream</t>
  </si>
  <si>
    <t>Peanut Butter Milkshake</t>
  </si>
  <si>
    <t>Orange Sorbet</t>
  </si>
  <si>
    <t>Affogato</t>
  </si>
  <si>
    <t>Peach Ice Cream</t>
  </si>
  <si>
    <t>Peach</t>
  </si>
  <si>
    <t>Mint Ice Cream</t>
  </si>
  <si>
    <t>Banana Split</t>
  </si>
  <si>
    <t>Jam Maker</t>
  </si>
  <si>
    <t>Cherry Jam</t>
  </si>
  <si>
    <t>Strawberry Jam</t>
  </si>
  <si>
    <t>Marmalade</t>
  </si>
  <si>
    <t>Peach Jam</t>
  </si>
  <si>
    <t>Grape Jam</t>
  </si>
  <si>
    <t>Plum Jam</t>
  </si>
  <si>
    <t>Plum</t>
  </si>
  <si>
    <t>Passion Fruit Jam</t>
  </si>
  <si>
    <t>Passion Fruit</t>
  </si>
  <si>
    <t>jeweler</t>
  </si>
  <si>
    <t>Bracelet</t>
  </si>
  <si>
    <t>Silver Bar</t>
  </si>
  <si>
    <t>Gold Bar</t>
  </si>
  <si>
    <t>Necklace</t>
  </si>
  <si>
    <t>Platinum Bar</t>
  </si>
  <si>
    <t>Diamond Ring</t>
  </si>
  <si>
    <t>Iron Bracelet</t>
  </si>
  <si>
    <t>Iron Bar</t>
  </si>
  <si>
    <t>Flower Pendant</t>
  </si>
  <si>
    <t>Juice Press</t>
  </si>
  <si>
    <t>Carrot Juice</t>
  </si>
  <si>
    <t>Apple Juice</t>
  </si>
  <si>
    <t>Tomato Juice</t>
  </si>
  <si>
    <t>Berry Juice</t>
  </si>
  <si>
    <t>Pineapple Juice</t>
  </si>
  <si>
    <t>Orange Juice</t>
  </si>
  <si>
    <t>Grape Juice</t>
  </si>
  <si>
    <t>Passion Fruit Juice</t>
  </si>
  <si>
    <t>Watermelon Juice</t>
  </si>
  <si>
    <t>Watermelon</t>
  </si>
  <si>
    <t>Loom</t>
  </si>
  <si>
    <t>Sweater</t>
  </si>
  <si>
    <t>Blue Woolly Hat</t>
  </si>
  <si>
    <t>Blue Sweater</t>
  </si>
  <si>
    <t>Red Scarf</t>
  </si>
  <si>
    <t>Flower Shawl</t>
  </si>
  <si>
    <t>Lure Workbench</t>
  </si>
  <si>
    <t>Red lure</t>
  </si>
  <si>
    <t>Green lure</t>
  </si>
  <si>
    <t>Blue lure</t>
  </si>
  <si>
    <t>Purple lure</t>
  </si>
  <si>
    <t>Gold lure</t>
  </si>
  <si>
    <t>Mine</t>
  </si>
  <si>
    <t>Silver Ore</t>
  </si>
  <si>
    <t>Platinum Ore</t>
  </si>
  <si>
    <t>Coal</t>
  </si>
  <si>
    <t>Net Maker</t>
  </si>
  <si>
    <t>Fishing Net</t>
  </si>
  <si>
    <t>Mystery Net</t>
  </si>
  <si>
    <t>Lobster Trap</t>
  </si>
  <si>
    <t>Duck Trap</t>
  </si>
  <si>
    <t>Pasta Kitchen</t>
  </si>
  <si>
    <t>Gnocchi</t>
  </si>
  <si>
    <t>Veggie Lasagna</t>
  </si>
  <si>
    <t>Fresh Pasta</t>
  </si>
  <si>
    <t>Lobster Pasta</t>
  </si>
  <si>
    <t>Pasta Carbonara</t>
  </si>
  <si>
    <t>Broccoli Pasta</t>
  </si>
  <si>
    <t>Spicy Pasta</t>
  </si>
  <si>
    <t>Mushroom Pasta</t>
  </si>
  <si>
    <t>Pasta Maker</t>
  </si>
  <si>
    <t>Rice Noodles</t>
  </si>
  <si>
    <t>Pie Oven</t>
  </si>
  <si>
    <t>Carrot Pie</t>
  </si>
  <si>
    <t>Pumpkin Pie</t>
  </si>
  <si>
    <t>Bacon Pie</t>
  </si>
  <si>
    <t>Apple Pie</t>
  </si>
  <si>
    <t>Fish Pie</t>
  </si>
  <si>
    <t>Feta Pie</t>
  </si>
  <si>
    <t>Casserole</t>
  </si>
  <si>
    <t>Shepherd's Pie</t>
  </si>
  <si>
    <t>Chocolate Pie</t>
  </si>
  <si>
    <t>Lemon Pie</t>
  </si>
  <si>
    <t>Peach Tart</t>
  </si>
  <si>
    <t>Passion Fruit Pie</t>
  </si>
  <si>
    <t>Mushroom Pot Pie</t>
  </si>
  <si>
    <t>Cabbage</t>
  </si>
  <si>
    <t>Eggplant Parmesan</t>
  </si>
  <si>
    <t>Popcorn Pot</t>
  </si>
  <si>
    <t>Popcorn</t>
  </si>
  <si>
    <t>Buttered Popcorn</t>
  </si>
  <si>
    <t>Chili Popcorn</t>
  </si>
  <si>
    <t>Honey Popcorn</t>
  </si>
  <si>
    <t>Chocolate Popcorn</t>
  </si>
  <si>
    <t>Snack Mix</t>
  </si>
  <si>
    <t>Pottery Studio</t>
  </si>
  <si>
    <t>Tea Pot</t>
  </si>
  <si>
    <t>??</t>
  </si>
  <si>
    <t>Clay</t>
  </si>
  <si>
    <t>Potted Plant</t>
  </si>
  <si>
    <t>Clay Mug</t>
  </si>
  <si>
    <t>Preservation Station</t>
  </si>
  <si>
    <t>Pickles</t>
  </si>
  <si>
    <t>Cucumber</t>
  </si>
  <si>
    <t>Canned Fish</t>
  </si>
  <si>
    <t>Kimchi</t>
  </si>
  <si>
    <t>Dried Fruit</t>
  </si>
  <si>
    <t>Salad Bar</t>
  </si>
  <si>
    <t>Feta Salad</t>
  </si>
  <si>
    <t>Olives</t>
  </si>
  <si>
    <t>BLT Salad</t>
  </si>
  <si>
    <t>Mayonnaise</t>
  </si>
  <si>
    <t>Seafood Salad</t>
  </si>
  <si>
    <t>Pasta Salad</t>
  </si>
  <si>
    <t>Veggie Platter</t>
  </si>
  <si>
    <t>Coleslaw</t>
  </si>
  <si>
    <t>Beetroot Salad</t>
  </si>
  <si>
    <t>Summer Rolls</t>
  </si>
  <si>
    <t>Fruit Salad</t>
  </si>
  <si>
    <t>Summer Salad</t>
  </si>
  <si>
    <t>Mushroom Salad</t>
  </si>
  <si>
    <t>Sandwich Bar</t>
  </si>
  <si>
    <t>Veggie Bagel</t>
  </si>
  <si>
    <t>Bacon Toast</t>
  </si>
  <si>
    <t>Egg Sandwich</t>
  </si>
  <si>
    <t>Honey Toast</t>
  </si>
  <si>
    <t>Peanut Butter and Jelly Sandwich</t>
  </si>
  <si>
    <t>Cucumber Sandwich</t>
  </si>
  <si>
    <t>Onion Melt</t>
  </si>
  <si>
    <t>Goat Cheese Toast</t>
  </si>
  <si>
    <t>Sauce Maker</t>
  </si>
  <si>
    <t>Soy Sauce</t>
  </si>
  <si>
    <t>Olive Dip</t>
  </si>
  <si>
    <t>Tart Dressing</t>
  </si>
  <si>
    <t>Sewing Machine</t>
  </si>
  <si>
    <t>Cotton Shirt</t>
  </si>
  <si>
    <t>Wooly Chaps</t>
  </si>
  <si>
    <t>Violet Dress</t>
  </si>
  <si>
    <t>Pillow</t>
  </si>
  <si>
    <t>Blanket</t>
  </si>
  <si>
    <t>Smelter</t>
  </si>
  <si>
    <t>Smoothie Mixer</t>
  </si>
  <si>
    <t>Berry Smoothie</t>
  </si>
  <si>
    <t>Green Smoothie</t>
  </si>
  <si>
    <t>Yogurt Smoothie</t>
  </si>
  <si>
    <t>Cucumber Smoothie</t>
  </si>
  <si>
    <t>Mixed Smoothie</t>
  </si>
  <si>
    <t>Black Sesame Smoothie</t>
  </si>
  <si>
    <t>Cocoa Smoothie</t>
  </si>
  <si>
    <t>Plum Smoothie</t>
  </si>
  <si>
    <t>Soup Kitchen</t>
  </si>
  <si>
    <t>Lobster Soup</t>
  </si>
  <si>
    <t>Tomato Soup</t>
  </si>
  <si>
    <t>Pumpkin Soup</t>
  </si>
  <si>
    <t>Fish Soup</t>
  </si>
  <si>
    <t>Cabbage Soup</t>
  </si>
  <si>
    <t>Onion Soup</t>
  </si>
  <si>
    <t>Noodle Soup</t>
  </si>
  <si>
    <t>Potato Soup</t>
  </si>
  <si>
    <t>Bell Pepper Soup</t>
  </si>
  <si>
    <t>Broccoli Soup</t>
  </si>
  <si>
    <t>Mushroom Soup</t>
  </si>
  <si>
    <t>Sugar Mill</t>
  </si>
  <si>
    <t>Sugar Cane</t>
  </si>
  <si>
    <t>Sushi Bar</t>
  </si>
  <si>
    <t>Sushi Roll</t>
  </si>
  <si>
    <t>Lobster Sushi</t>
  </si>
  <si>
    <t>Egg Sushi</t>
  </si>
  <si>
    <t>Big Sushi Roll</t>
  </si>
  <si>
    <t>Rice Ball</t>
  </si>
  <si>
    <t>Taco Kitchen</t>
  </si>
  <si>
    <t>Taco</t>
  </si>
  <si>
    <t>Fish Taco</t>
  </si>
  <si>
    <t>Quesadilla</t>
  </si>
  <si>
    <t>Nachos</t>
  </si>
  <si>
    <t>Tea Stand</t>
  </si>
  <si>
    <t>Green Tea</t>
  </si>
  <si>
    <t>Tea Leaf</t>
  </si>
  <si>
    <t>Milk Tea</t>
  </si>
  <si>
    <t>Honey Tea</t>
  </si>
  <si>
    <t>Lemon Tea</t>
  </si>
  <si>
    <t>Apple Ginger Tea</t>
  </si>
  <si>
    <t>Orange Tea</t>
  </si>
  <si>
    <t>Iced Tea</t>
  </si>
  <si>
    <t>Mint Tea</t>
  </si>
  <si>
    <t>Wok Kitchen</t>
  </si>
  <si>
    <t>Fried Rice</t>
  </si>
  <si>
    <t>Spicy Fish</t>
  </si>
  <si>
    <t>Peanut Noodles</t>
  </si>
  <si>
    <t>Tofu Stir Fry</t>
  </si>
  <si>
    <t>Animal</t>
  </si>
  <si>
    <t>Chicken</t>
  </si>
  <si>
    <t>Eggs</t>
  </si>
  <si>
    <t>Cow</t>
  </si>
  <si>
    <t>Pig</t>
  </si>
  <si>
    <t>Sheep</t>
  </si>
  <si>
    <t>Goat</t>
  </si>
  <si>
    <t>Goat's Milk</t>
  </si>
  <si>
    <t>Animal (make own feed)</t>
  </si>
  <si>
    <t>Item</t>
  </si>
  <si>
    <t>Price for 10</t>
  </si>
  <si>
    <t>?</t>
  </si>
  <si>
    <t>Pumpkins</t>
  </si>
  <si>
    <t>Production Category</t>
  </si>
  <si>
    <t>Product</t>
  </si>
  <si>
    <t>Level</t>
  </si>
  <si>
    <t>Default Price</t>
  </si>
  <si>
    <t>Max Price</t>
  </si>
  <si>
    <t>Sell Price</t>
  </si>
  <si>
    <t>Inputs Cost</t>
  </si>
  <si>
    <t>Profit</t>
  </si>
  <si>
    <t>Production Time</t>
  </si>
  <si>
    <t>Mastered Time</t>
  </si>
  <si>
    <t>My Time</t>
  </si>
  <si>
    <t>Price/Min</t>
  </si>
  <si>
    <t>Profit/Min</t>
  </si>
  <si>
    <t>Experience</t>
  </si>
  <si>
    <t>Exp/Min</t>
  </si>
  <si>
    <t># Per Crate</t>
  </si>
  <si>
    <t>Qty 1</t>
  </si>
  <si>
    <t>Qty 2</t>
  </si>
  <si>
    <t>Qty 3</t>
  </si>
  <si>
    <t>Qty 4</t>
  </si>
  <si>
    <t>Animal Product</t>
  </si>
  <si>
    <t>17 - 21</t>
  </si>
  <si>
    <t>8 - 15</t>
  </si>
  <si>
    <t>5 - 7</t>
  </si>
  <si>
    <t>5 - 8</t>
  </si>
  <si>
    <t>6 - 8</t>
  </si>
  <si>
    <t>Axe</t>
  </si>
  <si>
    <t>Coin</t>
  </si>
  <si>
    <t>3 - 4</t>
  </si>
  <si>
    <t>4 - 6</t>
  </si>
  <si>
    <t>15 - 22</t>
  </si>
  <si>
    <t>4 - 7</t>
  </si>
  <si>
    <t>3 - 5</t>
  </si>
  <si>
    <t>2 - 4</t>
  </si>
  <si>
    <t>1 - 2</t>
  </si>
  <si>
    <t>Honey Mask</t>
  </si>
  <si>
    <t>2 - 3</t>
  </si>
  <si>
    <t>Lobster Skewers</t>
  </si>
  <si>
    <t>3 - 8</t>
  </si>
  <si>
    <t>Apples</t>
  </si>
  <si>
    <t>1 - 3</t>
  </si>
  <si>
    <t>Colorful Candle</t>
  </si>
  <si>
    <t>3 -4</t>
  </si>
  <si>
    <t>Caffe Latte</t>
  </si>
  <si>
    <t>Caffe Mocha</t>
  </si>
  <si>
    <t>8 - 11</t>
  </si>
  <si>
    <t>Hand Fries</t>
  </si>
  <si>
    <t>R3</t>
  </si>
  <si>
    <t>Meat Bucket</t>
  </si>
  <si>
    <t>Field</t>
  </si>
  <si>
    <t>50 -75</t>
  </si>
  <si>
    <t>50 - 87</t>
  </si>
  <si>
    <t>24 - 41</t>
  </si>
  <si>
    <t>Sugarcane</t>
  </si>
  <si>
    <t>18 - 29</t>
  </si>
  <si>
    <t>30 - 39</t>
  </si>
  <si>
    <t>8 - 17</t>
  </si>
  <si>
    <t>10 - 15</t>
  </si>
  <si>
    <t>10 - 12</t>
  </si>
  <si>
    <t>4 - 12</t>
  </si>
  <si>
    <t>6 - 12</t>
  </si>
  <si>
    <t>3 - 9</t>
  </si>
  <si>
    <t>6 - 13</t>
  </si>
  <si>
    <t>16 - 25</t>
  </si>
  <si>
    <t>20 -31</t>
  </si>
  <si>
    <t>12 - 20</t>
  </si>
  <si>
    <t>19 - 32</t>
  </si>
  <si>
    <t>9 - 14</t>
  </si>
  <si>
    <t>22 - 31</t>
  </si>
  <si>
    <t>12 -31</t>
  </si>
  <si>
    <t>9 - 11</t>
  </si>
  <si>
    <t>21 - 31</t>
  </si>
  <si>
    <t>20 - 31</t>
  </si>
  <si>
    <t>10 -14</t>
  </si>
  <si>
    <t>11 - 16</t>
  </si>
  <si>
    <t>11 - 14</t>
  </si>
  <si>
    <t>12 - 13</t>
  </si>
  <si>
    <t>16 - 23</t>
  </si>
  <si>
    <t>36 - 50</t>
  </si>
  <si>
    <t>22 - 30</t>
  </si>
  <si>
    <t>13 - 19</t>
  </si>
  <si>
    <t>2 - 5</t>
  </si>
  <si>
    <t>4 - 5</t>
  </si>
  <si>
    <t>Jeweler</t>
  </si>
  <si>
    <t>6 - 11</t>
  </si>
  <si>
    <t>2 - 6</t>
  </si>
  <si>
    <t>7 - 9</t>
  </si>
  <si>
    <t>Maintenance</t>
  </si>
  <si>
    <t>---</t>
  </si>
  <si>
    <t>Saw</t>
  </si>
  <si>
    <t>Rice Noodle</t>
  </si>
  <si>
    <t>Shepherds Pie</t>
  </si>
  <si>
    <t>4 -5</t>
  </si>
  <si>
    <t>10 - 18</t>
  </si>
  <si>
    <t xml:space="preserve">Raspberry  </t>
  </si>
  <si>
    <t>Summer Roll</t>
  </si>
  <si>
    <t>Woolly Chaps</t>
  </si>
  <si>
    <t>Special</t>
  </si>
  <si>
    <t>8 - 13</t>
  </si>
  <si>
    <t>4 - 8</t>
  </si>
  <si>
    <t>Fish</t>
  </si>
  <si>
    <t>Tree or Bush</t>
  </si>
  <si>
    <t>8 - 12</t>
  </si>
  <si>
    <t>6 - 7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</si>
</sst>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m\-d"/>
  </numFmts>
  <fonts count="8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0"/>
      <color theme="1"/>
      <name val="Arial"/>
      <scheme val="minor"/>
    </font>
    <font>
      <sz val="11"/>
      <color theme="1"/>
      <name val="Calibri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rgb="FF9BBB59"/>
        <bgColor rgb="FF9BBB59"/>
      </patternFill>
    </fill>
    <fill>
      <patternFill patternType="solid">
        <fgColor theme="0"/>
        <bgColor theme="0"/>
      </patternFill>
    </fill>
    <fill>
      <patternFill patternType="solid">
        <fgColor rgb="FFF9CB9C"/>
        <bgColor rgb="FFF9CB9C"/>
      </patternFill>
    </fill>
    <fill>
      <patternFill patternType="solid">
        <fgColor rgb="FF6D9EEB"/>
        <bgColor rgb="FF6D9EEB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0" xfId="0" applyFont="1" applyFill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2" fillId="4" borderId="0" xfId="0" applyFont="1" applyFill="1"/>
    <xf numFmtId="0" fontId="3" fillId="4" borderId="0" xfId="0" applyFont="1" applyFill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4" fillId="5" borderId="1" xfId="0" applyFont="1" applyFill="1" applyBorder="1"/>
    <xf numFmtId="0" fontId="4" fillId="6" borderId="1" xfId="0" applyFont="1" applyFill="1" applyBorder="1"/>
    <xf numFmtId="0" fontId="7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4" fillId="7" borderId="0" xfId="0" applyFont="1" applyFill="1" applyAlignment="1">
      <alignment horizontal="right"/>
    </xf>
    <xf numFmtId="0" fontId="4" fillId="6" borderId="1" xfId="0" applyFont="1" applyFill="1" applyBorder="1" applyAlignment="1">
      <alignment horizontal="right"/>
    </xf>
    <xf numFmtId="0" fontId="4" fillId="8" borderId="1" xfId="0" applyFont="1" applyFill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164" fontId="4" fillId="8" borderId="1" xfId="0" applyNumberFormat="1" applyFont="1" applyFill="1" applyBorder="1" applyAlignment="1">
      <alignment horizontal="right"/>
    </xf>
    <xf numFmtId="0" fontId="4" fillId="8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4" fillId="9" borderId="0" xfId="0" applyFont="1" applyFill="1" applyAlignment="1">
      <alignment horizontal="right"/>
    </xf>
    <xf numFmtId="0" fontId="4" fillId="9" borderId="0" xfId="0" applyFont="1" applyFill="1"/>
    <xf numFmtId="0" fontId="4" fillId="9" borderId="1" xfId="0" applyFont="1" applyFill="1" applyBorder="1"/>
    <xf numFmtId="0" fontId="7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7" fillId="10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4" fillId="6" borderId="0" xfId="0" applyFont="1" applyFill="1" applyAlignment="1">
      <alignment horizontal="right"/>
    </xf>
    <xf numFmtId="164" fontId="4" fillId="6" borderId="0" xfId="0" applyNumberFormat="1" applyFont="1" applyFill="1" applyAlignment="1">
      <alignment horizontal="right"/>
    </xf>
    <xf numFmtId="164" fontId="4" fillId="8" borderId="0" xfId="0" applyNumberFormat="1" applyFont="1" applyFill="1" applyAlignment="1">
      <alignment horizontal="right"/>
    </xf>
    <xf numFmtId="0" fontId="7" fillId="10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right"/>
    </xf>
    <xf numFmtId="0" fontId="4" fillId="7" borderId="0" xfId="0" applyFont="1" applyFill="1" applyAlignment="1">
      <alignment horizontal="center"/>
    </xf>
    <xf numFmtId="0" fontId="7" fillId="7" borderId="0" xfId="0" applyFont="1" applyFill="1" applyAlignment="1">
      <alignment horizontal="right"/>
    </xf>
    <xf numFmtId="0" fontId="7" fillId="7" borderId="1" xfId="0" applyFont="1" applyFill="1" applyBorder="1" applyAlignment="1">
      <alignment horizontal="right"/>
    </xf>
    <xf numFmtId="165" fontId="4" fillId="0" borderId="1" xfId="0" applyNumberFormat="1" applyFont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4" fillId="8" borderId="0" xfId="0" applyFont="1" applyFill="1"/>
    <xf numFmtId="0" fontId="7" fillId="11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4" fillId="8" borderId="1" xfId="0" applyFont="1" applyFill="1" applyBorder="1"/>
    <xf numFmtId="0" fontId="6" fillId="10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7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5703125" defaultRowHeight="15.75" customHeight="1" x14ac:dyDescent="0.2"/>
  <cols>
    <col min="4" max="4" width="18.85546875" customWidth="1"/>
    <col min="5" max="5" width="13.7109375" customWidth="1"/>
    <col min="6" max="6" width="21" customWidth="1"/>
    <col min="10" max="10" width="15.42578125" customWidth="1"/>
    <col min="14" max="14" width="3.5703125" customWidth="1"/>
    <col min="16" max="16" width="4.7109375" customWidth="1"/>
    <col min="17" max="17" width="1.85546875" customWidth="1"/>
    <col min="19" max="19" width="4.7109375" customWidth="1"/>
    <col min="20" max="20" width="1.85546875" customWidth="1"/>
    <col min="22" max="22" width="4.7109375" customWidth="1"/>
    <col min="23" max="23" width="1.85546875" customWidth="1"/>
    <col min="25" max="25" width="4.7109375" customWidth="1"/>
    <col min="26" max="26" width="1.85546875" customWidth="1"/>
    <col min="28" max="28" width="4.7109375" customWidth="1"/>
  </cols>
  <sheetData>
    <row r="1" spans="1:33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13</v>
      </c>
      <c r="R1" s="2" t="s">
        <v>16</v>
      </c>
      <c r="S1" s="3" t="s">
        <v>15</v>
      </c>
      <c r="T1" s="2" t="s">
        <v>13</v>
      </c>
      <c r="U1" s="2" t="s">
        <v>17</v>
      </c>
      <c r="V1" s="2" t="s">
        <v>15</v>
      </c>
      <c r="W1" s="2" t="s">
        <v>13</v>
      </c>
      <c r="X1" s="2" t="s">
        <v>18</v>
      </c>
      <c r="Y1" s="2" t="s">
        <v>15</v>
      </c>
      <c r="Z1" s="2" t="s">
        <v>13</v>
      </c>
      <c r="AA1" s="2" t="s">
        <v>19</v>
      </c>
      <c r="AB1" s="2" t="s">
        <v>15</v>
      </c>
      <c r="AC1" s="2"/>
      <c r="AD1" s="2"/>
      <c r="AE1" s="2"/>
      <c r="AF1" s="2"/>
      <c r="AG1" s="2"/>
    </row>
    <row r="2" spans="1:33" ht="15.75" customHeight="1" x14ac:dyDescent="0.25">
      <c r="A2" s="4" t="s">
        <v>20</v>
      </c>
      <c r="B2" s="4" t="s">
        <v>21</v>
      </c>
      <c r="C2" s="4">
        <v>2</v>
      </c>
      <c r="D2" s="4">
        <v>216</v>
      </c>
      <c r="E2" s="4">
        <f t="shared" ref="E2:E256" si="0">P2+S2+V2+Y2+AB2</f>
        <v>108</v>
      </c>
      <c r="F2" s="4">
        <f t="shared" ref="F2:F256" si="1">D2-E2</f>
        <v>108</v>
      </c>
      <c r="G2" s="4">
        <v>3</v>
      </c>
      <c r="H2" s="4">
        <v>5</v>
      </c>
      <c r="I2" s="4">
        <v>4</v>
      </c>
      <c r="J2" s="4">
        <f t="shared" ref="J2:J256" si="2">F2/H2/10*60</f>
        <v>129.60000000000002</v>
      </c>
      <c r="K2" s="4">
        <f t="shared" ref="K2:K256" si="3">F2/I2/10*60</f>
        <v>162</v>
      </c>
      <c r="L2" s="4">
        <f t="shared" ref="L2:L256" si="4">G2/H2*60</f>
        <v>36</v>
      </c>
      <c r="M2" s="4">
        <f t="shared" ref="M2:M256" si="5">G2/I2*60</f>
        <v>45</v>
      </c>
      <c r="N2" s="5">
        <v>3</v>
      </c>
      <c r="O2" s="6" t="s">
        <v>22</v>
      </c>
      <c r="P2" s="3">
        <f>N2*VLOOKUP(O2,'Ingredient costs'!$A$2:$B$536,2, FALSE)</f>
        <v>108</v>
      </c>
      <c r="Q2" s="6"/>
      <c r="R2" s="6" t="s">
        <v>23</v>
      </c>
      <c r="S2" s="3">
        <f>Q2*VLOOKUP(R2,'Ingredient costs'!$A$2:$B$536,2, FALSE)</f>
        <v>0</v>
      </c>
      <c r="T2" s="6"/>
      <c r="U2" s="6" t="s">
        <v>23</v>
      </c>
      <c r="V2" s="3">
        <f>T2*VLOOKUP(U2,'Ingredient costs'!$A$2:$B$536,2, FALSE)</f>
        <v>0</v>
      </c>
      <c r="W2" s="6"/>
      <c r="X2" s="7" t="s">
        <v>23</v>
      </c>
      <c r="Y2" s="3">
        <f>W2*VLOOKUP(X2,'Ingredient costs'!$A$2:$B$536,2, FALSE)</f>
        <v>0</v>
      </c>
      <c r="AA2" s="3" t="s">
        <v>23</v>
      </c>
      <c r="AB2" s="3">
        <f>Z2*VLOOKUP(AA2,'Ingredient costs'!$A$2:$B$536,2, FALSE)</f>
        <v>0</v>
      </c>
    </row>
    <row r="3" spans="1:33" ht="15.75" customHeight="1" x14ac:dyDescent="0.25">
      <c r="A3" s="4" t="s">
        <v>20</v>
      </c>
      <c r="B3" s="4" t="s">
        <v>24</v>
      </c>
      <c r="C3" s="4">
        <v>7</v>
      </c>
      <c r="D3" s="4">
        <v>720</v>
      </c>
      <c r="E3" s="4">
        <f t="shared" si="0"/>
        <v>504</v>
      </c>
      <c r="F3" s="4">
        <f t="shared" si="1"/>
        <v>216</v>
      </c>
      <c r="G3" s="4">
        <v>8</v>
      </c>
      <c r="H3" s="4">
        <v>30</v>
      </c>
      <c r="I3" s="4">
        <v>25</v>
      </c>
      <c r="J3" s="4">
        <f t="shared" si="2"/>
        <v>43.199999999999996</v>
      </c>
      <c r="K3" s="4">
        <f t="shared" si="3"/>
        <v>51.84</v>
      </c>
      <c r="L3" s="4">
        <f t="shared" si="4"/>
        <v>16</v>
      </c>
      <c r="M3" s="4">
        <f t="shared" si="5"/>
        <v>19.2</v>
      </c>
      <c r="N3" s="5">
        <v>2</v>
      </c>
      <c r="O3" s="6" t="s">
        <v>25</v>
      </c>
      <c r="P3" s="3">
        <f>N3*VLOOKUP(O3,'Ingredient costs'!$A$2:$B$536,2, FALSE)</f>
        <v>144</v>
      </c>
      <c r="Q3" s="5">
        <v>2</v>
      </c>
      <c r="R3" s="6" t="s">
        <v>26</v>
      </c>
      <c r="S3" s="3">
        <f>Q3*VLOOKUP(R3,'Ingredient costs'!$A$2:$B$536,2, FALSE)</f>
        <v>360</v>
      </c>
      <c r="T3" s="6"/>
      <c r="U3" s="7" t="s">
        <v>23</v>
      </c>
      <c r="V3" s="3">
        <f>T3*VLOOKUP(U3,'Ingredient costs'!$A$2:$B$536,2, FALSE)</f>
        <v>0</v>
      </c>
      <c r="W3" s="6"/>
      <c r="X3" s="7" t="s">
        <v>23</v>
      </c>
      <c r="Y3" s="3">
        <f>W3*VLOOKUP(X3,'Ingredient costs'!$A$2:$B$536,2, FALSE)</f>
        <v>0</v>
      </c>
      <c r="AA3" s="3" t="s">
        <v>23</v>
      </c>
      <c r="AB3" s="3">
        <f>Z3*VLOOKUP(AA3,'Ingredient costs'!$A$2:$B$536,2, FALSE)</f>
        <v>0</v>
      </c>
    </row>
    <row r="4" spans="1:33" ht="15.75" customHeight="1" x14ac:dyDescent="0.25">
      <c r="A4" s="4" t="s">
        <v>20</v>
      </c>
      <c r="B4" s="4" t="s">
        <v>27</v>
      </c>
      <c r="C4" s="4">
        <v>10</v>
      </c>
      <c r="D4" s="4">
        <v>1044</v>
      </c>
      <c r="E4" s="4">
        <f t="shared" si="0"/>
        <v>756</v>
      </c>
      <c r="F4" s="4">
        <f t="shared" si="1"/>
        <v>288</v>
      </c>
      <c r="G4" s="4">
        <v>13</v>
      </c>
      <c r="H4" s="4">
        <v>60</v>
      </c>
      <c r="I4" s="4">
        <v>51</v>
      </c>
      <c r="J4" s="4">
        <f t="shared" si="2"/>
        <v>28.799999999999997</v>
      </c>
      <c r="K4" s="4">
        <f t="shared" si="3"/>
        <v>33.882352941176471</v>
      </c>
      <c r="L4" s="4">
        <f t="shared" si="4"/>
        <v>13</v>
      </c>
      <c r="M4" s="4">
        <f t="shared" si="5"/>
        <v>15.294117647058822</v>
      </c>
      <c r="N4" s="5">
        <v>2</v>
      </c>
      <c r="O4" s="6" t="s">
        <v>22</v>
      </c>
      <c r="P4" s="3">
        <f>N4*VLOOKUP(O4,'Ingredient costs'!$A$2:$B$536,2, FALSE)</f>
        <v>72</v>
      </c>
      <c r="Q4" s="5">
        <v>2</v>
      </c>
      <c r="R4" s="6" t="s">
        <v>26</v>
      </c>
      <c r="S4" s="3">
        <f>Q4*VLOOKUP(R4,'Ingredient costs'!$A$2:$B$536,2, FALSE)</f>
        <v>360</v>
      </c>
      <c r="T4" s="5">
        <v>1</v>
      </c>
      <c r="U4" s="6" t="s">
        <v>28</v>
      </c>
      <c r="V4" s="3">
        <f>T4*VLOOKUP(U4,'Ingredient costs'!$A$2:$B$536,2, FALSE)</f>
        <v>324</v>
      </c>
      <c r="W4" s="6"/>
      <c r="X4" s="7" t="s">
        <v>23</v>
      </c>
      <c r="Y4" s="3">
        <f>W4*VLOOKUP(X4,'Ingredient costs'!$A$2:$B$536,2, FALSE)</f>
        <v>0</v>
      </c>
      <c r="AA4" s="3" t="s">
        <v>23</v>
      </c>
      <c r="AB4" s="3">
        <f>Z4*VLOOKUP(AA4,'Ingredient costs'!$A$2:$B$536,2, FALSE)</f>
        <v>0</v>
      </c>
    </row>
    <row r="5" spans="1:33" ht="15.75" customHeight="1" x14ac:dyDescent="0.25">
      <c r="A5" s="4" t="s">
        <v>20</v>
      </c>
      <c r="B5" s="4" t="s">
        <v>29</v>
      </c>
      <c r="C5" s="4">
        <v>19</v>
      </c>
      <c r="D5" s="4">
        <v>1404</v>
      </c>
      <c r="E5" s="4">
        <f t="shared" si="0"/>
        <v>1188</v>
      </c>
      <c r="F5" s="4">
        <f t="shared" si="1"/>
        <v>216</v>
      </c>
      <c r="G5" s="4">
        <v>17</v>
      </c>
      <c r="H5" s="4">
        <v>45</v>
      </c>
      <c r="I5" s="4">
        <v>38</v>
      </c>
      <c r="J5" s="4">
        <f t="shared" si="2"/>
        <v>28.799999999999997</v>
      </c>
      <c r="K5" s="4">
        <f t="shared" si="3"/>
        <v>34.10526315789474</v>
      </c>
      <c r="L5" s="4">
        <f t="shared" si="4"/>
        <v>22.666666666666664</v>
      </c>
      <c r="M5" s="4">
        <f t="shared" si="5"/>
        <v>26.842105263157894</v>
      </c>
      <c r="N5" s="5">
        <v>2</v>
      </c>
      <c r="O5" s="6" t="s">
        <v>22</v>
      </c>
      <c r="P5" s="3">
        <f>N5*VLOOKUP(O5,'Ingredient costs'!$A$2:$B$536,2, FALSE)</f>
        <v>72</v>
      </c>
      <c r="Q5" s="5">
        <v>1</v>
      </c>
      <c r="R5" s="6" t="s">
        <v>26</v>
      </c>
      <c r="S5" s="3">
        <f>Q5*VLOOKUP(R5,'Ingredient costs'!$A$2:$B$536,2, FALSE)</f>
        <v>180</v>
      </c>
      <c r="T5" s="5">
        <v>2</v>
      </c>
      <c r="U5" s="6" t="s">
        <v>30</v>
      </c>
      <c r="V5" s="3">
        <f>T5*VLOOKUP(U5,'Ingredient costs'!$A$2:$B$536,2, FALSE)</f>
        <v>936</v>
      </c>
      <c r="W5" s="6"/>
      <c r="X5" s="7" t="s">
        <v>23</v>
      </c>
      <c r="Y5" s="3">
        <f>W5*VLOOKUP(X5,'Ingredient costs'!$A$2:$B$536,2, FALSE)</f>
        <v>0</v>
      </c>
      <c r="AA5" s="3" t="s">
        <v>23</v>
      </c>
      <c r="AB5" s="3">
        <f>Z5*VLOOKUP(AA5,'Ingredient costs'!$A$2:$B$536,2, FALSE)</f>
        <v>0</v>
      </c>
    </row>
    <row r="6" spans="1:33" ht="15.75" customHeight="1" x14ac:dyDescent="0.25">
      <c r="A6" s="4" t="s">
        <v>20</v>
      </c>
      <c r="B6" s="4" t="s">
        <v>31</v>
      </c>
      <c r="C6" s="4">
        <v>26</v>
      </c>
      <c r="D6" s="4">
        <v>2268</v>
      </c>
      <c r="E6" s="4">
        <f t="shared" si="0"/>
        <v>2052</v>
      </c>
      <c r="F6" s="4">
        <f t="shared" si="1"/>
        <v>216</v>
      </c>
      <c r="G6" s="4">
        <v>27</v>
      </c>
      <c r="H6" s="4">
        <v>45</v>
      </c>
      <c r="I6" s="4">
        <v>38</v>
      </c>
      <c r="J6" s="4">
        <f t="shared" si="2"/>
        <v>28.799999999999997</v>
      </c>
      <c r="K6" s="4">
        <f t="shared" si="3"/>
        <v>34.10526315789474</v>
      </c>
      <c r="L6" s="4">
        <f t="shared" si="4"/>
        <v>36</v>
      </c>
      <c r="M6" s="4">
        <f t="shared" si="5"/>
        <v>42.631578947368418</v>
      </c>
      <c r="N6" s="5">
        <v>1</v>
      </c>
      <c r="O6" s="6" t="s">
        <v>22</v>
      </c>
      <c r="P6" s="3">
        <f>N6*VLOOKUP(O6,'Ingredient costs'!$A$2:$B$536,2, FALSE)</f>
        <v>36</v>
      </c>
      <c r="Q6" s="5">
        <v>2</v>
      </c>
      <c r="R6" s="6" t="s">
        <v>26</v>
      </c>
      <c r="S6" s="3">
        <f>Q6*VLOOKUP(R6,'Ingredient costs'!$A$2:$B$536,2, FALSE)</f>
        <v>360</v>
      </c>
      <c r="T6" s="5">
        <v>2</v>
      </c>
      <c r="U6" s="6" t="s">
        <v>32</v>
      </c>
      <c r="V6" s="3">
        <f>T6*VLOOKUP(U6,'Ingredient costs'!$A$2:$B$536,2, FALSE)</f>
        <v>1656</v>
      </c>
      <c r="W6" s="6"/>
      <c r="X6" s="7" t="s">
        <v>23</v>
      </c>
      <c r="Y6" s="3">
        <f>W6*VLOOKUP(X6,'Ingredient costs'!$A$2:$B$536,2, FALSE)</f>
        <v>0</v>
      </c>
      <c r="AA6" s="3" t="s">
        <v>23</v>
      </c>
      <c r="AB6" s="3">
        <f>Z6*VLOOKUP(AA6,'Ingredient costs'!$A$2:$B$536,2, FALSE)</f>
        <v>0</v>
      </c>
    </row>
    <row r="7" spans="1:33" ht="15.75" customHeight="1" x14ac:dyDescent="0.25">
      <c r="A7" s="4" t="s">
        <v>20</v>
      </c>
      <c r="B7" s="4" t="s">
        <v>33</v>
      </c>
      <c r="C7" s="4">
        <v>33</v>
      </c>
      <c r="D7" s="4">
        <v>1908</v>
      </c>
      <c r="E7" s="4">
        <f t="shared" si="0"/>
        <v>1728</v>
      </c>
      <c r="F7" s="4">
        <f t="shared" si="1"/>
        <v>180</v>
      </c>
      <c r="G7" s="4">
        <v>23</v>
      </c>
      <c r="H7" s="4">
        <v>15</v>
      </c>
      <c r="I7" s="4">
        <v>12</v>
      </c>
      <c r="J7" s="4">
        <f t="shared" si="2"/>
        <v>72</v>
      </c>
      <c r="K7" s="4">
        <f t="shared" si="3"/>
        <v>90</v>
      </c>
      <c r="L7" s="4">
        <f t="shared" si="4"/>
        <v>92</v>
      </c>
      <c r="M7" s="4">
        <f t="shared" si="5"/>
        <v>115</v>
      </c>
      <c r="N7" s="5">
        <v>2</v>
      </c>
      <c r="O7" s="6" t="s">
        <v>22</v>
      </c>
      <c r="P7" s="3">
        <f>N7*VLOOKUP(O7,'Ingredient costs'!$A$2:$B$536,2, FALSE)</f>
        <v>72</v>
      </c>
      <c r="Q7" s="5">
        <v>1</v>
      </c>
      <c r="R7" s="6" t="s">
        <v>34</v>
      </c>
      <c r="S7" s="3">
        <f>Q7*VLOOKUP(R7,'Ingredient costs'!$A$2:$B$536,2, FALSE)</f>
        <v>432</v>
      </c>
      <c r="T7" s="5">
        <v>1</v>
      </c>
      <c r="U7" s="6" t="s">
        <v>35</v>
      </c>
      <c r="V7" s="3">
        <f>T7*VLOOKUP(U7,'Ingredient costs'!$A$2:$B$536,2, FALSE)</f>
        <v>1224</v>
      </c>
      <c r="W7" s="6"/>
      <c r="X7" s="7" t="s">
        <v>23</v>
      </c>
      <c r="Y7" s="3">
        <f>W7*VLOOKUP(X7,'Ingredient costs'!$A$2:$B$536,2, FALSE)</f>
        <v>0</v>
      </c>
      <c r="AA7" s="3" t="s">
        <v>23</v>
      </c>
      <c r="AB7" s="3">
        <f>Z7*VLOOKUP(AA7,'Ingredient costs'!$A$2:$B$536,2, FALSE)</f>
        <v>0</v>
      </c>
    </row>
    <row r="8" spans="1:33" ht="15.75" customHeight="1" x14ac:dyDescent="0.25">
      <c r="A8" s="4" t="s">
        <v>20</v>
      </c>
      <c r="B8" s="4" t="s">
        <v>36</v>
      </c>
      <c r="C8" s="4">
        <v>37</v>
      </c>
      <c r="D8" s="4">
        <v>2268</v>
      </c>
      <c r="E8" s="4">
        <f t="shared" si="0"/>
        <v>2088</v>
      </c>
      <c r="F8" s="4">
        <f t="shared" si="1"/>
        <v>180</v>
      </c>
      <c r="G8" s="4">
        <v>27</v>
      </c>
      <c r="H8" s="4">
        <v>15</v>
      </c>
      <c r="I8" s="4">
        <v>12</v>
      </c>
      <c r="J8" s="4">
        <f t="shared" si="2"/>
        <v>72</v>
      </c>
      <c r="K8" s="4">
        <f t="shared" si="3"/>
        <v>90</v>
      </c>
      <c r="L8" s="4">
        <f t="shared" si="4"/>
        <v>108</v>
      </c>
      <c r="M8" s="4">
        <f t="shared" si="5"/>
        <v>135</v>
      </c>
      <c r="N8" s="5">
        <v>2</v>
      </c>
      <c r="O8" s="6" t="s">
        <v>22</v>
      </c>
      <c r="P8" s="3">
        <f>N8*VLOOKUP(O8,'Ingredient costs'!$A$2:$B$536,2, FALSE)</f>
        <v>72</v>
      </c>
      <c r="Q8" s="5">
        <v>1</v>
      </c>
      <c r="R8" s="6" t="s">
        <v>34</v>
      </c>
      <c r="S8" s="3">
        <f>Q8*VLOOKUP(R8,'Ingredient costs'!$A$2:$B$536,2, FALSE)</f>
        <v>432</v>
      </c>
      <c r="T8" s="5">
        <v>1</v>
      </c>
      <c r="U8" s="6" t="s">
        <v>35</v>
      </c>
      <c r="V8" s="3">
        <f>T8*VLOOKUP(U8,'Ingredient costs'!$A$2:$B$536,2, FALSE)</f>
        <v>1224</v>
      </c>
      <c r="W8" s="5">
        <v>1</v>
      </c>
      <c r="X8" s="7" t="s">
        <v>37</v>
      </c>
      <c r="Y8" s="3">
        <f>W8*VLOOKUP(X8,'Ingredient costs'!$A$2:$B$536,2, FALSE)</f>
        <v>360</v>
      </c>
      <c r="AA8" s="3" t="s">
        <v>23</v>
      </c>
      <c r="AB8" s="3">
        <f>Z8*VLOOKUP(AA8,'Ingredient costs'!$A$2:$B$536,2, FALSE)</f>
        <v>0</v>
      </c>
    </row>
    <row r="9" spans="1:33" ht="15.75" customHeight="1" x14ac:dyDescent="0.25">
      <c r="A9" s="4" t="s">
        <v>20</v>
      </c>
      <c r="B9" s="4" t="s">
        <v>38</v>
      </c>
      <c r="C9" s="4">
        <v>39</v>
      </c>
      <c r="D9" s="4">
        <v>2844</v>
      </c>
      <c r="E9" s="4">
        <f t="shared" si="0"/>
        <v>2592</v>
      </c>
      <c r="F9" s="4">
        <f t="shared" si="1"/>
        <v>252</v>
      </c>
      <c r="G9" s="4">
        <v>34</v>
      </c>
      <c r="H9" s="4">
        <v>45</v>
      </c>
      <c r="I9" s="4">
        <v>38</v>
      </c>
      <c r="J9" s="4">
        <f t="shared" si="2"/>
        <v>33.599999999999994</v>
      </c>
      <c r="K9" s="4">
        <f t="shared" si="3"/>
        <v>39.789473684210527</v>
      </c>
      <c r="L9" s="4">
        <f t="shared" si="4"/>
        <v>45.333333333333329</v>
      </c>
      <c r="M9" s="4">
        <f t="shared" si="5"/>
        <v>53.684210526315788</v>
      </c>
      <c r="N9" s="5">
        <v>2</v>
      </c>
      <c r="O9" s="6" t="s">
        <v>39</v>
      </c>
      <c r="P9" s="3">
        <f>N9*VLOOKUP(O9,'Ingredient costs'!$A$2:$B$536,2, FALSE)</f>
        <v>720</v>
      </c>
      <c r="Q9" s="5">
        <v>1</v>
      </c>
      <c r="R9" s="6" t="s">
        <v>40</v>
      </c>
      <c r="S9" s="3">
        <f>Q9*VLOOKUP(R9,'Ingredient costs'!$A$2:$B$536,2, FALSE)</f>
        <v>504</v>
      </c>
      <c r="T9" s="5">
        <v>3</v>
      </c>
      <c r="U9" s="6" t="s">
        <v>26</v>
      </c>
      <c r="V9" s="3">
        <f>T9*VLOOKUP(U9,'Ingredient costs'!$A$2:$B$536,2, FALSE)</f>
        <v>540</v>
      </c>
      <c r="W9" s="5">
        <v>1</v>
      </c>
      <c r="X9" s="7" t="s">
        <v>41</v>
      </c>
      <c r="Y9" s="3">
        <f>W9*VLOOKUP(X9,'Ingredient costs'!$A$2:$B$536,2, FALSE)</f>
        <v>828</v>
      </c>
      <c r="AA9" s="3" t="s">
        <v>23</v>
      </c>
      <c r="AB9" s="3">
        <f>Z9*VLOOKUP(AA9,'Ingredient costs'!$A$2:$B$536,2, FALSE)</f>
        <v>0</v>
      </c>
    </row>
    <row r="10" spans="1:33" ht="15.75" customHeight="1" x14ac:dyDescent="0.25">
      <c r="A10" s="4" t="s">
        <v>20</v>
      </c>
      <c r="B10" s="4" t="s">
        <v>42</v>
      </c>
      <c r="C10" s="4">
        <v>45</v>
      </c>
      <c r="D10" s="4">
        <v>4032</v>
      </c>
      <c r="E10" s="4">
        <f t="shared" si="0"/>
        <v>3846</v>
      </c>
      <c r="F10" s="4">
        <f t="shared" si="1"/>
        <v>186</v>
      </c>
      <c r="G10" s="4">
        <v>48</v>
      </c>
      <c r="H10" s="4">
        <v>15</v>
      </c>
      <c r="I10" s="4">
        <v>12</v>
      </c>
      <c r="J10" s="4">
        <f t="shared" si="2"/>
        <v>74.400000000000006</v>
      </c>
      <c r="K10" s="4">
        <f t="shared" si="3"/>
        <v>93</v>
      </c>
      <c r="L10" s="4">
        <f t="shared" si="4"/>
        <v>192</v>
      </c>
      <c r="M10" s="4">
        <f t="shared" si="5"/>
        <v>240</v>
      </c>
      <c r="N10" s="5">
        <v>2</v>
      </c>
      <c r="O10" s="6" t="s">
        <v>22</v>
      </c>
      <c r="P10" s="3">
        <f>N10*VLOOKUP(O10,'Ingredient costs'!$A$2:$B$536,2, FALSE)</f>
        <v>72</v>
      </c>
      <c r="Q10" s="5">
        <v>1</v>
      </c>
      <c r="R10" s="6" t="s">
        <v>43</v>
      </c>
      <c r="S10" s="3">
        <f>Q10*VLOOKUP(R10,'Ingredient costs'!$A$2:$B$536,2, FALSE)</f>
        <v>540</v>
      </c>
      <c r="T10" s="5">
        <v>1</v>
      </c>
      <c r="U10" s="6" t="s">
        <v>35</v>
      </c>
      <c r="V10" s="3">
        <f>T10*VLOOKUP(U10,'Ingredient costs'!$A$2:$B$536,2, FALSE)</f>
        <v>1224</v>
      </c>
      <c r="W10" s="5">
        <v>1</v>
      </c>
      <c r="X10" s="7" t="s">
        <v>44</v>
      </c>
      <c r="Y10" s="3">
        <f>W10*VLOOKUP(X10,'Ingredient costs'!$A$2:$B$536,2, FALSE)</f>
        <v>2010</v>
      </c>
      <c r="AA10" s="3" t="s">
        <v>23</v>
      </c>
      <c r="AB10" s="3">
        <f>Z10*VLOOKUP(AA10,'Ingredient costs'!$A$2:$B$536,2, FALSE)</f>
        <v>0</v>
      </c>
    </row>
    <row r="11" spans="1:33" ht="15.75" customHeight="1" x14ac:dyDescent="0.25">
      <c r="A11" s="4" t="s">
        <v>20</v>
      </c>
      <c r="B11" s="4" t="s">
        <v>45</v>
      </c>
      <c r="C11" s="4">
        <v>86</v>
      </c>
      <c r="D11" s="4">
        <v>2736</v>
      </c>
      <c r="E11" s="4">
        <f t="shared" si="0"/>
        <v>2484</v>
      </c>
      <c r="F11" s="4">
        <f t="shared" si="1"/>
        <v>252</v>
      </c>
      <c r="G11" s="4">
        <v>33</v>
      </c>
      <c r="H11" s="4">
        <v>30</v>
      </c>
      <c r="I11" s="4">
        <v>25</v>
      </c>
      <c r="J11" s="4">
        <f t="shared" si="2"/>
        <v>50.400000000000006</v>
      </c>
      <c r="K11" s="4">
        <f t="shared" si="3"/>
        <v>60.480000000000004</v>
      </c>
      <c r="L11" s="4">
        <f t="shared" si="4"/>
        <v>66</v>
      </c>
      <c r="M11" s="4">
        <f t="shared" si="5"/>
        <v>79.2</v>
      </c>
      <c r="N11" s="5">
        <v>2</v>
      </c>
      <c r="O11" s="6" t="s">
        <v>46</v>
      </c>
      <c r="P11" s="3">
        <f>N11*VLOOKUP(O11,'Ingredient costs'!$A$2:$B$536,2, FALSE)</f>
        <v>576</v>
      </c>
      <c r="Q11" s="5">
        <v>1</v>
      </c>
      <c r="R11" s="6" t="s">
        <v>41</v>
      </c>
      <c r="S11" s="3">
        <f>Q11*VLOOKUP(R11,'Ingredient costs'!$A$2:$B$536,2, FALSE)</f>
        <v>828</v>
      </c>
      <c r="T11" s="5">
        <v>1</v>
      </c>
      <c r="U11" s="6" t="s">
        <v>47</v>
      </c>
      <c r="V11" s="3">
        <f>T11*VLOOKUP(U11,'Ingredient costs'!$A$2:$B$536,2, FALSE)</f>
        <v>900</v>
      </c>
      <c r="W11" s="5">
        <v>5</v>
      </c>
      <c r="X11" s="7" t="s">
        <v>22</v>
      </c>
      <c r="Y11" s="3">
        <f>W11*VLOOKUP(X11,'Ingredient costs'!$A$2:$B$536,2, FALSE)</f>
        <v>180</v>
      </c>
      <c r="AA11" s="3" t="s">
        <v>23</v>
      </c>
      <c r="AB11" s="3">
        <f>Z11*VLOOKUP(AA11,'Ingredient costs'!$A$2:$B$536,2, FALSE)</f>
        <v>0</v>
      </c>
    </row>
    <row r="12" spans="1:33" ht="15.75" customHeight="1" x14ac:dyDescent="0.25">
      <c r="A12" s="4" t="s">
        <v>20</v>
      </c>
      <c r="B12" s="4" t="s">
        <v>48</v>
      </c>
      <c r="C12" s="4">
        <v>91</v>
      </c>
      <c r="D12" s="4">
        <v>4248</v>
      </c>
      <c r="E12" s="4">
        <f t="shared" si="0"/>
        <v>4068</v>
      </c>
      <c r="F12" s="4">
        <f t="shared" si="1"/>
        <v>180</v>
      </c>
      <c r="G12" s="4">
        <v>50</v>
      </c>
      <c r="H12" s="4">
        <v>30</v>
      </c>
      <c r="I12" s="4">
        <v>25</v>
      </c>
      <c r="J12" s="4">
        <f t="shared" si="2"/>
        <v>36</v>
      </c>
      <c r="K12" s="4">
        <f t="shared" si="3"/>
        <v>43.199999999999996</v>
      </c>
      <c r="L12" s="4">
        <f t="shared" si="4"/>
        <v>100</v>
      </c>
      <c r="M12" s="4">
        <f t="shared" si="5"/>
        <v>120</v>
      </c>
      <c r="N12" s="8">
        <v>3</v>
      </c>
      <c r="O12" s="7" t="s">
        <v>22</v>
      </c>
      <c r="P12" s="3">
        <f>N12*VLOOKUP(O12,'Ingredient costs'!$A$2:$B$536,2, FALSE)</f>
        <v>108</v>
      </c>
      <c r="Q12" s="8">
        <v>1</v>
      </c>
      <c r="R12" s="7" t="s">
        <v>26</v>
      </c>
      <c r="S12" s="3">
        <f>Q12*VLOOKUP(R12,'Ingredient costs'!$A$2:$B$536,2, FALSE)</f>
        <v>180</v>
      </c>
      <c r="T12" s="8">
        <v>2</v>
      </c>
      <c r="U12" s="7" t="s">
        <v>49</v>
      </c>
      <c r="V12" s="3">
        <f>T12*VLOOKUP(U12,'Ingredient costs'!$A$2:$B$536,2, FALSE)</f>
        <v>648</v>
      </c>
      <c r="W12" s="8">
        <v>3</v>
      </c>
      <c r="X12" s="7" t="s">
        <v>50</v>
      </c>
      <c r="Y12" s="3">
        <f>W12*VLOOKUP(X12,'Ingredient costs'!$A$2:$B$536,2, FALSE)</f>
        <v>3132</v>
      </c>
      <c r="AA12" s="3" t="s">
        <v>23</v>
      </c>
      <c r="AB12" s="3">
        <f>Z12*VLOOKUP(AA12,'Ingredient costs'!$A$2:$B$536,2, FALSE)</f>
        <v>0</v>
      </c>
    </row>
    <row r="13" spans="1:33" ht="15.75" customHeight="1" x14ac:dyDescent="0.25">
      <c r="A13" s="4" t="s">
        <v>51</v>
      </c>
      <c r="B13" s="4" t="s">
        <v>52</v>
      </c>
      <c r="C13" s="4">
        <v>84</v>
      </c>
      <c r="D13" s="4">
        <v>3276</v>
      </c>
      <c r="E13" s="4">
        <f t="shared" si="0"/>
        <v>3060</v>
      </c>
      <c r="F13" s="4">
        <f t="shared" si="1"/>
        <v>216</v>
      </c>
      <c r="G13" s="4">
        <v>39</v>
      </c>
      <c r="H13" s="4">
        <v>60</v>
      </c>
      <c r="I13" s="4">
        <v>51</v>
      </c>
      <c r="J13" s="4">
        <f t="shared" si="2"/>
        <v>21.599999999999998</v>
      </c>
      <c r="K13" s="4">
        <f t="shared" si="3"/>
        <v>25.411764705882351</v>
      </c>
      <c r="L13" s="4">
        <f t="shared" si="4"/>
        <v>39</v>
      </c>
      <c r="M13" s="4">
        <f t="shared" si="5"/>
        <v>45.882352941176464</v>
      </c>
      <c r="N13" s="5">
        <v>1</v>
      </c>
      <c r="O13" s="6" t="s">
        <v>53</v>
      </c>
      <c r="P13" s="3">
        <f>N13*VLOOKUP(O13,'Ingredient costs'!$A$2:$B$536,2, FALSE)</f>
        <v>648</v>
      </c>
      <c r="Q13" s="5">
        <v>2</v>
      </c>
      <c r="R13" s="6" t="s">
        <v>54</v>
      </c>
      <c r="S13" s="3">
        <f>Q13*VLOOKUP(R13,'Ingredient costs'!$A$2:$B$536,2, FALSE)</f>
        <v>1728</v>
      </c>
      <c r="T13" s="5">
        <v>1</v>
      </c>
      <c r="U13" s="6" t="s">
        <v>55</v>
      </c>
      <c r="V13" s="3">
        <f>T13*VLOOKUP(U13,'Ingredient costs'!$A$2:$B$536,2, FALSE)</f>
        <v>684</v>
      </c>
      <c r="X13" s="3" t="s">
        <v>23</v>
      </c>
      <c r="Y13" s="3">
        <f>W13*VLOOKUP(X13,'Ingredient costs'!$A$2:$B$536,2, FALSE)</f>
        <v>0</v>
      </c>
      <c r="AA13" s="3" t="s">
        <v>23</v>
      </c>
      <c r="AB13" s="3">
        <f>Z13*VLOOKUP(AA13,'Ingredient costs'!$A$2:$B$536,2, FALSE)</f>
        <v>0</v>
      </c>
    </row>
    <row r="14" spans="1:33" ht="15.75" customHeight="1" x14ac:dyDescent="0.25">
      <c r="A14" s="4" t="s">
        <v>51</v>
      </c>
      <c r="B14" s="4" t="s">
        <v>56</v>
      </c>
      <c r="C14" s="4">
        <v>84</v>
      </c>
      <c r="D14" s="4">
        <v>4032</v>
      </c>
      <c r="E14" s="4">
        <f t="shared" si="0"/>
        <v>3708</v>
      </c>
      <c r="F14" s="4">
        <f t="shared" si="1"/>
        <v>324</v>
      </c>
      <c r="G14" s="4">
        <v>48</v>
      </c>
      <c r="H14" s="4">
        <v>75</v>
      </c>
      <c r="I14" s="4">
        <v>63</v>
      </c>
      <c r="J14" s="4">
        <f t="shared" si="2"/>
        <v>25.92</v>
      </c>
      <c r="K14" s="4">
        <f t="shared" si="3"/>
        <v>30.857142857142861</v>
      </c>
      <c r="L14" s="4">
        <f t="shared" si="4"/>
        <v>38.4</v>
      </c>
      <c r="M14" s="4">
        <f t="shared" si="5"/>
        <v>45.714285714285708</v>
      </c>
      <c r="N14" s="5">
        <v>1</v>
      </c>
      <c r="O14" s="6" t="s">
        <v>57</v>
      </c>
      <c r="P14" s="3">
        <f>N14*VLOOKUP(O14,'Ingredient costs'!$A$2:$B$536,2, FALSE)</f>
        <v>2772</v>
      </c>
      <c r="Q14" s="5">
        <v>1</v>
      </c>
      <c r="R14" s="6" t="s">
        <v>58</v>
      </c>
      <c r="S14" s="3">
        <f>Q14*VLOOKUP(R14,'Ingredient costs'!$A$2:$B$536,2, FALSE)</f>
        <v>936</v>
      </c>
      <c r="T14" s="6"/>
      <c r="U14" s="6" t="s">
        <v>23</v>
      </c>
      <c r="V14" s="3">
        <f>T14*VLOOKUP(U14,'Ingredient costs'!$A$2:$B$536,2, FALSE)</f>
        <v>0</v>
      </c>
      <c r="X14" s="3" t="s">
        <v>23</v>
      </c>
      <c r="Y14" s="3">
        <f>W14*VLOOKUP(X14,'Ingredient costs'!$A$2:$B$536,2, FALSE)</f>
        <v>0</v>
      </c>
      <c r="AA14" s="3" t="s">
        <v>23</v>
      </c>
      <c r="AB14" s="3">
        <f>Z14*VLOOKUP(AA14,'Ingredient costs'!$A$2:$B$536,2, FALSE)</f>
        <v>0</v>
      </c>
    </row>
    <row r="15" spans="1:33" ht="15.75" customHeight="1" x14ac:dyDescent="0.25">
      <c r="A15" s="4" t="s">
        <v>51</v>
      </c>
      <c r="B15" s="4" t="s">
        <v>59</v>
      </c>
      <c r="C15" s="4">
        <v>93</v>
      </c>
      <c r="D15" s="4">
        <v>3636</v>
      </c>
      <c r="E15" s="4">
        <f t="shared" si="0"/>
        <v>3492</v>
      </c>
      <c r="F15" s="4">
        <f t="shared" si="1"/>
        <v>144</v>
      </c>
      <c r="G15" s="4">
        <v>43</v>
      </c>
      <c r="H15" s="4">
        <v>60</v>
      </c>
      <c r="I15" s="4">
        <v>51</v>
      </c>
      <c r="J15" s="4">
        <f t="shared" si="2"/>
        <v>14.399999999999999</v>
      </c>
      <c r="K15" s="4">
        <f t="shared" si="3"/>
        <v>16.941176470588236</v>
      </c>
      <c r="L15" s="4">
        <f t="shared" si="4"/>
        <v>43</v>
      </c>
      <c r="M15" s="4">
        <f t="shared" si="5"/>
        <v>50.588235294117645</v>
      </c>
      <c r="N15" s="5">
        <v>2</v>
      </c>
      <c r="O15" s="6" t="s">
        <v>54</v>
      </c>
      <c r="P15" s="3">
        <f>N15*VLOOKUP(O15,'Ingredient costs'!$A$2:$B$536,2, FALSE)</f>
        <v>1728</v>
      </c>
      <c r="Q15" s="5">
        <v>2</v>
      </c>
      <c r="R15" s="6" t="s">
        <v>60</v>
      </c>
      <c r="S15" s="3">
        <f>Q15*VLOOKUP(R15,'Ingredient costs'!$A$2:$B$536,2, FALSE)</f>
        <v>1296</v>
      </c>
      <c r="T15" s="5">
        <v>1</v>
      </c>
      <c r="U15" s="6" t="s">
        <v>30</v>
      </c>
      <c r="V15" s="3">
        <f>T15*VLOOKUP(U15,'Ingredient costs'!$A$2:$B$536,2, FALSE)</f>
        <v>468</v>
      </c>
      <c r="X15" s="3" t="s">
        <v>23</v>
      </c>
      <c r="Y15" s="3">
        <f>W15*VLOOKUP(X15,'Ingredient costs'!$A$2:$B$536,2, FALSE)</f>
        <v>0</v>
      </c>
      <c r="AA15" s="3" t="s">
        <v>23</v>
      </c>
      <c r="AB15" s="3">
        <f>Z15*VLOOKUP(AA15,'Ingredient costs'!$A$2:$B$536,2, FALSE)</f>
        <v>0</v>
      </c>
    </row>
    <row r="16" spans="1:33" ht="15.75" customHeight="1" x14ac:dyDescent="0.25">
      <c r="A16" s="4" t="s">
        <v>51</v>
      </c>
      <c r="B16" s="4" t="s">
        <v>61</v>
      </c>
      <c r="C16" s="4">
        <v>99</v>
      </c>
      <c r="D16" s="4">
        <v>3204</v>
      </c>
      <c r="E16" s="4">
        <f t="shared" si="0"/>
        <v>2844</v>
      </c>
      <c r="F16" s="4">
        <f t="shared" si="1"/>
        <v>360</v>
      </c>
      <c r="G16" s="4">
        <v>38</v>
      </c>
      <c r="H16" s="4">
        <v>90</v>
      </c>
      <c r="I16" s="4">
        <v>77</v>
      </c>
      <c r="J16" s="4">
        <f t="shared" si="2"/>
        <v>24</v>
      </c>
      <c r="K16" s="4">
        <f t="shared" si="3"/>
        <v>28.051948051948052</v>
      </c>
      <c r="L16" s="4">
        <f t="shared" si="4"/>
        <v>25.333333333333332</v>
      </c>
      <c r="M16" s="4">
        <f t="shared" si="5"/>
        <v>29.61038961038961</v>
      </c>
      <c r="N16" s="8">
        <v>2</v>
      </c>
      <c r="O16" s="7" t="s">
        <v>26</v>
      </c>
      <c r="P16" s="3">
        <f>N16*VLOOKUP(O16,'Ingredient costs'!$A$2:$B$536,2, FALSE)</f>
        <v>360</v>
      </c>
      <c r="Q16" s="8">
        <v>1</v>
      </c>
      <c r="R16" s="7" t="s">
        <v>62</v>
      </c>
      <c r="S16" s="3">
        <f>Q16*VLOOKUP(R16,'Ingredient costs'!$A$2:$B$536,2, FALSE)</f>
        <v>1548</v>
      </c>
      <c r="T16" s="8">
        <v>1</v>
      </c>
      <c r="U16" s="7" t="s">
        <v>58</v>
      </c>
      <c r="V16" s="3">
        <f>T16*VLOOKUP(U16,'Ingredient costs'!$A$2:$B$536,2, FALSE)</f>
        <v>936</v>
      </c>
      <c r="X16" s="3" t="s">
        <v>23</v>
      </c>
      <c r="Y16" s="3">
        <f>W16*VLOOKUP(X16,'Ingredient costs'!$A$2:$B$536,2, FALSE)</f>
        <v>0</v>
      </c>
      <c r="AA16" s="3" t="s">
        <v>23</v>
      </c>
      <c r="AB16" s="3">
        <f>Z16*VLOOKUP(AA16,'Ingredient costs'!$A$2:$B$536,2, FALSE)</f>
        <v>0</v>
      </c>
    </row>
    <row r="17" spans="1:28" ht="15.75" customHeight="1" x14ac:dyDescent="0.25">
      <c r="A17" s="4" t="s">
        <v>63</v>
      </c>
      <c r="B17" s="4" t="s">
        <v>64</v>
      </c>
      <c r="C17" s="4">
        <v>9</v>
      </c>
      <c r="D17" s="4">
        <v>1080</v>
      </c>
      <c r="E17" s="4">
        <f t="shared" si="0"/>
        <v>864</v>
      </c>
      <c r="F17" s="4">
        <f t="shared" si="1"/>
        <v>216</v>
      </c>
      <c r="G17" s="4">
        <v>13</v>
      </c>
      <c r="H17" s="4">
        <v>30</v>
      </c>
      <c r="I17" s="4">
        <v>25</v>
      </c>
      <c r="J17" s="4">
        <f t="shared" si="2"/>
        <v>43.199999999999996</v>
      </c>
      <c r="K17" s="4">
        <f t="shared" si="3"/>
        <v>51.84</v>
      </c>
      <c r="L17" s="4">
        <f t="shared" si="4"/>
        <v>26</v>
      </c>
      <c r="M17" s="4">
        <f t="shared" si="5"/>
        <v>31.200000000000003</v>
      </c>
      <c r="N17" s="5">
        <v>3</v>
      </c>
      <c r="O17" s="6" t="s">
        <v>26</v>
      </c>
      <c r="P17" s="3">
        <f>N17*VLOOKUP(O17,'Ingredient costs'!$A$2:$B$536,2, FALSE)</f>
        <v>540</v>
      </c>
      <c r="Q17" s="5">
        <v>1</v>
      </c>
      <c r="R17" s="6" t="s">
        <v>28</v>
      </c>
      <c r="S17" s="3">
        <f>Q17*VLOOKUP(R17,'Ingredient costs'!$A$2:$B$536,2, FALSE)</f>
        <v>324</v>
      </c>
      <c r="T17" s="6"/>
      <c r="U17" s="3" t="s">
        <v>23</v>
      </c>
      <c r="V17" s="3">
        <f>T17*VLOOKUP(U17,'Ingredient costs'!$A$2:$B$536,2, FALSE)</f>
        <v>0</v>
      </c>
      <c r="W17" s="6"/>
      <c r="X17" s="3" t="s">
        <v>23</v>
      </c>
      <c r="Y17" s="3">
        <f>W17*VLOOKUP(X17,'Ingredient costs'!$A$2:$B$536,2, FALSE)</f>
        <v>0</v>
      </c>
      <c r="AA17" s="3" t="s">
        <v>23</v>
      </c>
      <c r="AB17" s="3">
        <f>Z17*VLOOKUP(AA17,'Ingredient costs'!$A$2:$B$536,2, FALSE)</f>
        <v>0</v>
      </c>
    </row>
    <row r="18" spans="1:28" ht="15.75" customHeight="1" x14ac:dyDescent="0.25">
      <c r="A18" s="4" t="s">
        <v>63</v>
      </c>
      <c r="B18" s="4" t="s">
        <v>65</v>
      </c>
      <c r="C18" s="4">
        <v>11</v>
      </c>
      <c r="D18" s="4">
        <v>2016</v>
      </c>
      <c r="E18" s="4">
        <f t="shared" si="0"/>
        <v>1728</v>
      </c>
      <c r="F18" s="4">
        <f t="shared" si="1"/>
        <v>288</v>
      </c>
      <c r="G18" s="4">
        <v>24</v>
      </c>
      <c r="H18" s="4">
        <v>60</v>
      </c>
      <c r="I18" s="4">
        <v>51</v>
      </c>
      <c r="J18" s="4">
        <f t="shared" si="2"/>
        <v>28.799999999999997</v>
      </c>
      <c r="K18" s="4">
        <f t="shared" si="3"/>
        <v>33.882352941176471</v>
      </c>
      <c r="L18" s="4">
        <f t="shared" si="4"/>
        <v>24</v>
      </c>
      <c r="M18" s="4">
        <f t="shared" si="5"/>
        <v>28.235294117647058</v>
      </c>
      <c r="N18" s="5">
        <v>4</v>
      </c>
      <c r="O18" s="6" t="s">
        <v>26</v>
      </c>
      <c r="P18" s="3">
        <f>N18*VLOOKUP(O18,'Ingredient costs'!$A$2:$B$536,2, FALSE)</f>
        <v>720</v>
      </c>
      <c r="Q18" s="5">
        <v>2</v>
      </c>
      <c r="R18" s="6" t="s">
        <v>66</v>
      </c>
      <c r="S18" s="3">
        <f>Q18*VLOOKUP(R18,'Ingredient costs'!$A$2:$B$536,2, FALSE)</f>
        <v>1008</v>
      </c>
      <c r="T18" s="6"/>
      <c r="U18" s="3" t="s">
        <v>23</v>
      </c>
      <c r="V18" s="3">
        <f>T18*VLOOKUP(U18,'Ingredient costs'!$A$2:$B$536,2, FALSE)</f>
        <v>0</v>
      </c>
      <c r="W18" s="6"/>
      <c r="X18" s="3" t="s">
        <v>23</v>
      </c>
      <c r="Y18" s="3">
        <f>W18*VLOOKUP(X18,'Ingredient costs'!$A$2:$B$536,2, FALSE)</f>
        <v>0</v>
      </c>
      <c r="AA18" s="3" t="s">
        <v>23</v>
      </c>
      <c r="AB18" s="3">
        <f>Z18*VLOOKUP(AA18,'Ingredient costs'!$A$2:$B$536,2, FALSE)</f>
        <v>0</v>
      </c>
    </row>
    <row r="19" spans="1:28" ht="15.75" customHeight="1" x14ac:dyDescent="0.25">
      <c r="A19" s="4" t="s">
        <v>63</v>
      </c>
      <c r="B19" s="4" t="s">
        <v>67</v>
      </c>
      <c r="C19" s="4">
        <v>18</v>
      </c>
      <c r="D19" s="4">
        <v>1800</v>
      </c>
      <c r="E19" s="4">
        <f t="shared" si="0"/>
        <v>1440</v>
      </c>
      <c r="F19" s="4">
        <f t="shared" si="1"/>
        <v>360</v>
      </c>
      <c r="G19" s="4">
        <v>22</v>
      </c>
      <c r="H19" s="4">
        <v>120</v>
      </c>
      <c r="I19" s="4">
        <v>102</v>
      </c>
      <c r="J19" s="4">
        <f t="shared" si="2"/>
        <v>18</v>
      </c>
      <c r="K19" s="4">
        <f t="shared" si="3"/>
        <v>21.176470588235293</v>
      </c>
      <c r="L19" s="4">
        <f t="shared" si="4"/>
        <v>11</v>
      </c>
      <c r="M19" s="4">
        <f t="shared" si="5"/>
        <v>12.941176470588236</v>
      </c>
      <c r="N19" s="5">
        <v>2</v>
      </c>
      <c r="O19" s="6" t="s">
        <v>21</v>
      </c>
      <c r="P19" s="3">
        <f>N19*VLOOKUP(O19,'Ingredient costs'!$A$2:$B$536,2, FALSE)</f>
        <v>432</v>
      </c>
      <c r="Q19" s="5">
        <v>2</v>
      </c>
      <c r="R19" s="6" t="s">
        <v>66</v>
      </c>
      <c r="S19" s="3">
        <f>Q19*VLOOKUP(R19,'Ingredient costs'!$A$2:$B$536,2, FALSE)</f>
        <v>1008</v>
      </c>
      <c r="T19" s="6"/>
      <c r="U19" s="3" t="s">
        <v>23</v>
      </c>
      <c r="V19" s="3">
        <f>T19*VLOOKUP(U19,'Ingredient costs'!$A$2:$B$536,2, FALSE)</f>
        <v>0</v>
      </c>
      <c r="W19" s="6"/>
      <c r="X19" s="3" t="s">
        <v>23</v>
      </c>
      <c r="Y19" s="3">
        <f>W19*VLOOKUP(X19,'Ingredient costs'!$A$2:$B$536,2, FALSE)</f>
        <v>0</v>
      </c>
      <c r="AA19" s="3" t="s">
        <v>23</v>
      </c>
      <c r="AB19" s="3">
        <f>Z19*VLOOKUP(AA19,'Ingredient costs'!$A$2:$B$536,2, FALSE)</f>
        <v>0</v>
      </c>
    </row>
    <row r="20" spans="1:28" ht="15.75" customHeight="1" x14ac:dyDescent="0.25">
      <c r="A20" s="4" t="s">
        <v>63</v>
      </c>
      <c r="B20" s="4" t="s">
        <v>68</v>
      </c>
      <c r="C20" s="4">
        <v>27</v>
      </c>
      <c r="D20" s="4">
        <v>2268</v>
      </c>
      <c r="E20" s="4">
        <f t="shared" si="0"/>
        <v>1872</v>
      </c>
      <c r="F20" s="4">
        <f t="shared" si="1"/>
        <v>396</v>
      </c>
      <c r="G20" s="4">
        <v>27</v>
      </c>
      <c r="H20" s="4">
        <v>120</v>
      </c>
      <c r="I20" s="4">
        <v>102</v>
      </c>
      <c r="J20" s="4">
        <f t="shared" si="2"/>
        <v>19.799999999999997</v>
      </c>
      <c r="K20" s="4">
        <f t="shared" si="3"/>
        <v>23.294117647058822</v>
      </c>
      <c r="L20" s="4">
        <f t="shared" si="4"/>
        <v>13.5</v>
      </c>
      <c r="M20" s="4">
        <f t="shared" si="5"/>
        <v>15.882352941176471</v>
      </c>
      <c r="N20" s="5">
        <v>2</v>
      </c>
      <c r="O20" s="6" t="s">
        <v>43</v>
      </c>
      <c r="P20" s="3">
        <f>N20*VLOOKUP(O20,'Ingredient costs'!$A$2:$B$536,2, FALSE)</f>
        <v>1080</v>
      </c>
      <c r="Q20" s="5">
        <v>1</v>
      </c>
      <c r="R20" s="6" t="s">
        <v>37</v>
      </c>
      <c r="S20" s="3">
        <f>Q20*VLOOKUP(R20,'Ingredient costs'!$A$2:$B$536,2, FALSE)</f>
        <v>360</v>
      </c>
      <c r="T20" s="5">
        <v>2</v>
      </c>
      <c r="U20" s="6" t="s">
        <v>21</v>
      </c>
      <c r="V20" s="3">
        <f>T20*VLOOKUP(U20,'Ingredient costs'!$A$2:$B$536,2, FALSE)</f>
        <v>432</v>
      </c>
      <c r="W20" s="6"/>
      <c r="X20" s="3" t="s">
        <v>23</v>
      </c>
      <c r="Y20" s="3">
        <f>W20*VLOOKUP(X20,'Ingredient costs'!$A$2:$B$536,2, FALSE)</f>
        <v>0</v>
      </c>
      <c r="AA20" s="3" t="s">
        <v>23</v>
      </c>
      <c r="AB20" s="3">
        <f>Z20*VLOOKUP(AA20,'Ingredient costs'!$A$2:$B$536,2, FALSE)</f>
        <v>0</v>
      </c>
    </row>
    <row r="21" spans="1:28" ht="15.75" customHeight="1" x14ac:dyDescent="0.25">
      <c r="A21" s="4" t="s">
        <v>63</v>
      </c>
      <c r="B21" s="4" t="s">
        <v>69</v>
      </c>
      <c r="C21" s="4">
        <v>30</v>
      </c>
      <c r="D21" s="4">
        <v>1188</v>
      </c>
      <c r="E21" s="4">
        <f t="shared" si="0"/>
        <v>864</v>
      </c>
      <c r="F21" s="4">
        <f t="shared" si="1"/>
        <v>324</v>
      </c>
      <c r="G21" s="4">
        <v>14</v>
      </c>
      <c r="H21" s="4">
        <v>90</v>
      </c>
      <c r="I21" s="4">
        <v>76</v>
      </c>
      <c r="J21" s="4">
        <f t="shared" si="2"/>
        <v>21.599999999999998</v>
      </c>
      <c r="K21" s="4">
        <f t="shared" si="3"/>
        <v>25.578947368421055</v>
      </c>
      <c r="L21" s="4">
        <f t="shared" si="4"/>
        <v>9.3333333333333339</v>
      </c>
      <c r="M21" s="4">
        <f t="shared" si="5"/>
        <v>11.052631578947368</v>
      </c>
      <c r="N21" s="5">
        <v>2</v>
      </c>
      <c r="O21" s="6" t="s">
        <v>34</v>
      </c>
      <c r="P21" s="3">
        <f>N21*VLOOKUP(O21,'Ingredient costs'!$A$2:$B$536,2, FALSE)</f>
        <v>864</v>
      </c>
      <c r="Q21" s="6"/>
      <c r="R21" s="3" t="s">
        <v>23</v>
      </c>
      <c r="S21" s="3">
        <f>Q21*VLOOKUP(R21,'Ingredient costs'!$A$2:$B$536,2, FALSE)</f>
        <v>0</v>
      </c>
      <c r="T21" s="6"/>
      <c r="U21" s="3" t="s">
        <v>23</v>
      </c>
      <c r="V21" s="3">
        <f>T21*VLOOKUP(U21,'Ingredient costs'!$A$2:$B$536,2, FALSE)</f>
        <v>0</v>
      </c>
      <c r="W21" s="6"/>
      <c r="X21" s="3" t="s">
        <v>23</v>
      </c>
      <c r="Y21" s="3">
        <f>W21*VLOOKUP(X21,'Ingredient costs'!$A$2:$B$536,2, FALSE)</f>
        <v>0</v>
      </c>
      <c r="AA21" s="3" t="s">
        <v>23</v>
      </c>
      <c r="AB21" s="3">
        <f>Z21*VLOOKUP(AA21,'Ingredient costs'!$A$2:$B$536,2, FALSE)</f>
        <v>0</v>
      </c>
    </row>
    <row r="22" spans="1:28" ht="15.75" customHeight="1" x14ac:dyDescent="0.25">
      <c r="A22" s="4" t="s">
        <v>63</v>
      </c>
      <c r="B22" s="4" t="s">
        <v>70</v>
      </c>
      <c r="C22" s="4">
        <v>35</v>
      </c>
      <c r="D22" s="4">
        <v>2988</v>
      </c>
      <c r="E22" s="4">
        <f t="shared" si="0"/>
        <v>2808</v>
      </c>
      <c r="F22" s="4">
        <f t="shared" si="1"/>
        <v>180</v>
      </c>
      <c r="G22" s="4">
        <v>36</v>
      </c>
      <c r="H22" s="4">
        <v>35</v>
      </c>
      <c r="I22" s="4">
        <v>29</v>
      </c>
      <c r="J22" s="4">
        <f t="shared" si="2"/>
        <v>30.857142857142861</v>
      </c>
      <c r="K22" s="4">
        <f t="shared" si="3"/>
        <v>37.241379310344826</v>
      </c>
      <c r="L22" s="4">
        <f t="shared" si="4"/>
        <v>61.714285714285708</v>
      </c>
      <c r="M22" s="4">
        <f t="shared" si="5"/>
        <v>74.482758620689651</v>
      </c>
      <c r="N22" s="5">
        <v>2</v>
      </c>
      <c r="O22" s="6" t="s">
        <v>39</v>
      </c>
      <c r="P22" s="3">
        <f>N22*VLOOKUP(O22,'Ingredient costs'!$A$2:$B$536,2, FALSE)</f>
        <v>720</v>
      </c>
      <c r="Q22" s="5">
        <v>1</v>
      </c>
      <c r="R22" s="6" t="s">
        <v>37</v>
      </c>
      <c r="S22" s="3">
        <f>Q22*VLOOKUP(R22,'Ingredient costs'!$A$2:$B$536,2, FALSE)</f>
        <v>360</v>
      </c>
      <c r="T22" s="5">
        <v>1</v>
      </c>
      <c r="U22" s="6" t="s">
        <v>71</v>
      </c>
      <c r="V22" s="3">
        <f>T22*VLOOKUP(U22,'Ingredient costs'!$A$2:$B$536,2, FALSE)</f>
        <v>504</v>
      </c>
      <c r="W22" s="5">
        <v>1</v>
      </c>
      <c r="X22" s="7" t="s">
        <v>35</v>
      </c>
      <c r="Y22" s="3">
        <f>W22*VLOOKUP(X22,'Ingredient costs'!$A$2:$B$536,2, FALSE)</f>
        <v>1224</v>
      </c>
      <c r="AA22" s="3" t="s">
        <v>23</v>
      </c>
      <c r="AB22" s="3">
        <f>Z22*VLOOKUP(AA22,'Ingredient costs'!$A$2:$B$536,2, FALSE)</f>
        <v>0</v>
      </c>
    </row>
    <row r="23" spans="1:28" ht="15.75" customHeight="1" x14ac:dyDescent="0.25">
      <c r="A23" s="4" t="s">
        <v>63</v>
      </c>
      <c r="B23" s="4" t="s">
        <v>72</v>
      </c>
      <c r="C23" s="4">
        <v>41</v>
      </c>
      <c r="D23" s="4">
        <v>2448</v>
      </c>
      <c r="E23" s="4">
        <f t="shared" si="0"/>
        <v>2160</v>
      </c>
      <c r="F23" s="4">
        <f t="shared" si="1"/>
        <v>288</v>
      </c>
      <c r="G23" s="4">
        <v>29</v>
      </c>
      <c r="H23" s="4">
        <v>90</v>
      </c>
      <c r="I23" s="4">
        <v>76</v>
      </c>
      <c r="J23" s="4">
        <f t="shared" si="2"/>
        <v>19.2</v>
      </c>
      <c r="K23" s="4">
        <f t="shared" si="3"/>
        <v>22.736842105263154</v>
      </c>
      <c r="L23" s="4">
        <f t="shared" si="4"/>
        <v>19.333333333333336</v>
      </c>
      <c r="M23" s="4">
        <f t="shared" si="5"/>
        <v>22.894736842105264</v>
      </c>
      <c r="N23" s="5">
        <v>2</v>
      </c>
      <c r="O23" s="6" t="s">
        <v>43</v>
      </c>
      <c r="P23" s="3">
        <f>N23*VLOOKUP(O23,'Ingredient costs'!$A$2:$B$536,2, FALSE)</f>
        <v>1080</v>
      </c>
      <c r="Q23" s="5">
        <v>3</v>
      </c>
      <c r="R23" s="6" t="s">
        <v>39</v>
      </c>
      <c r="S23" s="3">
        <f>Q23*VLOOKUP(R23,'Ingredient costs'!$A$2:$B$536,2, FALSE)</f>
        <v>1080</v>
      </c>
      <c r="T23" s="6"/>
      <c r="U23" s="3" t="s">
        <v>23</v>
      </c>
      <c r="V23" s="3">
        <f>T23*VLOOKUP(U23,'Ingredient costs'!$A$2:$B$536,2, FALSE)</f>
        <v>0</v>
      </c>
      <c r="W23" s="6"/>
      <c r="X23" s="3" t="s">
        <v>23</v>
      </c>
      <c r="Y23" s="3">
        <f>W23*VLOOKUP(X23,'Ingredient costs'!$A$2:$B$536,2, FALSE)</f>
        <v>0</v>
      </c>
      <c r="AA23" s="3" t="s">
        <v>23</v>
      </c>
      <c r="AB23" s="3">
        <f>Z23*VLOOKUP(AA23,'Ingredient costs'!$A$2:$B$536,2, FALSE)</f>
        <v>0</v>
      </c>
    </row>
    <row r="24" spans="1:28" ht="15.75" customHeight="1" x14ac:dyDescent="0.25">
      <c r="A24" s="4" t="s">
        <v>63</v>
      </c>
      <c r="B24" s="4" t="s">
        <v>73</v>
      </c>
      <c r="C24" s="4">
        <v>48</v>
      </c>
      <c r="D24" s="4">
        <v>4176</v>
      </c>
      <c r="E24" s="4">
        <f t="shared" si="0"/>
        <v>3918</v>
      </c>
      <c r="F24" s="4">
        <f t="shared" si="1"/>
        <v>258</v>
      </c>
      <c r="G24" s="4">
        <v>50</v>
      </c>
      <c r="H24" s="4">
        <v>40</v>
      </c>
      <c r="I24" s="4">
        <v>34</v>
      </c>
      <c r="J24" s="4">
        <f t="shared" si="2"/>
        <v>38.700000000000003</v>
      </c>
      <c r="K24" s="4">
        <f t="shared" si="3"/>
        <v>45.529411764705884</v>
      </c>
      <c r="L24" s="4">
        <f t="shared" si="4"/>
        <v>75</v>
      </c>
      <c r="M24" s="4">
        <f t="shared" si="5"/>
        <v>88.235294117647072</v>
      </c>
      <c r="N24" s="5">
        <v>1</v>
      </c>
      <c r="O24" s="6" t="s">
        <v>44</v>
      </c>
      <c r="P24" s="3">
        <f>N24*VLOOKUP(O24,'Ingredient costs'!$A$2:$B$536,2, FALSE)</f>
        <v>2010</v>
      </c>
      <c r="Q24" s="5">
        <v>1</v>
      </c>
      <c r="R24" s="6" t="s">
        <v>37</v>
      </c>
      <c r="S24" s="3">
        <f>Q24*VLOOKUP(R24,'Ingredient costs'!$A$2:$B$536,2, FALSE)</f>
        <v>360</v>
      </c>
      <c r="T24" s="5">
        <v>1</v>
      </c>
      <c r="U24" s="6" t="s">
        <v>62</v>
      </c>
      <c r="V24" s="3">
        <f>T24*VLOOKUP(U24,'Ingredient costs'!$A$2:$B$536,2, FALSE)</f>
        <v>1548</v>
      </c>
      <c r="W24" s="6"/>
      <c r="X24" s="3" t="s">
        <v>23</v>
      </c>
      <c r="Y24" s="3">
        <f>W24*VLOOKUP(X24,'Ingredient costs'!$A$2:$B$536,2, FALSE)</f>
        <v>0</v>
      </c>
      <c r="AA24" s="3" t="s">
        <v>23</v>
      </c>
      <c r="AB24" s="3">
        <f>Z24*VLOOKUP(AA24,'Ingredient costs'!$A$2:$B$536,2, FALSE)</f>
        <v>0</v>
      </c>
    </row>
    <row r="25" spans="1:28" ht="15.75" customHeight="1" x14ac:dyDescent="0.25">
      <c r="A25" s="4" t="s">
        <v>63</v>
      </c>
      <c r="B25" s="4" t="s">
        <v>74</v>
      </c>
      <c r="C25" s="4">
        <v>60</v>
      </c>
      <c r="D25" s="4">
        <v>1980</v>
      </c>
      <c r="E25" s="4">
        <f t="shared" si="0"/>
        <v>1792</v>
      </c>
      <c r="F25" s="4">
        <f t="shared" si="1"/>
        <v>188</v>
      </c>
      <c r="G25" s="4">
        <v>24</v>
      </c>
      <c r="H25" s="4">
        <v>15</v>
      </c>
      <c r="I25" s="4">
        <v>12</v>
      </c>
      <c r="J25" s="4">
        <f t="shared" si="2"/>
        <v>75.2</v>
      </c>
      <c r="K25" s="4">
        <f t="shared" si="3"/>
        <v>94</v>
      </c>
      <c r="L25" s="4">
        <f t="shared" si="4"/>
        <v>96</v>
      </c>
      <c r="M25" s="4">
        <f t="shared" si="5"/>
        <v>120</v>
      </c>
      <c r="N25" s="5">
        <v>2</v>
      </c>
      <c r="O25" s="6" t="s">
        <v>21</v>
      </c>
      <c r="P25" s="3">
        <f>N25*VLOOKUP(O25,'Ingredient costs'!$A$2:$B$536,2, FALSE)</f>
        <v>432</v>
      </c>
      <c r="Q25" s="5">
        <v>1</v>
      </c>
      <c r="R25" s="6" t="s">
        <v>41</v>
      </c>
      <c r="S25" s="3">
        <f>Q25*VLOOKUP(R25,'Ingredient costs'!$A$2:$B$536,2, FALSE)</f>
        <v>828</v>
      </c>
      <c r="T25" s="5">
        <v>4</v>
      </c>
      <c r="U25" s="6" t="s">
        <v>75</v>
      </c>
      <c r="V25" s="3">
        <f>T25*VLOOKUP(U25,'Ingredient costs'!$A$2:$B$536,2, FALSE)</f>
        <v>532</v>
      </c>
      <c r="W25" s="6"/>
      <c r="X25" s="3" t="s">
        <v>23</v>
      </c>
      <c r="Y25" s="3">
        <f>W25*VLOOKUP(X25,'Ingredient costs'!$A$2:$B$536,2, FALSE)</f>
        <v>0</v>
      </c>
      <c r="AA25" s="3" t="s">
        <v>23</v>
      </c>
      <c r="AB25" s="3">
        <f>Z25*VLOOKUP(AA25,'Ingredient costs'!$A$2:$B$536,2, FALSE)</f>
        <v>0</v>
      </c>
    </row>
    <row r="26" spans="1:28" ht="15.75" customHeight="1" x14ac:dyDescent="0.25">
      <c r="A26" s="4" t="s">
        <v>63</v>
      </c>
      <c r="B26" s="4" t="s">
        <v>76</v>
      </c>
      <c r="C26" s="4">
        <v>68</v>
      </c>
      <c r="D26" s="4">
        <v>1908</v>
      </c>
      <c r="E26" s="4">
        <f t="shared" si="0"/>
        <v>1620</v>
      </c>
      <c r="F26" s="4">
        <f t="shared" si="1"/>
        <v>288</v>
      </c>
      <c r="G26" s="4">
        <v>23</v>
      </c>
      <c r="H26" s="4">
        <v>60</v>
      </c>
      <c r="I26" s="4">
        <v>51</v>
      </c>
      <c r="J26" s="4">
        <f t="shared" si="2"/>
        <v>28.799999999999997</v>
      </c>
      <c r="K26" s="4">
        <f t="shared" si="3"/>
        <v>33.882352941176471</v>
      </c>
      <c r="L26" s="4">
        <f t="shared" si="4"/>
        <v>23</v>
      </c>
      <c r="M26" s="4">
        <f t="shared" si="5"/>
        <v>27.058823529411764</v>
      </c>
      <c r="N26" s="5">
        <v>2</v>
      </c>
      <c r="O26" s="6" t="s">
        <v>77</v>
      </c>
      <c r="P26" s="3">
        <f>N26*VLOOKUP(O26,'Ingredient costs'!$A$2:$B$536,2, FALSE)</f>
        <v>792</v>
      </c>
      <c r="Q26" s="5">
        <v>1</v>
      </c>
      <c r="R26" s="6" t="s">
        <v>41</v>
      </c>
      <c r="S26" s="3">
        <f>Q26*VLOOKUP(R26,'Ingredient costs'!$A$2:$B$536,2, FALSE)</f>
        <v>828</v>
      </c>
      <c r="T26" s="6"/>
      <c r="U26" s="3" t="s">
        <v>23</v>
      </c>
      <c r="V26" s="3">
        <f>T26*VLOOKUP(U26,'Ingredient costs'!$A$2:$B$536,2, FALSE)</f>
        <v>0</v>
      </c>
      <c r="W26" s="6"/>
      <c r="X26" s="3" t="s">
        <v>23</v>
      </c>
      <c r="Y26" s="3">
        <f>W26*VLOOKUP(X26,'Ingredient costs'!$A$2:$B$536,2, FALSE)</f>
        <v>0</v>
      </c>
      <c r="AA26" s="3" t="s">
        <v>23</v>
      </c>
      <c r="AB26" s="3">
        <f>Z26*VLOOKUP(AA26,'Ingredient costs'!$A$2:$B$536,2, FALSE)</f>
        <v>0</v>
      </c>
    </row>
    <row r="27" spans="1:28" ht="15.75" customHeight="1" x14ac:dyDescent="0.25">
      <c r="A27" s="4" t="s">
        <v>63</v>
      </c>
      <c r="B27" s="4" t="s">
        <v>78</v>
      </c>
      <c r="C27" s="4">
        <v>72</v>
      </c>
      <c r="D27" s="4">
        <v>1980</v>
      </c>
      <c r="E27" s="4">
        <f t="shared" si="0"/>
        <v>1800</v>
      </c>
      <c r="F27" s="4">
        <f t="shared" si="1"/>
        <v>180</v>
      </c>
      <c r="G27" s="4">
        <v>24</v>
      </c>
      <c r="H27" s="4">
        <v>25</v>
      </c>
      <c r="I27" s="4">
        <v>21</v>
      </c>
      <c r="J27" s="4">
        <f t="shared" si="2"/>
        <v>43.199999999999996</v>
      </c>
      <c r="K27" s="4">
        <f t="shared" si="3"/>
        <v>51.428571428571423</v>
      </c>
      <c r="L27" s="4">
        <f t="shared" si="4"/>
        <v>57.599999999999994</v>
      </c>
      <c r="M27" s="4">
        <f t="shared" si="5"/>
        <v>68.571428571428569</v>
      </c>
      <c r="N27" s="5">
        <v>2</v>
      </c>
      <c r="O27" s="6" t="s">
        <v>79</v>
      </c>
      <c r="P27" s="3">
        <f>N27*VLOOKUP(O27,'Ingredient costs'!$A$2:$B$536,2, FALSE)</f>
        <v>288</v>
      </c>
      <c r="Q27" s="5">
        <v>2</v>
      </c>
      <c r="R27" s="6" t="s">
        <v>80</v>
      </c>
      <c r="S27" s="3">
        <f>Q27*VLOOKUP(R27,'Ingredient costs'!$A$2:$B$536,2, FALSE)</f>
        <v>144</v>
      </c>
      <c r="T27" s="5">
        <v>2</v>
      </c>
      <c r="U27" s="6" t="s">
        <v>39</v>
      </c>
      <c r="V27" s="3">
        <f>T27*VLOOKUP(U27,'Ingredient costs'!$A$2:$B$536,2, FALSE)</f>
        <v>720</v>
      </c>
      <c r="W27" s="5">
        <v>2</v>
      </c>
      <c r="X27" s="7" t="s">
        <v>81</v>
      </c>
      <c r="Y27" s="3">
        <f>W27*VLOOKUP(X27,'Ingredient costs'!$A$2:$B$536,2, FALSE)</f>
        <v>648</v>
      </c>
      <c r="AA27" s="3" t="s">
        <v>23</v>
      </c>
      <c r="AB27" s="3">
        <f>Z27*VLOOKUP(AA27,'Ingredient costs'!$A$2:$B$536,2, FALSE)</f>
        <v>0</v>
      </c>
    </row>
    <row r="28" spans="1:28" ht="15.75" customHeight="1" x14ac:dyDescent="0.25">
      <c r="A28" s="4" t="s">
        <v>63</v>
      </c>
      <c r="B28" s="4" t="s">
        <v>82</v>
      </c>
      <c r="C28" s="4">
        <v>80</v>
      </c>
      <c r="D28" s="4">
        <v>3528</v>
      </c>
      <c r="E28" s="4">
        <f t="shared" si="0"/>
        <v>3348</v>
      </c>
      <c r="F28" s="4">
        <f t="shared" si="1"/>
        <v>180</v>
      </c>
      <c r="G28" s="4">
        <v>42</v>
      </c>
      <c r="H28" s="4">
        <v>20</v>
      </c>
      <c r="I28" s="4">
        <v>17</v>
      </c>
      <c r="J28" s="4">
        <f t="shared" si="2"/>
        <v>54</v>
      </c>
      <c r="K28" s="4">
        <f t="shared" si="3"/>
        <v>63.529411764705884</v>
      </c>
      <c r="L28" s="4">
        <f t="shared" si="4"/>
        <v>126</v>
      </c>
      <c r="M28" s="4">
        <f t="shared" si="5"/>
        <v>148.23529411764707</v>
      </c>
      <c r="N28" s="5">
        <v>3</v>
      </c>
      <c r="O28" s="6" t="s">
        <v>83</v>
      </c>
      <c r="P28" s="3">
        <f>N28*VLOOKUP(O28,'Ingredient costs'!$A$2:$B$536,2, FALSE)</f>
        <v>1080</v>
      </c>
      <c r="Q28" s="5">
        <v>1</v>
      </c>
      <c r="R28" s="6" t="s">
        <v>66</v>
      </c>
      <c r="S28" s="3">
        <f>Q28*VLOOKUP(R28,'Ingredient costs'!$A$2:$B$536,2, FALSE)</f>
        <v>504</v>
      </c>
      <c r="T28" s="5">
        <v>3</v>
      </c>
      <c r="U28" s="6" t="s">
        <v>84</v>
      </c>
      <c r="V28" s="3">
        <f>T28*VLOOKUP(U28,'Ingredient costs'!$A$2:$B$536,2, FALSE)</f>
        <v>540</v>
      </c>
      <c r="W28" s="5">
        <v>1</v>
      </c>
      <c r="X28" s="7" t="s">
        <v>35</v>
      </c>
      <c r="Y28" s="3">
        <f>W28*VLOOKUP(X28,'Ingredient costs'!$A$2:$B$536,2, FALSE)</f>
        <v>1224</v>
      </c>
      <c r="AA28" s="3" t="s">
        <v>23</v>
      </c>
      <c r="AB28" s="3">
        <f>Z28*VLOOKUP(AA28,'Ingredient costs'!$A$2:$B$536,2, FALSE)</f>
        <v>0</v>
      </c>
    </row>
    <row r="29" spans="1:28" ht="15.75" customHeight="1" x14ac:dyDescent="0.25">
      <c r="A29" s="4" t="s">
        <v>63</v>
      </c>
      <c r="B29" s="4" t="s">
        <v>85</v>
      </c>
      <c r="C29" s="4">
        <v>90</v>
      </c>
      <c r="D29" s="4">
        <v>3240</v>
      </c>
      <c r="E29" s="4">
        <f t="shared" si="0"/>
        <v>2952</v>
      </c>
      <c r="F29" s="4">
        <f t="shared" si="1"/>
        <v>288</v>
      </c>
      <c r="G29" s="4">
        <v>39</v>
      </c>
      <c r="H29" s="4">
        <v>40</v>
      </c>
      <c r="I29" s="4">
        <v>34</v>
      </c>
      <c r="J29" s="4">
        <f t="shared" si="2"/>
        <v>43.199999999999996</v>
      </c>
      <c r="K29" s="4">
        <f t="shared" si="3"/>
        <v>50.823529411764703</v>
      </c>
      <c r="L29" s="4">
        <f t="shared" si="4"/>
        <v>58.5</v>
      </c>
      <c r="M29" s="4">
        <f t="shared" si="5"/>
        <v>68.823529411764696</v>
      </c>
      <c r="N29" s="5">
        <v>3</v>
      </c>
      <c r="O29" s="6" t="s">
        <v>86</v>
      </c>
      <c r="P29" s="3">
        <f>N29*VLOOKUP(O29,'Ingredient costs'!$A$2:$B$536,2, FALSE)</f>
        <v>432</v>
      </c>
      <c r="Q29" s="5">
        <v>1</v>
      </c>
      <c r="R29" s="6" t="s">
        <v>87</v>
      </c>
      <c r="S29" s="3">
        <f>Q29*VLOOKUP(R29,'Ingredient costs'!$A$2:$B$536,2, FALSE)</f>
        <v>2520</v>
      </c>
      <c r="T29" s="6"/>
      <c r="U29" s="3" t="s">
        <v>23</v>
      </c>
      <c r="V29" s="3">
        <f>T29*VLOOKUP(U29,'Ingredient costs'!$A$2:$B$536,2, FALSE)</f>
        <v>0</v>
      </c>
      <c r="W29" s="6"/>
      <c r="X29" s="3" t="s">
        <v>23</v>
      </c>
      <c r="Y29" s="3">
        <f>W29*VLOOKUP(X29,'Ingredient costs'!$A$2:$B$536,2, FALSE)</f>
        <v>0</v>
      </c>
      <c r="AA29" s="3" t="s">
        <v>23</v>
      </c>
      <c r="AB29" s="3">
        <f>Z29*VLOOKUP(AA29,'Ingredient costs'!$A$2:$B$536,2, FALSE)</f>
        <v>0</v>
      </c>
    </row>
    <row r="30" spans="1:28" ht="15.75" customHeight="1" x14ac:dyDescent="0.25">
      <c r="A30" s="4" t="s">
        <v>63</v>
      </c>
      <c r="B30" s="4" t="s">
        <v>88</v>
      </c>
      <c r="C30" s="4">
        <v>94</v>
      </c>
      <c r="D30" s="4">
        <v>3528</v>
      </c>
      <c r="E30" s="4">
        <f t="shared" si="0"/>
        <v>3312</v>
      </c>
      <c r="F30" s="4">
        <f t="shared" si="1"/>
        <v>216</v>
      </c>
      <c r="G30" s="4">
        <v>42</v>
      </c>
      <c r="H30" s="4">
        <v>60</v>
      </c>
      <c r="I30" s="4">
        <v>51</v>
      </c>
      <c r="J30" s="4">
        <f t="shared" si="2"/>
        <v>21.599999999999998</v>
      </c>
      <c r="K30" s="4">
        <f t="shared" si="3"/>
        <v>25.411764705882351</v>
      </c>
      <c r="L30" s="4">
        <f t="shared" si="4"/>
        <v>42</v>
      </c>
      <c r="M30" s="4">
        <f t="shared" si="5"/>
        <v>49.411764705882348</v>
      </c>
      <c r="N30" s="5">
        <v>3</v>
      </c>
      <c r="O30" s="6" t="s">
        <v>22</v>
      </c>
      <c r="P30" s="3">
        <f>N30*VLOOKUP(O30,'Ingredient costs'!$A$2:$B$536,2, FALSE)</f>
        <v>108</v>
      </c>
      <c r="Q30" s="5">
        <v>1</v>
      </c>
      <c r="R30" s="6" t="s">
        <v>71</v>
      </c>
      <c r="S30" s="3">
        <f>Q30*VLOOKUP(R30,'Ingredient costs'!$A$2:$B$536,2, FALSE)</f>
        <v>504</v>
      </c>
      <c r="T30" s="5">
        <v>2</v>
      </c>
      <c r="U30" s="6" t="s">
        <v>32</v>
      </c>
      <c r="V30" s="3">
        <f>T30*VLOOKUP(U30,'Ingredient costs'!$A$2:$B$536,2, FALSE)</f>
        <v>1656</v>
      </c>
      <c r="W30" s="5">
        <v>1</v>
      </c>
      <c r="X30" s="7" t="s">
        <v>50</v>
      </c>
      <c r="Y30" s="3">
        <f>W30*VLOOKUP(X30,'Ingredient costs'!$A$2:$B$536,2, FALSE)</f>
        <v>1044</v>
      </c>
      <c r="AA30" s="3" t="s">
        <v>23</v>
      </c>
      <c r="AB30" s="3">
        <f>Z30*VLOOKUP(AA30,'Ingredient costs'!$A$2:$B$536,2, FALSE)</f>
        <v>0</v>
      </c>
    </row>
    <row r="31" spans="1:28" ht="15.75" customHeight="1" x14ac:dyDescent="0.25">
      <c r="A31" s="4" t="s">
        <v>63</v>
      </c>
      <c r="B31" s="4" t="s">
        <v>89</v>
      </c>
      <c r="C31" s="4">
        <v>96</v>
      </c>
      <c r="D31" s="4">
        <v>1764</v>
      </c>
      <c r="E31" s="4">
        <f t="shared" si="0"/>
        <v>1512</v>
      </c>
      <c r="F31" s="4">
        <f t="shared" si="1"/>
        <v>252</v>
      </c>
      <c r="G31" s="4">
        <v>21</v>
      </c>
      <c r="H31" s="4">
        <v>30</v>
      </c>
      <c r="I31" s="4">
        <v>25</v>
      </c>
      <c r="J31" s="4">
        <f t="shared" si="2"/>
        <v>50.400000000000006</v>
      </c>
      <c r="K31" s="4">
        <f t="shared" si="3"/>
        <v>60.480000000000004</v>
      </c>
      <c r="L31" s="4">
        <f t="shared" si="4"/>
        <v>42</v>
      </c>
      <c r="M31" s="4">
        <f t="shared" si="5"/>
        <v>50.4</v>
      </c>
      <c r="N31" s="8">
        <v>1</v>
      </c>
      <c r="O31" s="7" t="s">
        <v>43</v>
      </c>
      <c r="P31" s="3">
        <f>N31*VLOOKUP(O31,'Ingredient costs'!$A$2:$B$536,2, FALSE)</f>
        <v>540</v>
      </c>
      <c r="Q31" s="8">
        <v>3</v>
      </c>
      <c r="R31" s="7" t="s">
        <v>90</v>
      </c>
      <c r="S31" s="3">
        <f>Q31*VLOOKUP(R31,'Ingredient costs'!$A$2:$B$536,2, FALSE)</f>
        <v>324</v>
      </c>
      <c r="T31" s="8">
        <v>1</v>
      </c>
      <c r="U31" s="7" t="s">
        <v>46</v>
      </c>
      <c r="V31" s="3">
        <f>T31*VLOOKUP(U31,'Ingredient costs'!$A$2:$B$536,2, FALSE)</f>
        <v>288</v>
      </c>
      <c r="W31" s="8">
        <v>2</v>
      </c>
      <c r="X31" s="7" t="s">
        <v>91</v>
      </c>
      <c r="Y31" s="3">
        <f>W31*VLOOKUP(X31,'Ingredient costs'!$A$2:$B$536,2, FALSE)</f>
        <v>360</v>
      </c>
      <c r="AA31" s="3" t="s">
        <v>23</v>
      </c>
      <c r="AB31" s="3">
        <f>Z31*VLOOKUP(AA31,'Ingredient costs'!$A$2:$B$536,2, FALSE)</f>
        <v>0</v>
      </c>
    </row>
    <row r="32" spans="1:28" ht="15.75" customHeight="1" x14ac:dyDescent="0.25">
      <c r="A32" s="4" t="s">
        <v>92</v>
      </c>
      <c r="B32" s="4" t="s">
        <v>93</v>
      </c>
      <c r="C32" s="4">
        <v>21</v>
      </c>
      <c r="D32" s="4">
        <v>1656</v>
      </c>
      <c r="E32" s="4">
        <f t="shared" si="0"/>
        <v>1296</v>
      </c>
      <c r="F32" s="4">
        <f t="shared" si="1"/>
        <v>360</v>
      </c>
      <c r="G32" s="4">
        <v>20</v>
      </c>
      <c r="H32" s="4">
        <v>90</v>
      </c>
      <c r="I32" s="4">
        <v>76</v>
      </c>
      <c r="J32" s="4">
        <f t="shared" si="2"/>
        <v>24</v>
      </c>
      <c r="K32" s="4">
        <f t="shared" si="3"/>
        <v>28.421052631578945</v>
      </c>
      <c r="L32" s="4">
        <f t="shared" si="4"/>
        <v>13.333333333333332</v>
      </c>
      <c r="M32" s="4">
        <f t="shared" si="5"/>
        <v>15.789473684210526</v>
      </c>
      <c r="N32" s="5">
        <v>2</v>
      </c>
      <c r="O32" s="6" t="s">
        <v>80</v>
      </c>
      <c r="P32" s="3">
        <f>N32*VLOOKUP(O32,'Ingredient costs'!$A$2:$B$536,2, FALSE)</f>
        <v>144</v>
      </c>
      <c r="Q32" s="5">
        <v>1</v>
      </c>
      <c r="R32" s="6" t="s">
        <v>28</v>
      </c>
      <c r="S32" s="3">
        <f>Q32*VLOOKUP(R32,'Ingredient costs'!$A$2:$B$536,2, FALSE)</f>
        <v>324</v>
      </c>
      <c r="T32" s="5">
        <v>1</v>
      </c>
      <c r="U32" s="6" t="s">
        <v>41</v>
      </c>
      <c r="V32" s="3">
        <f>T32*VLOOKUP(U32,'Ingredient costs'!$A$2:$B$536,2, FALSE)</f>
        <v>828</v>
      </c>
      <c r="W32" s="6"/>
      <c r="X32" s="3" t="s">
        <v>23</v>
      </c>
      <c r="Y32" s="3">
        <f>W32*VLOOKUP(X32,'Ingredient costs'!$A$2:$B$536,2, FALSE)</f>
        <v>0</v>
      </c>
      <c r="AA32" s="3" t="s">
        <v>23</v>
      </c>
      <c r="AB32" s="3">
        <f>Z32*VLOOKUP(AA32,'Ingredient costs'!$A$2:$B$536,2, FALSE)</f>
        <v>0</v>
      </c>
    </row>
    <row r="33" spans="1:28" ht="15.75" customHeight="1" x14ac:dyDescent="0.25">
      <c r="A33" s="4" t="s">
        <v>92</v>
      </c>
      <c r="B33" s="4" t="s">
        <v>94</v>
      </c>
      <c r="C33" s="4">
        <v>23</v>
      </c>
      <c r="D33" s="4">
        <v>2556</v>
      </c>
      <c r="E33" s="4">
        <f t="shared" si="0"/>
        <v>2340</v>
      </c>
      <c r="F33" s="4">
        <f t="shared" si="1"/>
        <v>216</v>
      </c>
      <c r="G33" s="4">
        <v>26</v>
      </c>
      <c r="H33" s="4">
        <v>60</v>
      </c>
      <c r="I33" s="4">
        <v>153</v>
      </c>
      <c r="J33" s="4">
        <f t="shared" si="2"/>
        <v>21.599999999999998</v>
      </c>
      <c r="K33" s="4">
        <f t="shared" si="3"/>
        <v>8.4705882352941178</v>
      </c>
      <c r="L33" s="4">
        <f t="shared" si="4"/>
        <v>26</v>
      </c>
      <c r="M33" s="4">
        <f t="shared" si="5"/>
        <v>10.19607843137255</v>
      </c>
      <c r="N33" s="5">
        <v>1</v>
      </c>
      <c r="O33" s="6" t="s">
        <v>30</v>
      </c>
      <c r="P33" s="3">
        <f>N33*VLOOKUP(O33,'Ingredient costs'!$A$2:$B$536,2, FALSE)</f>
        <v>468</v>
      </c>
      <c r="Q33" s="5">
        <v>1</v>
      </c>
      <c r="R33" s="6" t="s">
        <v>95</v>
      </c>
      <c r="S33" s="3">
        <f>Q33*VLOOKUP(R33,'Ingredient costs'!$A$2:$B$536,2, FALSE)</f>
        <v>324</v>
      </c>
      <c r="T33" s="5">
        <v>2</v>
      </c>
      <c r="U33" s="6" t="s">
        <v>96</v>
      </c>
      <c r="V33" s="3">
        <f>T33*VLOOKUP(U33,'Ingredient costs'!$A$2:$B$536,2, FALSE)</f>
        <v>1368</v>
      </c>
      <c r="W33" s="5">
        <v>1</v>
      </c>
      <c r="X33" s="7" t="s">
        <v>26</v>
      </c>
      <c r="Y33" s="3">
        <f>W33*VLOOKUP(X33,'Ingredient costs'!$A$2:$B$536,2, FALSE)</f>
        <v>180</v>
      </c>
      <c r="AA33" s="3" t="s">
        <v>23</v>
      </c>
      <c r="AB33" s="3">
        <f>Z33*VLOOKUP(AA33,'Ingredient costs'!$A$2:$B$536,2, FALSE)</f>
        <v>0</v>
      </c>
    </row>
    <row r="34" spans="1:28" ht="15.75" customHeight="1" x14ac:dyDescent="0.25">
      <c r="A34" s="4" t="s">
        <v>92</v>
      </c>
      <c r="B34" s="4" t="s">
        <v>97</v>
      </c>
      <c r="C34" s="4">
        <v>23</v>
      </c>
      <c r="D34" s="4">
        <v>2196</v>
      </c>
      <c r="E34" s="4">
        <f t="shared" si="0"/>
        <v>1188</v>
      </c>
      <c r="F34" s="4">
        <f t="shared" si="1"/>
        <v>1008</v>
      </c>
      <c r="G34" s="4">
        <v>31</v>
      </c>
      <c r="H34" s="4">
        <v>180</v>
      </c>
      <c r="I34" s="4">
        <v>51</v>
      </c>
      <c r="J34" s="4">
        <f t="shared" si="2"/>
        <v>33.599999999999994</v>
      </c>
      <c r="K34" s="4">
        <f t="shared" si="3"/>
        <v>118.58823529411765</v>
      </c>
      <c r="L34" s="4">
        <f t="shared" si="4"/>
        <v>10.333333333333334</v>
      </c>
      <c r="M34" s="4">
        <f t="shared" si="5"/>
        <v>36.470588235294116</v>
      </c>
      <c r="N34" s="5">
        <v>5</v>
      </c>
      <c r="O34" s="6" t="s">
        <v>22</v>
      </c>
      <c r="P34" s="3">
        <f>N34*VLOOKUP(O34,'Ingredient costs'!$A$2:$B$536,2, FALSE)</f>
        <v>180</v>
      </c>
      <c r="Q34" s="5">
        <v>1</v>
      </c>
      <c r="R34" s="6" t="s">
        <v>71</v>
      </c>
      <c r="S34" s="3">
        <f>Q34*VLOOKUP(R34,'Ingredient costs'!$A$2:$B$536,2, FALSE)</f>
        <v>504</v>
      </c>
      <c r="T34" s="5">
        <v>1</v>
      </c>
      <c r="U34" s="6" t="s">
        <v>40</v>
      </c>
      <c r="V34" s="3">
        <f>T34*VLOOKUP(U34,'Ingredient costs'!$A$2:$B$536,2, FALSE)</f>
        <v>504</v>
      </c>
      <c r="W34" s="6"/>
      <c r="X34" s="3" t="s">
        <v>23</v>
      </c>
      <c r="Y34" s="3">
        <f>W34*VLOOKUP(X34,'Ingredient costs'!$A$2:$B$536,2, FALSE)</f>
        <v>0</v>
      </c>
      <c r="AA34" s="3" t="s">
        <v>23</v>
      </c>
      <c r="AB34" s="3">
        <f>Z34*VLOOKUP(AA34,'Ingredient costs'!$A$2:$B$536,2, FALSE)</f>
        <v>0</v>
      </c>
    </row>
    <row r="35" spans="1:28" ht="15.75" customHeight="1" x14ac:dyDescent="0.25">
      <c r="A35" s="4" t="s">
        <v>92</v>
      </c>
      <c r="B35" s="4" t="s">
        <v>98</v>
      </c>
      <c r="C35" s="4">
        <v>24</v>
      </c>
      <c r="D35" s="4">
        <v>2844</v>
      </c>
      <c r="E35" s="4">
        <f t="shared" si="0"/>
        <v>2268</v>
      </c>
      <c r="F35" s="4">
        <f t="shared" si="1"/>
        <v>576</v>
      </c>
      <c r="G35" s="4">
        <v>34</v>
      </c>
      <c r="H35" s="4">
        <v>240</v>
      </c>
      <c r="I35" s="4">
        <v>204</v>
      </c>
      <c r="J35" s="4">
        <f t="shared" si="2"/>
        <v>14.399999999999999</v>
      </c>
      <c r="K35" s="4">
        <f t="shared" si="3"/>
        <v>16.941176470588236</v>
      </c>
      <c r="L35" s="4">
        <f t="shared" si="4"/>
        <v>8.5</v>
      </c>
      <c r="M35" s="4">
        <f t="shared" si="5"/>
        <v>10</v>
      </c>
      <c r="N35" s="5">
        <v>1</v>
      </c>
      <c r="O35" s="6" t="s">
        <v>35</v>
      </c>
      <c r="P35" s="3">
        <f>N35*VLOOKUP(O35,'Ingredient costs'!$A$2:$B$536,2, FALSE)</f>
        <v>1224</v>
      </c>
      <c r="Q35" s="5">
        <v>1</v>
      </c>
      <c r="R35" s="6" t="s">
        <v>27</v>
      </c>
      <c r="S35" s="3">
        <f>Q35*VLOOKUP(R35,'Ingredient costs'!$A$2:$B$536,2, FALSE)</f>
        <v>1044</v>
      </c>
      <c r="T35" s="6"/>
      <c r="U35" s="3" t="s">
        <v>23</v>
      </c>
      <c r="V35" s="3">
        <f>T35*VLOOKUP(U35,'Ingredient costs'!$A$2:$B$536,2, FALSE)</f>
        <v>0</v>
      </c>
      <c r="W35" s="6"/>
      <c r="X35" s="3" t="s">
        <v>23</v>
      </c>
      <c r="Y35" s="3">
        <f>W35*VLOOKUP(X35,'Ingredient costs'!$A$2:$B$536,2, FALSE)</f>
        <v>0</v>
      </c>
      <c r="AA35" s="3" t="s">
        <v>23</v>
      </c>
      <c r="AB35" s="3">
        <f>Z35*VLOOKUP(AA35,'Ingredient costs'!$A$2:$B$536,2, FALSE)</f>
        <v>0</v>
      </c>
    </row>
    <row r="36" spans="1:28" ht="15.75" customHeight="1" x14ac:dyDescent="0.25">
      <c r="A36" s="4" t="s">
        <v>92</v>
      </c>
      <c r="B36" s="4" t="s">
        <v>99</v>
      </c>
      <c r="C36" s="4">
        <v>35</v>
      </c>
      <c r="D36" s="4">
        <v>3168</v>
      </c>
      <c r="E36" s="4">
        <f t="shared" si="0"/>
        <v>2124</v>
      </c>
      <c r="F36" s="4">
        <f t="shared" si="1"/>
        <v>1044</v>
      </c>
      <c r="G36" s="4">
        <v>38</v>
      </c>
      <c r="H36" s="4">
        <v>180</v>
      </c>
      <c r="I36" s="4">
        <v>153</v>
      </c>
      <c r="J36" s="4">
        <f t="shared" si="2"/>
        <v>34.799999999999997</v>
      </c>
      <c r="K36" s="4">
        <f t="shared" si="3"/>
        <v>40.941176470588239</v>
      </c>
      <c r="L36" s="4">
        <f t="shared" si="4"/>
        <v>12.666666666666666</v>
      </c>
      <c r="M36" s="4">
        <f t="shared" si="5"/>
        <v>14.901960784313726</v>
      </c>
      <c r="N36" s="5">
        <v>3</v>
      </c>
      <c r="O36" s="6" t="s">
        <v>22</v>
      </c>
      <c r="P36" s="3">
        <f>N36*VLOOKUP(O36,'Ingredient costs'!$A$2:$B$536,2, FALSE)</f>
        <v>108</v>
      </c>
      <c r="Q36" s="5">
        <v>2</v>
      </c>
      <c r="R36" s="6" t="s">
        <v>100</v>
      </c>
      <c r="S36" s="3">
        <f>Q36*VLOOKUP(R36,'Ingredient costs'!$A$2:$B$536,2, FALSE)</f>
        <v>1008</v>
      </c>
      <c r="T36" s="5">
        <v>1</v>
      </c>
      <c r="U36" s="6" t="s">
        <v>71</v>
      </c>
      <c r="V36" s="3">
        <f>T36*VLOOKUP(U36,'Ingredient costs'!$A$2:$B$536,2, FALSE)</f>
        <v>504</v>
      </c>
      <c r="W36" s="5">
        <v>1</v>
      </c>
      <c r="X36" s="7" t="s">
        <v>40</v>
      </c>
      <c r="Y36" s="3">
        <f>W36*VLOOKUP(X36,'Ingredient costs'!$A$2:$B$536,2, FALSE)</f>
        <v>504</v>
      </c>
      <c r="AA36" s="3" t="s">
        <v>23</v>
      </c>
      <c r="AB36" s="3">
        <f>Z36*VLOOKUP(AA36,'Ingredient costs'!$A$2:$B$536,2, FALSE)</f>
        <v>0</v>
      </c>
    </row>
    <row r="37" spans="1:28" ht="15.75" customHeight="1" x14ac:dyDescent="0.25">
      <c r="A37" s="4" t="s">
        <v>92</v>
      </c>
      <c r="B37" s="4" t="s">
        <v>101</v>
      </c>
      <c r="C37" s="4">
        <v>36</v>
      </c>
      <c r="D37" s="4">
        <v>3204</v>
      </c>
      <c r="E37" s="4">
        <f t="shared" si="0"/>
        <v>2880</v>
      </c>
      <c r="F37" s="4">
        <f t="shared" si="1"/>
        <v>324</v>
      </c>
      <c r="G37" s="4">
        <v>38</v>
      </c>
      <c r="H37" s="4">
        <v>120</v>
      </c>
      <c r="I37" s="4">
        <v>102</v>
      </c>
      <c r="J37" s="4">
        <f t="shared" si="2"/>
        <v>16.200000000000003</v>
      </c>
      <c r="K37" s="4">
        <f t="shared" si="3"/>
        <v>19.058823529411764</v>
      </c>
      <c r="L37" s="4">
        <f t="shared" si="4"/>
        <v>19</v>
      </c>
      <c r="M37" s="4">
        <f t="shared" si="5"/>
        <v>22.352941176470587</v>
      </c>
      <c r="N37" s="5">
        <v>2</v>
      </c>
      <c r="O37" s="6" t="s">
        <v>54</v>
      </c>
      <c r="P37" s="3">
        <f>N37*VLOOKUP(O37,'Ingredient costs'!$A$2:$B$536,2, FALSE)</f>
        <v>1728</v>
      </c>
      <c r="Q37" s="5">
        <v>1</v>
      </c>
      <c r="R37" s="6" t="s">
        <v>28</v>
      </c>
      <c r="S37" s="3">
        <f>Q37*VLOOKUP(R37,'Ingredient costs'!$A$2:$B$536,2, FALSE)</f>
        <v>324</v>
      </c>
      <c r="T37" s="5">
        <v>1</v>
      </c>
      <c r="U37" s="6" t="s">
        <v>41</v>
      </c>
      <c r="V37" s="3">
        <f>T37*VLOOKUP(U37,'Ingredient costs'!$A$2:$B$536,2, FALSE)</f>
        <v>828</v>
      </c>
      <c r="W37" s="6"/>
      <c r="X37" s="3" t="s">
        <v>23</v>
      </c>
      <c r="Y37" s="3">
        <f>W37*VLOOKUP(X37,'Ingredient costs'!$A$2:$B$536,2, FALSE)</f>
        <v>0</v>
      </c>
      <c r="AA37" s="3" t="s">
        <v>23</v>
      </c>
      <c r="AB37" s="3">
        <f>Z37*VLOOKUP(AA37,'Ingredient costs'!$A$2:$B$536,2, FALSE)</f>
        <v>0</v>
      </c>
    </row>
    <row r="38" spans="1:28" ht="15.75" customHeight="1" x14ac:dyDescent="0.25">
      <c r="A38" s="4" t="s">
        <v>92</v>
      </c>
      <c r="B38" s="4" t="s">
        <v>102</v>
      </c>
      <c r="C38" s="4">
        <v>38</v>
      </c>
      <c r="D38" s="4">
        <v>3096</v>
      </c>
      <c r="E38" s="4">
        <f t="shared" si="0"/>
        <v>2700</v>
      </c>
      <c r="F38" s="4">
        <f t="shared" si="1"/>
        <v>396</v>
      </c>
      <c r="G38" s="4">
        <v>37</v>
      </c>
      <c r="H38" s="4">
        <v>120</v>
      </c>
      <c r="I38" s="4">
        <v>102</v>
      </c>
      <c r="J38" s="4">
        <f t="shared" si="2"/>
        <v>19.799999999999997</v>
      </c>
      <c r="K38" s="4">
        <f t="shared" si="3"/>
        <v>23.294117647058822</v>
      </c>
      <c r="L38" s="4">
        <f t="shared" si="4"/>
        <v>18.5</v>
      </c>
      <c r="M38" s="4">
        <f t="shared" si="5"/>
        <v>21.764705882352942</v>
      </c>
      <c r="N38" s="5">
        <v>1</v>
      </c>
      <c r="O38" s="6" t="s">
        <v>39</v>
      </c>
      <c r="P38" s="3">
        <f>N38*VLOOKUP(O38,'Ingredient costs'!$A$2:$B$536,2, FALSE)</f>
        <v>360</v>
      </c>
      <c r="Q38" s="5">
        <v>4</v>
      </c>
      <c r="R38" s="6" t="s">
        <v>26</v>
      </c>
      <c r="S38" s="3">
        <f>Q38*VLOOKUP(R38,'Ingredient costs'!$A$2:$B$536,2, FALSE)</f>
        <v>720</v>
      </c>
      <c r="T38" s="5">
        <v>1</v>
      </c>
      <c r="U38" s="6" t="s">
        <v>103</v>
      </c>
      <c r="V38" s="3">
        <f>T38*VLOOKUP(U38,'Ingredient costs'!$A$2:$B$536,2, FALSE)</f>
        <v>1620</v>
      </c>
      <c r="W38" s="6"/>
      <c r="X38" s="3" t="s">
        <v>23</v>
      </c>
      <c r="Y38" s="3">
        <f>W38*VLOOKUP(X38,'Ingredient costs'!$A$2:$B$536,2, FALSE)</f>
        <v>0</v>
      </c>
      <c r="AA38" s="3" t="s">
        <v>23</v>
      </c>
      <c r="AB38" s="3">
        <f>Z38*VLOOKUP(AA38,'Ingredient costs'!$A$2:$B$536,2, FALSE)</f>
        <v>0</v>
      </c>
    </row>
    <row r="39" spans="1:28" ht="15.75" customHeight="1" x14ac:dyDescent="0.25">
      <c r="A39" s="4" t="s">
        <v>92</v>
      </c>
      <c r="B39" s="4" t="s">
        <v>104</v>
      </c>
      <c r="C39" s="4">
        <v>42</v>
      </c>
      <c r="D39" s="4">
        <v>4824</v>
      </c>
      <c r="E39" s="4">
        <f t="shared" si="0"/>
        <v>4320</v>
      </c>
      <c r="F39" s="4">
        <f t="shared" si="1"/>
        <v>504</v>
      </c>
      <c r="G39" s="4">
        <v>57</v>
      </c>
      <c r="H39" s="4">
        <v>200</v>
      </c>
      <c r="I39" s="4">
        <v>170</v>
      </c>
      <c r="J39" s="4">
        <f t="shared" si="2"/>
        <v>15.120000000000001</v>
      </c>
      <c r="K39" s="4">
        <f t="shared" si="3"/>
        <v>17.788235294117648</v>
      </c>
      <c r="L39" s="4">
        <f t="shared" si="4"/>
        <v>17.099999999999998</v>
      </c>
      <c r="M39" s="4">
        <f t="shared" si="5"/>
        <v>20.117647058823529</v>
      </c>
      <c r="N39" s="5">
        <v>2</v>
      </c>
      <c r="O39" s="6" t="s">
        <v>105</v>
      </c>
      <c r="P39" s="3">
        <f>N39*VLOOKUP(O39,'Ingredient costs'!$A$2:$B$536,2, FALSE)</f>
        <v>792</v>
      </c>
      <c r="Q39" s="5">
        <v>2</v>
      </c>
      <c r="R39" s="6" t="s">
        <v>22</v>
      </c>
      <c r="S39" s="3">
        <f>Q39*VLOOKUP(R39,'Ingredient costs'!$A$2:$B$536,2, FALSE)</f>
        <v>72</v>
      </c>
      <c r="T39" s="5">
        <v>2</v>
      </c>
      <c r="U39" s="6" t="s">
        <v>26</v>
      </c>
      <c r="V39" s="3">
        <f>T39*VLOOKUP(U39,'Ingredient costs'!$A$2:$B$536,2, FALSE)</f>
        <v>360</v>
      </c>
      <c r="W39" s="5">
        <v>2</v>
      </c>
      <c r="X39" s="7" t="s">
        <v>62</v>
      </c>
      <c r="Y39" s="3">
        <f>W39*VLOOKUP(X39,'Ingredient costs'!$A$2:$B$536,2, FALSE)</f>
        <v>3096</v>
      </c>
      <c r="AA39" s="3" t="s">
        <v>23</v>
      </c>
      <c r="AB39" s="3">
        <f>Z39*VLOOKUP(AA39,'Ingredient costs'!$A$2:$B$536,2, FALSE)</f>
        <v>0</v>
      </c>
    </row>
    <row r="40" spans="1:28" ht="15.75" customHeight="1" x14ac:dyDescent="0.25">
      <c r="A40" s="4" t="s">
        <v>92</v>
      </c>
      <c r="B40" s="4" t="s">
        <v>106</v>
      </c>
      <c r="C40" s="4">
        <v>54</v>
      </c>
      <c r="D40" s="4">
        <v>4500</v>
      </c>
      <c r="E40" s="4">
        <f t="shared" si="0"/>
        <v>4464</v>
      </c>
      <c r="F40" s="4">
        <f t="shared" si="1"/>
        <v>36</v>
      </c>
      <c r="G40" s="4">
        <v>49</v>
      </c>
      <c r="H40" s="4">
        <v>15</v>
      </c>
      <c r="I40" s="4">
        <v>12</v>
      </c>
      <c r="J40" s="4">
        <f t="shared" si="2"/>
        <v>14.399999999999999</v>
      </c>
      <c r="K40" s="4">
        <f t="shared" si="3"/>
        <v>18</v>
      </c>
      <c r="L40" s="4">
        <f t="shared" si="4"/>
        <v>196</v>
      </c>
      <c r="M40" s="4">
        <f t="shared" si="5"/>
        <v>244.99999999999997</v>
      </c>
      <c r="N40" s="5">
        <v>1</v>
      </c>
      <c r="O40" s="6" t="s">
        <v>97</v>
      </c>
      <c r="P40" s="3">
        <f>N40*VLOOKUP(O40,'Ingredient costs'!$A$2:$B$536,2, FALSE)</f>
        <v>2196</v>
      </c>
      <c r="Q40" s="5">
        <v>3</v>
      </c>
      <c r="R40" s="6" t="s">
        <v>107</v>
      </c>
      <c r="S40" s="3">
        <f>Q40*VLOOKUP(R40,'Ingredient costs'!$A$2:$B$536,2, FALSE)</f>
        <v>648</v>
      </c>
      <c r="T40" s="5">
        <v>3</v>
      </c>
      <c r="U40" s="6" t="s">
        <v>30</v>
      </c>
      <c r="V40" s="3">
        <f>T40*VLOOKUP(U40,'Ingredient costs'!$A$2:$B$536,2, FALSE)</f>
        <v>1404</v>
      </c>
      <c r="W40" s="5">
        <v>1</v>
      </c>
      <c r="X40" s="7" t="s">
        <v>108</v>
      </c>
      <c r="Y40" s="3">
        <f>W40*VLOOKUP(X40,'Ingredient costs'!$A$2:$B$536,2, FALSE)</f>
        <v>216</v>
      </c>
      <c r="AA40" s="3" t="s">
        <v>23</v>
      </c>
      <c r="AB40" s="3">
        <f>Z40*VLOOKUP(AA40,'Ingredient costs'!$A$2:$B$536,2, FALSE)</f>
        <v>0</v>
      </c>
    </row>
    <row r="41" spans="1:28" ht="15.75" customHeight="1" x14ac:dyDescent="0.25">
      <c r="A41" s="4" t="s">
        <v>92</v>
      </c>
      <c r="B41" s="4" t="s">
        <v>109</v>
      </c>
      <c r="C41" s="4">
        <v>65</v>
      </c>
      <c r="D41" s="4">
        <v>2592</v>
      </c>
      <c r="E41" s="4">
        <f t="shared" si="0"/>
        <v>2304</v>
      </c>
      <c r="F41" s="4">
        <f t="shared" si="1"/>
        <v>288</v>
      </c>
      <c r="G41" s="4">
        <v>31</v>
      </c>
      <c r="H41" s="4">
        <v>75</v>
      </c>
      <c r="I41" s="4">
        <v>63</v>
      </c>
      <c r="J41" s="4">
        <f t="shared" si="2"/>
        <v>23.04</v>
      </c>
      <c r="K41" s="4">
        <f t="shared" si="3"/>
        <v>27.428571428571427</v>
      </c>
      <c r="L41" s="4">
        <f t="shared" si="4"/>
        <v>24.8</v>
      </c>
      <c r="M41" s="4">
        <f t="shared" si="5"/>
        <v>29.523809523809522</v>
      </c>
      <c r="N41" s="5">
        <v>3</v>
      </c>
      <c r="O41" s="6" t="s">
        <v>110</v>
      </c>
      <c r="P41" s="3">
        <f>N41*VLOOKUP(O41,'Ingredient costs'!$A$2:$B$536,2, FALSE)</f>
        <v>432</v>
      </c>
      <c r="Q41" s="5">
        <v>2</v>
      </c>
      <c r="R41" s="6" t="s">
        <v>26</v>
      </c>
      <c r="S41" s="3">
        <f>Q41*VLOOKUP(R41,'Ingredient costs'!$A$2:$B$536,2, FALSE)</f>
        <v>360</v>
      </c>
      <c r="T41" s="5">
        <v>2</v>
      </c>
      <c r="U41" s="6" t="s">
        <v>96</v>
      </c>
      <c r="V41" s="3">
        <f>T41*VLOOKUP(U41,'Ingredient costs'!$A$2:$B$536,2, FALSE)</f>
        <v>1368</v>
      </c>
      <c r="W41" s="5">
        <v>4</v>
      </c>
      <c r="X41" s="7" t="s">
        <v>22</v>
      </c>
      <c r="Y41" s="3">
        <f>W41*VLOOKUP(X41,'Ingredient costs'!$A$2:$B$536,2, FALSE)</f>
        <v>144</v>
      </c>
      <c r="AA41" s="3" t="s">
        <v>23</v>
      </c>
      <c r="AB41" s="3">
        <f>Z41*VLOOKUP(AA41,'Ingredient costs'!$A$2:$B$536,2, FALSE)</f>
        <v>0</v>
      </c>
    </row>
    <row r="42" spans="1:28" ht="15.75" customHeight="1" x14ac:dyDescent="0.25">
      <c r="A42" s="4" t="s">
        <v>92</v>
      </c>
      <c r="B42" s="4" t="s">
        <v>111</v>
      </c>
      <c r="C42" s="4">
        <v>68</v>
      </c>
      <c r="D42" s="4">
        <v>8964</v>
      </c>
      <c r="E42" s="4">
        <f t="shared" si="0"/>
        <v>8532</v>
      </c>
      <c r="F42" s="4">
        <f t="shared" si="1"/>
        <v>432</v>
      </c>
      <c r="G42" s="4">
        <v>107</v>
      </c>
      <c r="H42" s="4">
        <v>150</v>
      </c>
      <c r="I42" s="4">
        <v>127</v>
      </c>
      <c r="J42" s="4">
        <f t="shared" si="2"/>
        <v>17.279999999999998</v>
      </c>
      <c r="K42" s="4">
        <f t="shared" si="3"/>
        <v>20.409448818897637</v>
      </c>
      <c r="L42" s="4">
        <f t="shared" si="4"/>
        <v>42.800000000000004</v>
      </c>
      <c r="M42" s="4">
        <f t="shared" si="5"/>
        <v>50.5511811023622</v>
      </c>
      <c r="N42" s="5">
        <v>2</v>
      </c>
      <c r="O42" s="6" t="s">
        <v>112</v>
      </c>
      <c r="P42" s="3">
        <f>N42*VLOOKUP(O42,'Ingredient costs'!$A$2:$B$536,2, FALSE)</f>
        <v>7560</v>
      </c>
      <c r="Q42" s="5">
        <v>2</v>
      </c>
      <c r="R42" s="6" t="s">
        <v>26</v>
      </c>
      <c r="S42" s="3">
        <f>Q42*VLOOKUP(R42,'Ingredient costs'!$A$2:$B$536,2, FALSE)</f>
        <v>360</v>
      </c>
      <c r="T42" s="5">
        <v>3</v>
      </c>
      <c r="U42" s="6" t="s">
        <v>22</v>
      </c>
      <c r="V42" s="3">
        <f>T42*VLOOKUP(U42,'Ingredient costs'!$A$2:$B$536,2, FALSE)</f>
        <v>108</v>
      </c>
      <c r="W42" s="5">
        <v>1</v>
      </c>
      <c r="X42" s="7" t="s">
        <v>71</v>
      </c>
      <c r="Y42" s="3">
        <f>W42*VLOOKUP(X42,'Ingredient costs'!$A$2:$B$536,2, FALSE)</f>
        <v>504</v>
      </c>
      <c r="AA42" s="3" t="s">
        <v>23</v>
      </c>
      <c r="AB42" s="3">
        <f>Z42*VLOOKUP(AA42,'Ingredient costs'!$A$2:$B$536,2, FALSE)</f>
        <v>0</v>
      </c>
    </row>
    <row r="43" spans="1:28" ht="15.75" customHeight="1" x14ac:dyDescent="0.25">
      <c r="A43" s="4" t="s">
        <v>92</v>
      </c>
      <c r="B43" s="4" t="s">
        <v>113</v>
      </c>
      <c r="C43" s="4">
        <v>89</v>
      </c>
      <c r="D43" s="4">
        <v>4500</v>
      </c>
      <c r="E43" s="4">
        <f t="shared" si="0"/>
        <v>4068</v>
      </c>
      <c r="F43" s="4">
        <f t="shared" si="1"/>
        <v>432</v>
      </c>
      <c r="G43" s="4">
        <v>54</v>
      </c>
      <c r="H43" s="4">
        <v>180</v>
      </c>
      <c r="I43" s="4">
        <v>153</v>
      </c>
      <c r="J43" s="4">
        <f t="shared" si="2"/>
        <v>14.399999999999999</v>
      </c>
      <c r="K43" s="4">
        <f t="shared" si="3"/>
        <v>16.941176470588236</v>
      </c>
      <c r="L43" s="4">
        <f t="shared" si="4"/>
        <v>18</v>
      </c>
      <c r="M43" s="4">
        <f t="shared" si="5"/>
        <v>21.176470588235297</v>
      </c>
      <c r="N43" s="5">
        <v>3</v>
      </c>
      <c r="O43" s="6" t="s">
        <v>22</v>
      </c>
      <c r="P43" s="3">
        <f>N43*VLOOKUP(O43,'Ingredient costs'!$A$2:$B$536,2, FALSE)</f>
        <v>108</v>
      </c>
      <c r="Q43" s="5">
        <v>2</v>
      </c>
      <c r="R43" s="6" t="s">
        <v>49</v>
      </c>
      <c r="S43" s="3">
        <f>Q43*VLOOKUP(R43,'Ingredient costs'!$A$2:$B$536,2, FALSE)</f>
        <v>648</v>
      </c>
      <c r="T43" s="5">
        <v>2</v>
      </c>
      <c r="U43" s="6" t="s">
        <v>114</v>
      </c>
      <c r="V43" s="3">
        <f>T43*VLOOKUP(U43,'Ingredient costs'!$A$2:$B$536,2, FALSE)</f>
        <v>1944</v>
      </c>
      <c r="W43" s="5">
        <v>2</v>
      </c>
      <c r="X43" s="7" t="s">
        <v>96</v>
      </c>
      <c r="Y43" s="3">
        <f>W43*VLOOKUP(X43,'Ingredient costs'!$A$2:$B$536,2, FALSE)</f>
        <v>1368</v>
      </c>
      <c r="AA43" s="3" t="s">
        <v>23</v>
      </c>
      <c r="AB43" s="3">
        <f>Z43*VLOOKUP(AA43,'Ingredient costs'!$A$2:$B$536,2, FALSE)</f>
        <v>0</v>
      </c>
    </row>
    <row r="44" spans="1:28" ht="15.75" customHeight="1" x14ac:dyDescent="0.25">
      <c r="A44" s="4" t="s">
        <v>92</v>
      </c>
      <c r="B44" s="4" t="s">
        <v>115</v>
      </c>
      <c r="C44" s="4">
        <v>95</v>
      </c>
      <c r="D44" s="4">
        <v>6048</v>
      </c>
      <c r="E44" s="4">
        <f t="shared" si="0"/>
        <v>5904</v>
      </c>
      <c r="F44" s="4">
        <f t="shared" si="1"/>
        <v>144</v>
      </c>
      <c r="G44" s="4">
        <v>72</v>
      </c>
      <c r="H44" s="4">
        <v>90</v>
      </c>
      <c r="I44" s="4">
        <v>76</v>
      </c>
      <c r="J44" s="4">
        <f t="shared" si="2"/>
        <v>9.6</v>
      </c>
      <c r="K44" s="4">
        <f t="shared" si="3"/>
        <v>11.368421052631577</v>
      </c>
      <c r="L44" s="4">
        <f t="shared" si="4"/>
        <v>48</v>
      </c>
      <c r="M44" s="4">
        <f t="shared" si="5"/>
        <v>56.84210526315789</v>
      </c>
      <c r="N44" s="8">
        <v>5</v>
      </c>
      <c r="O44" s="7" t="s">
        <v>54</v>
      </c>
      <c r="P44" s="3">
        <f>N44*VLOOKUP(O44,'Ingredient costs'!$A$2:$B$536,2, FALSE)</f>
        <v>4320</v>
      </c>
      <c r="Q44" s="8">
        <v>1</v>
      </c>
      <c r="R44" s="7" t="s">
        <v>71</v>
      </c>
      <c r="S44" s="3">
        <f>Q44*VLOOKUP(R44,'Ingredient costs'!$A$2:$B$536,2, FALSE)</f>
        <v>504</v>
      </c>
      <c r="T44" s="8">
        <v>3</v>
      </c>
      <c r="U44" s="7" t="s">
        <v>22</v>
      </c>
      <c r="V44" s="3">
        <f>T44*VLOOKUP(U44,'Ingredient costs'!$A$2:$B$536,2, FALSE)</f>
        <v>108</v>
      </c>
      <c r="W44" s="8">
        <v>3</v>
      </c>
      <c r="X44" s="7" t="s">
        <v>116</v>
      </c>
      <c r="Y44" s="3">
        <f>W44*VLOOKUP(X44,'Ingredient costs'!$A$2:$B$536,2, FALSE)</f>
        <v>972</v>
      </c>
      <c r="AA44" s="3" t="s">
        <v>23</v>
      </c>
      <c r="AB44" s="3">
        <f>Z44*VLOOKUP(AA44,'Ingredient costs'!$A$2:$B$536,2, FALSE)</f>
        <v>0</v>
      </c>
    </row>
    <row r="45" spans="1:28" ht="15.75" customHeight="1" x14ac:dyDescent="0.25">
      <c r="A45" s="4" t="s">
        <v>117</v>
      </c>
      <c r="B45" s="4" t="s">
        <v>118</v>
      </c>
      <c r="C45" s="4">
        <v>48</v>
      </c>
      <c r="D45" s="4">
        <v>3708</v>
      </c>
      <c r="E45" s="4">
        <f t="shared" si="0"/>
        <v>3348</v>
      </c>
      <c r="F45" s="4">
        <f t="shared" si="1"/>
        <v>360</v>
      </c>
      <c r="G45" s="4">
        <v>44</v>
      </c>
      <c r="H45" s="4">
        <v>120</v>
      </c>
      <c r="I45" s="4">
        <v>102</v>
      </c>
      <c r="J45" s="4">
        <f t="shared" si="2"/>
        <v>18</v>
      </c>
      <c r="K45" s="4">
        <f t="shared" si="3"/>
        <v>21.176470588235293</v>
      </c>
      <c r="L45" s="4">
        <f t="shared" si="4"/>
        <v>22</v>
      </c>
      <c r="M45" s="4">
        <f t="shared" si="5"/>
        <v>25.882352941176471</v>
      </c>
      <c r="N45" s="5">
        <v>1</v>
      </c>
      <c r="O45" s="6" t="s">
        <v>119</v>
      </c>
      <c r="P45" s="3">
        <f>N45*VLOOKUP(O45,'Ingredient costs'!$A$2:$B$536,2, FALSE)</f>
        <v>2340</v>
      </c>
      <c r="Q45" s="5">
        <v>2</v>
      </c>
      <c r="R45" s="6" t="s">
        <v>100</v>
      </c>
      <c r="S45" s="3">
        <f>Q45*VLOOKUP(R45,'Ingredient costs'!$A$2:$B$536,2, FALSE)</f>
        <v>1008</v>
      </c>
      <c r="U45" s="3" t="s">
        <v>23</v>
      </c>
      <c r="V45" s="3">
        <f>T45*VLOOKUP(U45,'Ingredient costs'!$A$2:$B$536,2, FALSE)</f>
        <v>0</v>
      </c>
      <c r="X45" s="3" t="s">
        <v>23</v>
      </c>
      <c r="Y45" s="3">
        <f>W45*VLOOKUP(X45,'Ingredient costs'!$A$2:$B$536,2, FALSE)</f>
        <v>0</v>
      </c>
      <c r="AA45" s="3" t="s">
        <v>23</v>
      </c>
      <c r="AB45" s="3">
        <f>Z45*VLOOKUP(AA45,'Ingredient costs'!$A$2:$B$536,2, FALSE)</f>
        <v>0</v>
      </c>
    </row>
    <row r="46" spans="1:28" ht="15.75" customHeight="1" x14ac:dyDescent="0.25">
      <c r="A46" s="4" t="s">
        <v>117</v>
      </c>
      <c r="B46" s="4" t="s">
        <v>120</v>
      </c>
      <c r="C46" s="4">
        <v>52</v>
      </c>
      <c r="D46" s="4">
        <v>3600</v>
      </c>
      <c r="E46" s="4">
        <f t="shared" si="0"/>
        <v>3276</v>
      </c>
      <c r="F46" s="4">
        <f t="shared" si="1"/>
        <v>324</v>
      </c>
      <c r="G46" s="4">
        <v>43</v>
      </c>
      <c r="H46" s="4">
        <v>105</v>
      </c>
      <c r="I46" s="4">
        <v>89</v>
      </c>
      <c r="J46" s="4">
        <f t="shared" si="2"/>
        <v>18.514285714285716</v>
      </c>
      <c r="K46" s="4">
        <f t="shared" si="3"/>
        <v>21.842696629213485</v>
      </c>
      <c r="L46" s="4">
        <f t="shared" si="4"/>
        <v>24.571428571428569</v>
      </c>
      <c r="M46" s="4">
        <f t="shared" si="5"/>
        <v>28.988764044943821</v>
      </c>
      <c r="N46" s="5">
        <v>1</v>
      </c>
      <c r="O46" s="6" t="s">
        <v>119</v>
      </c>
      <c r="P46" s="3">
        <f>N46*VLOOKUP(O46,'Ingredient costs'!$A$2:$B$536,2, FALSE)</f>
        <v>2340</v>
      </c>
      <c r="Q46" s="5">
        <v>2</v>
      </c>
      <c r="R46" s="6" t="s">
        <v>30</v>
      </c>
      <c r="S46" s="3">
        <f>Q46*VLOOKUP(R46,'Ingredient costs'!$A$2:$B$536,2, FALSE)</f>
        <v>936</v>
      </c>
      <c r="U46" s="3" t="s">
        <v>23</v>
      </c>
      <c r="V46" s="3">
        <f>T46*VLOOKUP(U46,'Ingredient costs'!$A$2:$B$536,2, FALSE)</f>
        <v>0</v>
      </c>
      <c r="X46" s="3" t="s">
        <v>23</v>
      </c>
      <c r="Y46" s="3">
        <f>W46*VLOOKUP(X46,'Ingredient costs'!$A$2:$B$536,2, FALSE)</f>
        <v>0</v>
      </c>
      <c r="AA46" s="3" t="s">
        <v>23</v>
      </c>
      <c r="AB46" s="3">
        <f>Z46*VLOOKUP(AA46,'Ingredient costs'!$A$2:$B$536,2, FALSE)</f>
        <v>0</v>
      </c>
    </row>
    <row r="47" spans="1:28" ht="15.75" customHeight="1" x14ac:dyDescent="0.25">
      <c r="A47" s="4" t="s">
        <v>117</v>
      </c>
      <c r="B47" s="4" t="s">
        <v>121</v>
      </c>
      <c r="C47" s="4">
        <v>72</v>
      </c>
      <c r="D47" s="4">
        <v>4572</v>
      </c>
      <c r="E47" s="4">
        <f t="shared" si="0"/>
        <v>4212</v>
      </c>
      <c r="F47" s="4">
        <f t="shared" si="1"/>
        <v>360</v>
      </c>
      <c r="G47" s="4">
        <v>55</v>
      </c>
      <c r="H47" s="4">
        <v>135</v>
      </c>
      <c r="I47" s="4">
        <v>114</v>
      </c>
      <c r="J47" s="4">
        <f t="shared" si="2"/>
        <v>16</v>
      </c>
      <c r="K47" s="4">
        <f t="shared" si="3"/>
        <v>18.94736842105263</v>
      </c>
      <c r="L47" s="4">
        <f t="shared" si="4"/>
        <v>24.444444444444443</v>
      </c>
      <c r="M47" s="4">
        <f t="shared" si="5"/>
        <v>28.94736842105263</v>
      </c>
      <c r="N47" s="5">
        <v>1</v>
      </c>
      <c r="O47" s="6" t="s">
        <v>119</v>
      </c>
      <c r="P47" s="3">
        <f>N47*VLOOKUP(O47,'Ingredient costs'!$A$2:$B$536,2, FALSE)</f>
        <v>2340</v>
      </c>
      <c r="Q47" s="5">
        <v>2</v>
      </c>
      <c r="R47" s="6" t="s">
        <v>58</v>
      </c>
      <c r="S47" s="3">
        <f>Q47*VLOOKUP(R47,'Ingredient costs'!$A$2:$B$536,2, FALSE)</f>
        <v>1872</v>
      </c>
      <c r="U47" s="3" t="s">
        <v>23</v>
      </c>
      <c r="V47" s="3">
        <f>T47*VLOOKUP(U47,'Ingredient costs'!$A$2:$B$536,2, FALSE)</f>
        <v>0</v>
      </c>
      <c r="X47" s="3" t="s">
        <v>23</v>
      </c>
      <c r="Y47" s="3">
        <f>W47*VLOOKUP(X47,'Ingredient costs'!$A$2:$B$536,2, FALSE)</f>
        <v>0</v>
      </c>
      <c r="AA47" s="3" t="s">
        <v>23</v>
      </c>
      <c r="AB47" s="3">
        <f>Z47*VLOOKUP(AA47,'Ingredient costs'!$A$2:$B$536,2, FALSE)</f>
        <v>0</v>
      </c>
    </row>
    <row r="48" spans="1:28" ht="15.75" customHeight="1" x14ac:dyDescent="0.25">
      <c r="A48" s="4" t="s">
        <v>117</v>
      </c>
      <c r="B48" s="4" t="s">
        <v>122</v>
      </c>
      <c r="C48" s="4">
        <v>84</v>
      </c>
      <c r="D48" s="4">
        <v>3240</v>
      </c>
      <c r="E48" s="4">
        <f t="shared" si="0"/>
        <v>2880</v>
      </c>
      <c r="F48" s="4">
        <f t="shared" si="1"/>
        <v>360</v>
      </c>
      <c r="G48" s="4">
        <v>39</v>
      </c>
      <c r="H48" s="4">
        <v>110</v>
      </c>
      <c r="I48" s="4">
        <v>93</v>
      </c>
      <c r="J48" s="4">
        <f t="shared" si="2"/>
        <v>19.636363636363637</v>
      </c>
      <c r="K48" s="4">
        <f t="shared" si="3"/>
        <v>23.225806451612904</v>
      </c>
      <c r="L48" s="4">
        <f t="shared" si="4"/>
        <v>21.272727272727273</v>
      </c>
      <c r="M48" s="4">
        <f t="shared" si="5"/>
        <v>25.161290322580648</v>
      </c>
      <c r="N48" s="5">
        <v>1</v>
      </c>
      <c r="O48" s="6" t="s">
        <v>119</v>
      </c>
      <c r="P48" s="3">
        <f>N48*VLOOKUP(O48,'Ingredient costs'!$A$2:$B$536,2, FALSE)</f>
        <v>2340</v>
      </c>
      <c r="Q48" s="5">
        <v>1</v>
      </c>
      <c r="R48" s="6" t="s">
        <v>30</v>
      </c>
      <c r="S48" s="3">
        <f>Q48*VLOOKUP(R48,'Ingredient costs'!$A$2:$B$536,2, FALSE)</f>
        <v>468</v>
      </c>
      <c r="T48" s="5">
        <v>1</v>
      </c>
      <c r="U48" s="6" t="s">
        <v>80</v>
      </c>
      <c r="V48" s="3">
        <f>T48*VLOOKUP(U48,'Ingredient costs'!$A$2:$B$536,2, FALSE)</f>
        <v>72</v>
      </c>
      <c r="X48" s="3" t="s">
        <v>23</v>
      </c>
      <c r="Y48" s="3">
        <f>W48*VLOOKUP(X48,'Ingredient costs'!$A$2:$B$536,2, FALSE)</f>
        <v>0</v>
      </c>
      <c r="AA48" s="3" t="s">
        <v>23</v>
      </c>
      <c r="AB48" s="3">
        <f>Z48*VLOOKUP(AA48,'Ingredient costs'!$A$2:$B$536,2, FALSE)</f>
        <v>0</v>
      </c>
    </row>
    <row r="49" spans="1:28" ht="15.75" customHeight="1" x14ac:dyDescent="0.25">
      <c r="A49" s="4" t="s">
        <v>117</v>
      </c>
      <c r="B49" s="4" t="s">
        <v>123</v>
      </c>
      <c r="C49" s="4">
        <v>95</v>
      </c>
      <c r="D49" s="4">
        <v>4428</v>
      </c>
      <c r="E49" s="4">
        <f t="shared" si="0"/>
        <v>3996</v>
      </c>
      <c r="F49" s="4">
        <f t="shared" si="1"/>
        <v>432</v>
      </c>
      <c r="G49" s="4">
        <v>53</v>
      </c>
      <c r="H49" s="4">
        <v>120</v>
      </c>
      <c r="I49" s="4">
        <v>102</v>
      </c>
      <c r="J49" s="4">
        <f t="shared" si="2"/>
        <v>21.599999999999998</v>
      </c>
      <c r="K49" s="4">
        <f t="shared" si="3"/>
        <v>25.411764705882351</v>
      </c>
      <c r="L49" s="4">
        <f t="shared" si="4"/>
        <v>26.5</v>
      </c>
      <c r="M49" s="4">
        <f t="shared" si="5"/>
        <v>31.176470588235297</v>
      </c>
      <c r="N49" s="8">
        <v>1</v>
      </c>
      <c r="O49" s="7" t="s">
        <v>119</v>
      </c>
      <c r="P49" s="3">
        <f>N49*VLOOKUP(O49,'Ingredient costs'!$A$2:$B$536,2, FALSE)</f>
        <v>2340</v>
      </c>
      <c r="Q49" s="8">
        <v>2</v>
      </c>
      <c r="R49" s="7" t="s">
        <v>124</v>
      </c>
      <c r="S49" s="3">
        <f>Q49*VLOOKUP(R49,'Ingredient costs'!$A$2:$B$536,2, FALSE)</f>
        <v>504</v>
      </c>
      <c r="T49" s="8">
        <v>2</v>
      </c>
      <c r="U49" s="7" t="s">
        <v>125</v>
      </c>
      <c r="V49" s="3">
        <f>T49*VLOOKUP(U49,'Ingredient costs'!$A$2:$B$536,2, FALSE)</f>
        <v>720</v>
      </c>
      <c r="W49" s="3">
        <v>2</v>
      </c>
      <c r="X49" s="3" t="s">
        <v>126</v>
      </c>
      <c r="Y49" s="3">
        <f>W49*VLOOKUP(X49,'Ingredient costs'!$A$2:$B$536,2, FALSE)</f>
        <v>432</v>
      </c>
      <c r="AA49" s="3" t="s">
        <v>23</v>
      </c>
      <c r="AB49" s="3">
        <f>Z49*VLOOKUP(AA49,'Ingredient costs'!$A$2:$B$536,2, FALSE)</f>
        <v>0</v>
      </c>
    </row>
    <row r="50" spans="1:28" ht="15.75" customHeight="1" x14ac:dyDescent="0.25">
      <c r="A50" s="4" t="s">
        <v>127</v>
      </c>
      <c r="B50" s="4" t="s">
        <v>128</v>
      </c>
      <c r="C50" s="4">
        <v>51</v>
      </c>
      <c r="D50" s="4">
        <v>2556</v>
      </c>
      <c r="E50" s="4">
        <f t="shared" si="0"/>
        <v>2196</v>
      </c>
      <c r="F50" s="4">
        <f t="shared" si="1"/>
        <v>360</v>
      </c>
      <c r="G50" s="4">
        <v>31</v>
      </c>
      <c r="H50" s="4">
        <v>120</v>
      </c>
      <c r="I50" s="4">
        <v>102</v>
      </c>
      <c r="J50" s="4">
        <f t="shared" si="2"/>
        <v>18</v>
      </c>
      <c r="K50" s="4">
        <f t="shared" si="3"/>
        <v>21.176470588235293</v>
      </c>
      <c r="L50" s="4">
        <f t="shared" si="4"/>
        <v>15.500000000000002</v>
      </c>
      <c r="M50" s="4">
        <f t="shared" si="5"/>
        <v>18.235294117647058</v>
      </c>
      <c r="N50" s="5">
        <v>1</v>
      </c>
      <c r="O50" s="6" t="s">
        <v>105</v>
      </c>
      <c r="P50" s="3">
        <f>N50*VLOOKUP(O50,'Ingredient costs'!$A$2:$B$536,2, FALSE)</f>
        <v>396</v>
      </c>
      <c r="Q50" s="5">
        <v>2</v>
      </c>
      <c r="R50" s="6" t="s">
        <v>47</v>
      </c>
      <c r="S50" s="3">
        <f>Q50*VLOOKUP(R50,'Ingredient costs'!$A$2:$B$536,2, FALSE)</f>
        <v>1800</v>
      </c>
      <c r="T50" s="6"/>
      <c r="U50" s="6" t="s">
        <v>23</v>
      </c>
      <c r="V50" s="3">
        <f>T50*VLOOKUP(U50,'Ingredient costs'!$A$2:$B$536,2, FALSE)</f>
        <v>0</v>
      </c>
      <c r="X50" s="3" t="s">
        <v>23</v>
      </c>
      <c r="Y50" s="3">
        <f>W50*VLOOKUP(X50,'Ingredient costs'!$A$2:$B$536,2, FALSE)</f>
        <v>0</v>
      </c>
      <c r="AA50" s="3" t="s">
        <v>23</v>
      </c>
      <c r="AB50" s="3">
        <f>Z50*VLOOKUP(AA50,'Ingredient costs'!$A$2:$B$536,2, FALSE)</f>
        <v>0</v>
      </c>
    </row>
    <row r="51" spans="1:28" ht="15.75" customHeight="1" x14ac:dyDescent="0.25">
      <c r="A51" s="4" t="s">
        <v>127</v>
      </c>
      <c r="B51" s="4" t="s">
        <v>129</v>
      </c>
      <c r="C51" s="4">
        <v>52</v>
      </c>
      <c r="D51" s="4">
        <v>1764</v>
      </c>
      <c r="E51" s="4">
        <f t="shared" si="0"/>
        <v>1368</v>
      </c>
      <c r="F51" s="4">
        <f t="shared" si="1"/>
        <v>396</v>
      </c>
      <c r="G51" s="4">
        <v>21</v>
      </c>
      <c r="H51" s="4">
        <v>90</v>
      </c>
      <c r="I51" s="4">
        <v>76</v>
      </c>
      <c r="J51" s="4">
        <f t="shared" si="2"/>
        <v>26.400000000000002</v>
      </c>
      <c r="K51" s="4">
        <f t="shared" si="3"/>
        <v>31.263157894736839</v>
      </c>
      <c r="L51" s="4">
        <f t="shared" si="4"/>
        <v>14</v>
      </c>
      <c r="M51" s="4">
        <f t="shared" si="5"/>
        <v>16.578947368421055</v>
      </c>
      <c r="N51" s="5">
        <v>1</v>
      </c>
      <c r="O51" s="6" t="s">
        <v>41</v>
      </c>
      <c r="P51" s="3">
        <f>N51*VLOOKUP(O51,'Ingredient costs'!$A$2:$B$536,2, FALSE)</f>
        <v>828</v>
      </c>
      <c r="Q51" s="5">
        <v>1</v>
      </c>
      <c r="R51" s="6" t="s">
        <v>40</v>
      </c>
      <c r="S51" s="3">
        <f>Q51*VLOOKUP(R51,'Ingredient costs'!$A$2:$B$536,2, FALSE)</f>
        <v>504</v>
      </c>
      <c r="T51" s="5">
        <v>1</v>
      </c>
      <c r="U51" s="6" t="s">
        <v>22</v>
      </c>
      <c r="V51" s="3">
        <f>T51*VLOOKUP(U51,'Ingredient costs'!$A$2:$B$536,2, FALSE)</f>
        <v>36</v>
      </c>
      <c r="X51" s="3" t="s">
        <v>23</v>
      </c>
      <c r="Y51" s="3">
        <f>W51*VLOOKUP(X51,'Ingredient costs'!$A$2:$B$536,2, FALSE)</f>
        <v>0</v>
      </c>
      <c r="AA51" s="3" t="s">
        <v>23</v>
      </c>
      <c r="AB51" s="3">
        <f>Z51*VLOOKUP(AA51,'Ingredient costs'!$A$2:$B$536,2, FALSE)</f>
        <v>0</v>
      </c>
    </row>
    <row r="52" spans="1:28" ht="15.75" customHeight="1" x14ac:dyDescent="0.25">
      <c r="A52" s="4" t="s">
        <v>127</v>
      </c>
      <c r="B52" s="4" t="s">
        <v>130</v>
      </c>
      <c r="C52" s="4">
        <v>54</v>
      </c>
      <c r="D52" s="4">
        <v>4608</v>
      </c>
      <c r="E52" s="4">
        <f t="shared" si="0"/>
        <v>3600</v>
      </c>
      <c r="F52" s="4">
        <f t="shared" si="1"/>
        <v>1008</v>
      </c>
      <c r="G52" s="4">
        <v>55</v>
      </c>
      <c r="H52" s="4">
        <v>1200</v>
      </c>
      <c r="I52" s="4">
        <v>1020</v>
      </c>
      <c r="J52" s="4">
        <f t="shared" si="2"/>
        <v>5.0399999999999991</v>
      </c>
      <c r="K52" s="4">
        <f t="shared" si="3"/>
        <v>5.9294117647058826</v>
      </c>
      <c r="L52" s="4">
        <f t="shared" si="4"/>
        <v>2.75</v>
      </c>
      <c r="M52" s="4">
        <f t="shared" si="5"/>
        <v>3.2352941176470589</v>
      </c>
      <c r="N52" s="5">
        <v>3</v>
      </c>
      <c r="O52" s="6" t="s">
        <v>54</v>
      </c>
      <c r="P52" s="3">
        <f>N52*VLOOKUP(O52,'Ingredient costs'!$A$2:$B$536,2, FALSE)</f>
        <v>2592</v>
      </c>
      <c r="Q52" s="5">
        <v>1</v>
      </c>
      <c r="R52" s="6" t="s">
        <v>40</v>
      </c>
      <c r="S52" s="3">
        <f>Q52*VLOOKUP(R52,'Ingredient costs'!$A$2:$B$536,2, FALSE)</f>
        <v>504</v>
      </c>
      <c r="T52" s="5">
        <v>1</v>
      </c>
      <c r="U52" s="6" t="s">
        <v>71</v>
      </c>
      <c r="V52" s="3">
        <f>T52*VLOOKUP(U52,'Ingredient costs'!$A$2:$B$536,2, FALSE)</f>
        <v>504</v>
      </c>
      <c r="X52" s="3" t="s">
        <v>23</v>
      </c>
      <c r="Y52" s="3">
        <f>W52*VLOOKUP(X52,'Ingredient costs'!$A$2:$B$536,2, FALSE)</f>
        <v>0</v>
      </c>
      <c r="AA52" s="3" t="s">
        <v>23</v>
      </c>
      <c r="AB52" s="3">
        <f>Z52*VLOOKUP(AA52,'Ingredient costs'!$A$2:$B$536,2, FALSE)</f>
        <v>0</v>
      </c>
    </row>
    <row r="53" spans="1:28" ht="15.75" customHeight="1" x14ac:dyDescent="0.25">
      <c r="A53" s="4" t="s">
        <v>127</v>
      </c>
      <c r="B53" s="4" t="s">
        <v>131</v>
      </c>
      <c r="C53" s="4">
        <v>57</v>
      </c>
      <c r="D53" s="4">
        <v>3420</v>
      </c>
      <c r="E53" s="4">
        <f t="shared" si="0"/>
        <v>2592</v>
      </c>
      <c r="F53" s="4">
        <f t="shared" si="1"/>
        <v>828</v>
      </c>
      <c r="G53" s="4">
        <v>41</v>
      </c>
      <c r="H53" s="4">
        <v>720</v>
      </c>
      <c r="I53" s="4">
        <v>612</v>
      </c>
      <c r="J53" s="4">
        <f t="shared" si="2"/>
        <v>6.8999999999999995</v>
      </c>
      <c r="K53" s="4">
        <f t="shared" si="3"/>
        <v>8.1176470588235308</v>
      </c>
      <c r="L53" s="4">
        <f t="shared" si="4"/>
        <v>3.4166666666666665</v>
      </c>
      <c r="M53" s="4">
        <f t="shared" si="5"/>
        <v>4.0196078431372548</v>
      </c>
      <c r="N53" s="5">
        <v>1</v>
      </c>
      <c r="O53" s="6" t="s">
        <v>47</v>
      </c>
      <c r="P53" s="3">
        <f>N53*VLOOKUP(O53,'Ingredient costs'!$A$2:$B$536,2, FALSE)</f>
        <v>900</v>
      </c>
      <c r="Q53" s="5">
        <v>1</v>
      </c>
      <c r="R53" s="6" t="s">
        <v>96</v>
      </c>
      <c r="S53" s="3">
        <f>Q53*VLOOKUP(R53,'Ingredient costs'!$A$2:$B$536,2, FALSE)</f>
        <v>684</v>
      </c>
      <c r="T53" s="5">
        <v>2</v>
      </c>
      <c r="U53" s="6" t="s">
        <v>100</v>
      </c>
      <c r="V53" s="3">
        <f>T53*VLOOKUP(U53,'Ingredient costs'!$A$2:$B$536,2, FALSE)</f>
        <v>1008</v>
      </c>
      <c r="X53" s="3" t="s">
        <v>23</v>
      </c>
      <c r="Y53" s="3">
        <f>W53*VLOOKUP(X53,'Ingredient costs'!$A$2:$B$536,2, FALSE)</f>
        <v>0</v>
      </c>
      <c r="AA53" s="3" t="s">
        <v>23</v>
      </c>
      <c r="AB53" s="3">
        <f>Z53*VLOOKUP(AA53,'Ingredient costs'!$A$2:$B$536,2, FALSE)</f>
        <v>0</v>
      </c>
    </row>
    <row r="54" spans="1:28" ht="15.75" customHeight="1" x14ac:dyDescent="0.25">
      <c r="A54" s="4" t="s">
        <v>127</v>
      </c>
      <c r="B54" s="4" t="s">
        <v>132</v>
      </c>
      <c r="C54" s="4">
        <v>60</v>
      </c>
      <c r="D54" s="4">
        <v>6840</v>
      </c>
      <c r="E54" s="4">
        <f t="shared" si="0"/>
        <v>6912</v>
      </c>
      <c r="F54" s="4">
        <f t="shared" si="1"/>
        <v>-72</v>
      </c>
      <c r="G54" s="4">
        <v>81</v>
      </c>
      <c r="H54" s="4">
        <v>1440</v>
      </c>
      <c r="I54" s="4">
        <v>1224</v>
      </c>
      <c r="J54" s="4">
        <f t="shared" si="2"/>
        <v>-0.3</v>
      </c>
      <c r="K54" s="4">
        <f t="shared" si="3"/>
        <v>-0.3529411764705882</v>
      </c>
      <c r="L54" s="4">
        <f t="shared" si="4"/>
        <v>3.375</v>
      </c>
      <c r="M54" s="4">
        <f t="shared" si="5"/>
        <v>3.9705882352941178</v>
      </c>
      <c r="N54" s="5">
        <v>1</v>
      </c>
      <c r="O54" s="6" t="s">
        <v>133</v>
      </c>
      <c r="P54" s="3">
        <f>N54*VLOOKUP(O54,'Ingredient costs'!$A$2:$B$536,2, FALSE)</f>
        <v>2520</v>
      </c>
      <c r="Q54" s="5">
        <v>1</v>
      </c>
      <c r="R54" s="6" t="s">
        <v>40</v>
      </c>
      <c r="S54" s="3">
        <f>Q54*VLOOKUP(R54,'Ingredient costs'!$A$2:$B$536,2, FALSE)</f>
        <v>504</v>
      </c>
      <c r="T54" s="5">
        <v>1</v>
      </c>
      <c r="U54" s="6" t="s">
        <v>134</v>
      </c>
      <c r="V54" s="3">
        <f>T54*VLOOKUP(U54,'Ingredient costs'!$A$2:$B$536,2, FALSE)</f>
        <v>3888</v>
      </c>
      <c r="X54" s="3" t="s">
        <v>23</v>
      </c>
      <c r="Y54" s="3">
        <f>W54*VLOOKUP(X54,'Ingredient costs'!$A$2:$B$536,2, FALSE)</f>
        <v>0</v>
      </c>
      <c r="AA54" s="3" t="s">
        <v>23</v>
      </c>
      <c r="AB54" s="3">
        <f>Z54*VLOOKUP(AA54,'Ingredient costs'!$A$2:$B$536,2, FALSE)</f>
        <v>0</v>
      </c>
    </row>
    <row r="55" spans="1:28" ht="15.75" customHeight="1" x14ac:dyDescent="0.25">
      <c r="A55" s="4" t="s">
        <v>127</v>
      </c>
      <c r="B55" s="4" t="s">
        <v>135</v>
      </c>
      <c r="C55" s="4">
        <v>63</v>
      </c>
      <c r="D55" s="4">
        <v>4680</v>
      </c>
      <c r="E55" s="4">
        <f t="shared" si="0"/>
        <v>3888</v>
      </c>
      <c r="F55" s="4">
        <f t="shared" si="1"/>
        <v>792</v>
      </c>
      <c r="G55" s="4">
        <v>64</v>
      </c>
      <c r="H55" s="4">
        <v>40</v>
      </c>
      <c r="I55" s="4">
        <v>34</v>
      </c>
      <c r="J55" s="4">
        <f t="shared" si="2"/>
        <v>118.8</v>
      </c>
      <c r="K55" s="4">
        <f t="shared" si="3"/>
        <v>139.76470588235293</v>
      </c>
      <c r="L55" s="4">
        <f t="shared" si="4"/>
        <v>96</v>
      </c>
      <c r="M55" s="4">
        <f t="shared" si="5"/>
        <v>112.94117647058823</v>
      </c>
      <c r="N55" s="5">
        <v>1</v>
      </c>
      <c r="O55" s="6" t="s">
        <v>62</v>
      </c>
      <c r="P55" s="3">
        <f>N55*VLOOKUP(O55,'Ingredient costs'!$A$2:$B$536,2, FALSE)</f>
        <v>1548</v>
      </c>
      <c r="Q55" s="5">
        <v>1</v>
      </c>
      <c r="R55" s="6" t="s">
        <v>136</v>
      </c>
      <c r="S55" s="3">
        <f>Q55*VLOOKUP(R55,'Ingredient costs'!$A$2:$B$536,2, FALSE)</f>
        <v>2340</v>
      </c>
      <c r="T55" s="6"/>
      <c r="U55" s="6" t="s">
        <v>23</v>
      </c>
      <c r="V55" s="3">
        <f>T55*VLOOKUP(U55,'Ingredient costs'!$A$2:$B$536,2, FALSE)</f>
        <v>0</v>
      </c>
      <c r="X55" s="3" t="s">
        <v>23</v>
      </c>
      <c r="Y55" s="3">
        <f>W55*VLOOKUP(X55,'Ingredient costs'!$A$2:$B$536,2, FALSE)</f>
        <v>0</v>
      </c>
      <c r="AA55" s="3" t="s">
        <v>23</v>
      </c>
      <c r="AB55" s="3">
        <f>Z55*VLOOKUP(AA55,'Ingredient costs'!$A$2:$B$536,2, FALSE)</f>
        <v>0</v>
      </c>
    </row>
    <row r="56" spans="1:28" ht="15.75" customHeight="1" x14ac:dyDescent="0.25">
      <c r="A56" s="4" t="s">
        <v>127</v>
      </c>
      <c r="B56" s="4" t="s">
        <v>137</v>
      </c>
      <c r="C56" s="4">
        <v>75</v>
      </c>
      <c r="D56" s="4">
        <v>2268</v>
      </c>
      <c r="E56" s="4">
        <f t="shared" si="0"/>
        <v>2016</v>
      </c>
      <c r="F56" s="4">
        <f t="shared" si="1"/>
        <v>252</v>
      </c>
      <c r="G56" s="4">
        <v>27</v>
      </c>
      <c r="H56" s="4">
        <v>30</v>
      </c>
      <c r="I56" s="4">
        <v>25</v>
      </c>
      <c r="J56" s="4">
        <f t="shared" si="2"/>
        <v>50.400000000000006</v>
      </c>
      <c r="K56" s="4">
        <f t="shared" si="3"/>
        <v>60.480000000000004</v>
      </c>
      <c r="L56" s="4">
        <f t="shared" si="4"/>
        <v>54</v>
      </c>
      <c r="M56" s="4">
        <f t="shared" si="5"/>
        <v>64.800000000000011</v>
      </c>
      <c r="N56" s="5">
        <v>3</v>
      </c>
      <c r="O56" s="6" t="s">
        <v>40</v>
      </c>
      <c r="P56" s="3">
        <f>N56*VLOOKUP(O56,'Ingredient costs'!$A$2:$B$536,2, FALSE)</f>
        <v>1512</v>
      </c>
      <c r="Q56" s="5">
        <v>1</v>
      </c>
      <c r="R56" s="6" t="s">
        <v>100</v>
      </c>
      <c r="S56" s="3">
        <f>Q56*VLOOKUP(R56,'Ingredient costs'!$A$2:$B$536,2, FALSE)</f>
        <v>504</v>
      </c>
      <c r="T56" s="6"/>
      <c r="U56" s="6" t="s">
        <v>23</v>
      </c>
      <c r="V56" s="3">
        <f>T56*VLOOKUP(U56,'Ingredient costs'!$A$2:$B$536,2, FALSE)</f>
        <v>0</v>
      </c>
      <c r="X56" s="3" t="s">
        <v>23</v>
      </c>
      <c r="Y56" s="3">
        <f>W56*VLOOKUP(X56,'Ingredient costs'!$A$2:$B$536,2, FALSE)</f>
        <v>0</v>
      </c>
      <c r="AA56" s="3" t="s">
        <v>23</v>
      </c>
      <c r="AB56" s="3">
        <f>Z56*VLOOKUP(AA56,'Ingredient costs'!$A$2:$B$536,2, FALSE)</f>
        <v>0</v>
      </c>
    </row>
    <row r="57" spans="1:28" ht="15.75" customHeight="1" x14ac:dyDescent="0.25">
      <c r="A57" s="4" t="s">
        <v>127</v>
      </c>
      <c r="B57" s="4" t="s">
        <v>138</v>
      </c>
      <c r="C57" s="4">
        <v>78</v>
      </c>
      <c r="D57" s="4">
        <v>2700</v>
      </c>
      <c r="E57" s="4">
        <f t="shared" si="0"/>
        <v>2376</v>
      </c>
      <c r="F57" s="4">
        <f t="shared" si="1"/>
        <v>324</v>
      </c>
      <c r="G57" s="4">
        <v>32</v>
      </c>
      <c r="H57" s="4">
        <v>60</v>
      </c>
      <c r="I57" s="4">
        <v>51</v>
      </c>
      <c r="J57" s="4">
        <f t="shared" si="2"/>
        <v>32.400000000000006</v>
      </c>
      <c r="K57" s="4">
        <f t="shared" si="3"/>
        <v>38.117647058823529</v>
      </c>
      <c r="L57" s="4">
        <f t="shared" si="4"/>
        <v>32</v>
      </c>
      <c r="M57" s="4">
        <f t="shared" si="5"/>
        <v>37.647058823529413</v>
      </c>
      <c r="N57" s="8">
        <v>3</v>
      </c>
      <c r="O57" s="7" t="s">
        <v>91</v>
      </c>
      <c r="P57" s="3">
        <f>N57*VLOOKUP(O57,'Ingredient costs'!$A$2:$B$536,2, FALSE)</f>
        <v>540</v>
      </c>
      <c r="Q57" s="8">
        <v>1</v>
      </c>
      <c r="R57" s="7" t="s">
        <v>46</v>
      </c>
      <c r="S57" s="3">
        <f>Q57*VLOOKUP(R57,'Ingredient costs'!$A$2:$B$536,2, FALSE)</f>
        <v>288</v>
      </c>
      <c r="T57" s="8">
        <v>1</v>
      </c>
      <c r="U57" s="7" t="s">
        <v>62</v>
      </c>
      <c r="V57" s="3">
        <f>T57*VLOOKUP(U57,'Ingredient costs'!$A$2:$B$536,2, FALSE)</f>
        <v>1548</v>
      </c>
      <c r="X57" s="3" t="s">
        <v>23</v>
      </c>
      <c r="Y57" s="3">
        <f>W57*VLOOKUP(X57,'Ingredient costs'!$A$2:$B$536,2, FALSE)</f>
        <v>0</v>
      </c>
      <c r="AA57" s="3" t="s">
        <v>23</v>
      </c>
      <c r="AB57" s="3">
        <f>Z57*VLOOKUP(AA57,'Ingredient costs'!$A$2:$B$536,2, FALSE)</f>
        <v>0</v>
      </c>
    </row>
    <row r="58" spans="1:28" ht="15" x14ac:dyDescent="0.25">
      <c r="A58" s="4" t="s">
        <v>139</v>
      </c>
      <c r="B58" s="4" t="s">
        <v>140</v>
      </c>
      <c r="C58" s="4">
        <v>42</v>
      </c>
      <c r="D58" s="4">
        <v>2484</v>
      </c>
      <c r="E58" s="4">
        <f t="shared" si="0"/>
        <v>2448</v>
      </c>
      <c r="F58" s="4">
        <f t="shared" si="1"/>
        <v>36</v>
      </c>
      <c r="G58" s="4">
        <v>29</v>
      </c>
      <c r="H58" s="4">
        <v>5</v>
      </c>
      <c r="I58" s="4">
        <v>4</v>
      </c>
      <c r="J58" s="4">
        <f t="shared" si="2"/>
        <v>43.199999999999996</v>
      </c>
      <c r="K58" s="4">
        <f t="shared" si="3"/>
        <v>54</v>
      </c>
      <c r="L58" s="4">
        <f t="shared" si="4"/>
        <v>348</v>
      </c>
      <c r="M58" s="4">
        <f t="shared" si="5"/>
        <v>435</v>
      </c>
      <c r="N58" s="5">
        <v>3</v>
      </c>
      <c r="O58" s="6" t="s">
        <v>60</v>
      </c>
      <c r="P58" s="3">
        <f>N58*VLOOKUP(O58,'Ingredient costs'!$A$2:$B$536,2, FALSE)</f>
        <v>1944</v>
      </c>
      <c r="Q58" s="5">
        <v>1</v>
      </c>
      <c r="R58" s="6" t="s">
        <v>40</v>
      </c>
      <c r="S58" s="3">
        <f>Q58*VLOOKUP(R58,'Ingredient costs'!$A$2:$B$536,2, FALSE)</f>
        <v>504</v>
      </c>
      <c r="T58" s="6"/>
      <c r="U58" s="6" t="s">
        <v>23</v>
      </c>
      <c r="V58" s="3">
        <f>T58*VLOOKUP(U58,'Ingredient costs'!$A$2:$B$536,2, FALSE)</f>
        <v>0</v>
      </c>
      <c r="W58" s="6"/>
      <c r="X58" s="7" t="s">
        <v>23</v>
      </c>
      <c r="Y58" s="3">
        <f>W58*VLOOKUP(X58,'Ingredient costs'!$A$2:$B$536,2, FALSE)</f>
        <v>0</v>
      </c>
      <c r="AA58" s="3" t="s">
        <v>23</v>
      </c>
      <c r="AB58" s="3">
        <f>Z58*VLOOKUP(AA58,'Ingredient costs'!$A$2:$B$536,2, FALSE)</f>
        <v>0</v>
      </c>
    </row>
    <row r="59" spans="1:28" ht="15" x14ac:dyDescent="0.25">
      <c r="A59" s="4" t="s">
        <v>139</v>
      </c>
      <c r="B59" s="4" t="s">
        <v>141</v>
      </c>
      <c r="C59" s="4">
        <v>43</v>
      </c>
      <c r="D59" s="4">
        <v>2196</v>
      </c>
      <c r="E59" s="4">
        <f t="shared" si="0"/>
        <v>2124</v>
      </c>
      <c r="F59" s="4">
        <f t="shared" si="1"/>
        <v>72</v>
      </c>
      <c r="G59" s="4">
        <v>26</v>
      </c>
      <c r="H59" s="4">
        <v>10</v>
      </c>
      <c r="I59" s="4">
        <v>8</v>
      </c>
      <c r="J59" s="4">
        <f t="shared" si="2"/>
        <v>43.199999999999996</v>
      </c>
      <c r="K59" s="4">
        <f t="shared" si="3"/>
        <v>54</v>
      </c>
      <c r="L59" s="4">
        <f t="shared" si="4"/>
        <v>156</v>
      </c>
      <c r="M59" s="4">
        <f t="shared" si="5"/>
        <v>195</v>
      </c>
      <c r="N59" s="5">
        <v>2</v>
      </c>
      <c r="O59" s="6" t="s">
        <v>60</v>
      </c>
      <c r="P59" s="3">
        <f>N59*VLOOKUP(O59,'Ingredient costs'!$A$2:$B$536,2, FALSE)</f>
        <v>1296</v>
      </c>
      <c r="Q59" s="5">
        <v>1</v>
      </c>
      <c r="R59" s="6" t="s">
        <v>40</v>
      </c>
      <c r="S59" s="3">
        <f>Q59*VLOOKUP(R59,'Ingredient costs'!$A$2:$B$536,2, FALSE)</f>
        <v>504</v>
      </c>
      <c r="T59" s="5">
        <v>1</v>
      </c>
      <c r="U59" s="6" t="s">
        <v>95</v>
      </c>
      <c r="V59" s="3">
        <f>T59*VLOOKUP(U59,'Ingredient costs'!$A$2:$B$536,2, FALSE)</f>
        <v>324</v>
      </c>
      <c r="W59" s="6"/>
      <c r="X59" s="7" t="s">
        <v>23</v>
      </c>
      <c r="Y59" s="3">
        <f>W59*VLOOKUP(X59,'Ingredient costs'!$A$2:$B$536,2, FALSE)</f>
        <v>0</v>
      </c>
      <c r="AA59" s="3" t="s">
        <v>23</v>
      </c>
      <c r="AB59" s="3">
        <f>Z59*VLOOKUP(AA59,'Ingredient costs'!$A$2:$B$536,2, FALSE)</f>
        <v>0</v>
      </c>
    </row>
    <row r="60" spans="1:28" ht="15" x14ac:dyDescent="0.25">
      <c r="A60" s="4" t="s">
        <v>139</v>
      </c>
      <c r="B60" s="4" t="s">
        <v>142</v>
      </c>
      <c r="C60" s="4">
        <v>45</v>
      </c>
      <c r="D60" s="4">
        <v>2916</v>
      </c>
      <c r="E60" s="4">
        <f t="shared" si="0"/>
        <v>2880</v>
      </c>
      <c r="F60" s="4">
        <f t="shared" si="1"/>
        <v>36</v>
      </c>
      <c r="G60" s="4">
        <v>35</v>
      </c>
      <c r="H60" s="4">
        <v>15</v>
      </c>
      <c r="I60" s="4">
        <v>12</v>
      </c>
      <c r="J60" s="4">
        <f t="shared" si="2"/>
        <v>14.399999999999999</v>
      </c>
      <c r="K60" s="4">
        <f t="shared" si="3"/>
        <v>18</v>
      </c>
      <c r="L60" s="4">
        <f t="shared" si="4"/>
        <v>140</v>
      </c>
      <c r="M60" s="4">
        <f t="shared" si="5"/>
        <v>175</v>
      </c>
      <c r="N60" s="5">
        <v>1</v>
      </c>
      <c r="O60" s="6" t="s">
        <v>60</v>
      </c>
      <c r="P60" s="3">
        <f>N60*VLOOKUP(O60,'Ingredient costs'!$A$2:$B$536,2, FALSE)</f>
        <v>648</v>
      </c>
      <c r="Q60" s="5">
        <v>1</v>
      </c>
      <c r="R60" s="6" t="s">
        <v>71</v>
      </c>
      <c r="S60" s="3">
        <f>Q60*VLOOKUP(R60,'Ingredient costs'!$A$2:$B$536,2, FALSE)</f>
        <v>504</v>
      </c>
      <c r="T60" s="5">
        <v>2</v>
      </c>
      <c r="U60" s="6" t="s">
        <v>54</v>
      </c>
      <c r="V60" s="3">
        <f>T60*VLOOKUP(U60,'Ingredient costs'!$A$2:$B$536,2, FALSE)</f>
        <v>1728</v>
      </c>
      <c r="W60" s="6"/>
      <c r="X60" s="7" t="s">
        <v>23</v>
      </c>
      <c r="Y60" s="3">
        <f>W60*VLOOKUP(X60,'Ingredient costs'!$A$2:$B$536,2, FALSE)</f>
        <v>0</v>
      </c>
      <c r="AA60" s="3" t="s">
        <v>23</v>
      </c>
      <c r="AB60" s="3">
        <f>Z60*VLOOKUP(AA60,'Ingredient costs'!$A$2:$B$536,2, FALSE)</f>
        <v>0</v>
      </c>
    </row>
    <row r="61" spans="1:28" ht="15" x14ac:dyDescent="0.25">
      <c r="A61" s="4" t="s">
        <v>139</v>
      </c>
      <c r="B61" s="4" t="s">
        <v>143</v>
      </c>
      <c r="C61" s="4">
        <v>46</v>
      </c>
      <c r="D61" s="4">
        <v>2592</v>
      </c>
      <c r="E61" s="4">
        <f t="shared" si="0"/>
        <v>2484</v>
      </c>
      <c r="F61" s="4">
        <f t="shared" si="1"/>
        <v>108</v>
      </c>
      <c r="G61" s="4">
        <v>31</v>
      </c>
      <c r="H61" s="4">
        <v>30</v>
      </c>
      <c r="I61" s="4">
        <v>25</v>
      </c>
      <c r="J61" s="4">
        <f t="shared" si="2"/>
        <v>21.599999999999998</v>
      </c>
      <c r="K61" s="4">
        <f t="shared" si="3"/>
        <v>25.92</v>
      </c>
      <c r="L61" s="4">
        <f t="shared" si="4"/>
        <v>62.000000000000007</v>
      </c>
      <c r="M61" s="4">
        <f t="shared" si="5"/>
        <v>74.400000000000006</v>
      </c>
      <c r="N61" s="5">
        <v>1</v>
      </c>
      <c r="O61" s="6" t="s">
        <v>60</v>
      </c>
      <c r="P61" s="3">
        <f>N61*VLOOKUP(O61,'Ingredient costs'!$A$2:$B$536,2, FALSE)</f>
        <v>648</v>
      </c>
      <c r="Q61" s="5">
        <v>1</v>
      </c>
      <c r="R61" s="6" t="s">
        <v>71</v>
      </c>
      <c r="S61" s="3">
        <f>Q61*VLOOKUP(R61,'Ingredient costs'!$A$2:$B$536,2, FALSE)</f>
        <v>504</v>
      </c>
      <c r="T61" s="5">
        <v>1</v>
      </c>
      <c r="U61" s="6" t="s">
        <v>54</v>
      </c>
      <c r="V61" s="3">
        <f>T61*VLOOKUP(U61,'Ingredient costs'!$A$2:$B$536,2, FALSE)</f>
        <v>864</v>
      </c>
      <c r="W61" s="5">
        <v>1</v>
      </c>
      <c r="X61" s="7" t="s">
        <v>30</v>
      </c>
      <c r="Y61" s="3">
        <f>W61*VLOOKUP(X61,'Ingredient costs'!$A$2:$B$536,2, FALSE)</f>
        <v>468</v>
      </c>
      <c r="AA61" s="3" t="s">
        <v>23</v>
      </c>
      <c r="AB61" s="3">
        <f>Z61*VLOOKUP(AA61,'Ingredient costs'!$A$2:$B$536,2, FALSE)</f>
        <v>0</v>
      </c>
    </row>
    <row r="62" spans="1:28" ht="15" x14ac:dyDescent="0.25">
      <c r="A62" s="4" t="s">
        <v>139</v>
      </c>
      <c r="B62" s="4" t="s">
        <v>144</v>
      </c>
      <c r="C62" s="4">
        <v>47</v>
      </c>
      <c r="D62" s="4">
        <v>3168</v>
      </c>
      <c r="E62" s="4">
        <f t="shared" si="0"/>
        <v>3060</v>
      </c>
      <c r="F62" s="4">
        <f t="shared" si="1"/>
        <v>108</v>
      </c>
      <c r="G62" s="4">
        <v>32</v>
      </c>
      <c r="H62" s="4">
        <v>25</v>
      </c>
      <c r="I62" s="4">
        <v>21</v>
      </c>
      <c r="J62" s="4">
        <f t="shared" si="2"/>
        <v>25.92</v>
      </c>
      <c r="K62" s="4">
        <f t="shared" si="3"/>
        <v>30.857142857142861</v>
      </c>
      <c r="L62" s="4">
        <f t="shared" si="4"/>
        <v>76.8</v>
      </c>
      <c r="M62" s="4">
        <f t="shared" si="5"/>
        <v>91.428571428571416</v>
      </c>
      <c r="N62" s="5">
        <v>2</v>
      </c>
      <c r="O62" s="6" t="s">
        <v>54</v>
      </c>
      <c r="P62" s="3">
        <f>N62*VLOOKUP(O62,'Ingredient costs'!$A$2:$B$536,2, FALSE)</f>
        <v>1728</v>
      </c>
      <c r="Q62" s="5">
        <v>1</v>
      </c>
      <c r="R62" s="6" t="s">
        <v>71</v>
      </c>
      <c r="S62" s="3">
        <f>Q62*VLOOKUP(R62,'Ingredient costs'!$A$2:$B$536,2, FALSE)</f>
        <v>504</v>
      </c>
      <c r="T62" s="5">
        <v>1</v>
      </c>
      <c r="U62" s="6" t="s">
        <v>95</v>
      </c>
      <c r="V62" s="3">
        <f>T62*VLOOKUP(U62,'Ingredient costs'!$A$2:$B$536,2, FALSE)</f>
        <v>324</v>
      </c>
      <c r="W62" s="5">
        <v>1</v>
      </c>
      <c r="X62" s="7" t="s">
        <v>40</v>
      </c>
      <c r="Y62" s="3">
        <f>W62*VLOOKUP(X62,'Ingredient costs'!$A$2:$B$536,2, FALSE)</f>
        <v>504</v>
      </c>
      <c r="AA62" s="3" t="s">
        <v>23</v>
      </c>
      <c r="AB62" s="3">
        <f>Z62*VLOOKUP(AA62,'Ingredient costs'!$A$2:$B$536,2, FALSE)</f>
        <v>0</v>
      </c>
    </row>
    <row r="63" spans="1:28" ht="15" x14ac:dyDescent="0.25">
      <c r="A63" s="4" t="s">
        <v>139</v>
      </c>
      <c r="B63" s="4" t="s">
        <v>145</v>
      </c>
      <c r="C63" s="4">
        <v>62</v>
      </c>
      <c r="D63" s="4">
        <v>3456</v>
      </c>
      <c r="E63" s="4">
        <f t="shared" si="0"/>
        <v>3384</v>
      </c>
      <c r="F63" s="4">
        <f t="shared" si="1"/>
        <v>72</v>
      </c>
      <c r="G63" s="4">
        <v>41</v>
      </c>
      <c r="H63" s="4">
        <v>15</v>
      </c>
      <c r="I63" s="4">
        <v>12</v>
      </c>
      <c r="J63" s="4">
        <f t="shared" si="2"/>
        <v>28.799999999999997</v>
      </c>
      <c r="K63" s="4">
        <f t="shared" si="3"/>
        <v>36</v>
      </c>
      <c r="L63" s="4">
        <f t="shared" si="4"/>
        <v>164</v>
      </c>
      <c r="M63" s="4">
        <f t="shared" si="5"/>
        <v>205</v>
      </c>
      <c r="N63" s="5">
        <v>2</v>
      </c>
      <c r="O63" s="6" t="s">
        <v>60</v>
      </c>
      <c r="P63" s="3">
        <f>N63*VLOOKUP(O63,'Ingredient costs'!$A$2:$B$536,2, FALSE)</f>
        <v>1296</v>
      </c>
      <c r="Q63" s="5">
        <v>1</v>
      </c>
      <c r="R63" s="6" t="s">
        <v>129</v>
      </c>
      <c r="S63" s="3">
        <f>Q63*VLOOKUP(R63,'Ingredient costs'!$A$2:$B$536,2, FALSE)</f>
        <v>1764</v>
      </c>
      <c r="T63" s="5">
        <v>1</v>
      </c>
      <c r="U63" s="6" t="s">
        <v>95</v>
      </c>
      <c r="V63" s="3">
        <f>T63*VLOOKUP(U63,'Ingredient costs'!$A$2:$B$536,2, FALSE)</f>
        <v>324</v>
      </c>
      <c r="W63" s="6"/>
      <c r="X63" s="7" t="s">
        <v>23</v>
      </c>
      <c r="Y63" s="3">
        <f>W63*VLOOKUP(X63,'Ingredient costs'!$A$2:$B$536,2, FALSE)</f>
        <v>0</v>
      </c>
      <c r="AA63" s="3" t="s">
        <v>23</v>
      </c>
      <c r="AB63" s="3">
        <f>Z63*VLOOKUP(AA63,'Ingredient costs'!$A$2:$B$536,2, FALSE)</f>
        <v>0</v>
      </c>
    </row>
    <row r="64" spans="1:28" ht="15" x14ac:dyDescent="0.25">
      <c r="A64" s="4" t="s">
        <v>139</v>
      </c>
      <c r="B64" s="4" t="s">
        <v>146</v>
      </c>
      <c r="C64" s="4">
        <v>88</v>
      </c>
      <c r="D64" s="4">
        <v>2772</v>
      </c>
      <c r="E64" s="4">
        <f t="shared" si="0"/>
        <v>2664</v>
      </c>
      <c r="F64" s="4">
        <f t="shared" si="1"/>
        <v>108</v>
      </c>
      <c r="G64" s="4">
        <v>33</v>
      </c>
      <c r="H64" s="4">
        <v>20</v>
      </c>
      <c r="I64" s="4">
        <v>17</v>
      </c>
      <c r="J64" s="4">
        <f t="shared" si="2"/>
        <v>32.400000000000006</v>
      </c>
      <c r="K64" s="4">
        <f t="shared" si="3"/>
        <v>38.117647058823529</v>
      </c>
      <c r="L64" s="4">
        <f t="shared" si="4"/>
        <v>99</v>
      </c>
      <c r="M64" s="4">
        <f t="shared" si="5"/>
        <v>116.47058823529412</v>
      </c>
      <c r="N64" s="8">
        <v>2</v>
      </c>
      <c r="O64" s="7" t="s">
        <v>60</v>
      </c>
      <c r="P64" s="3">
        <f>N64*VLOOKUP(O64,'Ingredient costs'!$A$2:$B$536,2, FALSE)</f>
        <v>1296</v>
      </c>
      <c r="Q64" s="8">
        <v>1</v>
      </c>
      <c r="R64" s="7" t="s">
        <v>95</v>
      </c>
      <c r="S64" s="3">
        <f>Q64*VLOOKUP(R64,'Ingredient costs'!$A$2:$B$536,2, FALSE)</f>
        <v>324</v>
      </c>
      <c r="T64" s="8">
        <v>1</v>
      </c>
      <c r="U64" s="7" t="s">
        <v>50</v>
      </c>
      <c r="V64" s="3">
        <f>T64*VLOOKUP(U64,'Ingredient costs'!$A$2:$B$536,2, FALSE)</f>
        <v>1044</v>
      </c>
      <c r="W64" s="7"/>
      <c r="X64" s="7" t="s">
        <v>23</v>
      </c>
      <c r="Y64" s="3">
        <f>W64*VLOOKUP(X64,'Ingredient costs'!$A$2:$B$536,2, FALSE)</f>
        <v>0</v>
      </c>
      <c r="AA64" s="3" t="s">
        <v>23</v>
      </c>
      <c r="AB64" s="3">
        <f>Z64*VLOOKUP(AA64,'Ingredient costs'!$A$2:$B$536,2, FALSE)</f>
        <v>0</v>
      </c>
    </row>
    <row r="65" spans="1:28" ht="15" x14ac:dyDescent="0.25">
      <c r="A65" s="4" t="s">
        <v>147</v>
      </c>
      <c r="B65" s="4" t="s">
        <v>71</v>
      </c>
      <c r="C65" s="4">
        <v>6</v>
      </c>
      <c r="D65" s="4">
        <v>504</v>
      </c>
      <c r="E65" s="4">
        <f t="shared" si="0"/>
        <v>324</v>
      </c>
      <c r="F65" s="4">
        <f t="shared" si="1"/>
        <v>180</v>
      </c>
      <c r="G65" s="4">
        <v>6</v>
      </c>
      <c r="H65" s="4">
        <v>20</v>
      </c>
      <c r="I65" s="4">
        <v>17</v>
      </c>
      <c r="J65" s="4">
        <f t="shared" si="2"/>
        <v>54</v>
      </c>
      <c r="K65" s="4">
        <f t="shared" si="3"/>
        <v>63.529411764705884</v>
      </c>
      <c r="L65" s="4">
        <f t="shared" si="4"/>
        <v>18</v>
      </c>
      <c r="M65" s="4">
        <f t="shared" si="5"/>
        <v>21.176470588235297</v>
      </c>
      <c r="N65" s="3">
        <v>1</v>
      </c>
      <c r="O65" s="3" t="s">
        <v>95</v>
      </c>
      <c r="P65" s="3">
        <f>N65*VLOOKUP(O65,'Ingredient costs'!$A$2:$B$536,2, FALSE)</f>
        <v>324</v>
      </c>
      <c r="R65" s="3" t="s">
        <v>23</v>
      </c>
      <c r="S65" s="3">
        <f>Q65*VLOOKUP(R65,'Ingredient costs'!$A$2:$B$536,2, FALSE)</f>
        <v>0</v>
      </c>
      <c r="U65" s="3" t="s">
        <v>23</v>
      </c>
      <c r="V65" s="3">
        <f>T65*VLOOKUP(U65,'Ingredient costs'!$A$2:$B$536,2, FALSE)</f>
        <v>0</v>
      </c>
      <c r="X65" s="3" t="s">
        <v>23</v>
      </c>
      <c r="Y65" s="3">
        <f>W65*VLOOKUP(X65,'Ingredient costs'!$A$2:$B$536,2, FALSE)</f>
        <v>0</v>
      </c>
      <c r="AA65" s="3" t="s">
        <v>23</v>
      </c>
      <c r="AB65" s="3">
        <f>Z65*VLOOKUP(AA65,'Ingredient costs'!$A$2:$B$536,2, FALSE)</f>
        <v>0</v>
      </c>
    </row>
    <row r="66" spans="1:28" ht="15" x14ac:dyDescent="0.25">
      <c r="A66" s="4" t="s">
        <v>147</v>
      </c>
      <c r="B66" s="4" t="s">
        <v>41</v>
      </c>
      <c r="C66" s="4">
        <v>9</v>
      </c>
      <c r="D66" s="4">
        <v>828</v>
      </c>
      <c r="E66" s="4">
        <f t="shared" si="0"/>
        <v>648</v>
      </c>
      <c r="F66" s="4">
        <f t="shared" si="1"/>
        <v>180</v>
      </c>
      <c r="G66" s="4">
        <v>10</v>
      </c>
      <c r="H66" s="4">
        <v>30</v>
      </c>
      <c r="I66" s="4">
        <v>25</v>
      </c>
      <c r="J66" s="4">
        <f t="shared" si="2"/>
        <v>36</v>
      </c>
      <c r="K66" s="4">
        <f t="shared" si="3"/>
        <v>43.199999999999996</v>
      </c>
      <c r="L66" s="4">
        <f t="shared" si="4"/>
        <v>20</v>
      </c>
      <c r="M66" s="4">
        <f t="shared" si="5"/>
        <v>24</v>
      </c>
      <c r="N66" s="3">
        <v>2</v>
      </c>
      <c r="O66" s="3" t="s">
        <v>95</v>
      </c>
      <c r="P66" s="3">
        <f>N66*VLOOKUP(O66,'Ingredient costs'!$A$2:$B$536,2, FALSE)</f>
        <v>648</v>
      </c>
      <c r="R66" s="3" t="s">
        <v>23</v>
      </c>
      <c r="S66" s="3">
        <f>Q66*VLOOKUP(R66,'Ingredient costs'!$A$2:$B$536,2, FALSE)</f>
        <v>0</v>
      </c>
      <c r="U66" s="3" t="s">
        <v>23</v>
      </c>
      <c r="V66" s="3">
        <f>T66*VLOOKUP(U66,'Ingredient costs'!$A$2:$B$536,2, FALSE)</f>
        <v>0</v>
      </c>
      <c r="X66" s="3" t="s">
        <v>23</v>
      </c>
      <c r="Y66" s="3">
        <f>W66*VLOOKUP(X66,'Ingredient costs'!$A$2:$B$536,2, FALSE)</f>
        <v>0</v>
      </c>
      <c r="AA66" s="3" t="s">
        <v>23</v>
      </c>
      <c r="AB66" s="3">
        <f>Z66*VLOOKUP(AA66,'Ingredient costs'!$A$2:$B$536,2, FALSE)</f>
        <v>0</v>
      </c>
    </row>
    <row r="67" spans="1:28" ht="15" x14ac:dyDescent="0.25">
      <c r="A67" s="4" t="s">
        <v>147</v>
      </c>
      <c r="B67" s="4" t="s">
        <v>35</v>
      </c>
      <c r="C67" s="4">
        <v>12</v>
      </c>
      <c r="D67" s="4">
        <v>1224</v>
      </c>
      <c r="E67" s="4">
        <f t="shared" si="0"/>
        <v>972</v>
      </c>
      <c r="F67" s="4">
        <f t="shared" si="1"/>
        <v>252</v>
      </c>
      <c r="G67" s="4">
        <v>15</v>
      </c>
      <c r="H67" s="4">
        <v>60</v>
      </c>
      <c r="I67" s="4">
        <v>51</v>
      </c>
      <c r="J67" s="4">
        <f t="shared" si="2"/>
        <v>25.200000000000003</v>
      </c>
      <c r="K67" s="4">
        <f t="shared" si="3"/>
        <v>29.647058823529413</v>
      </c>
      <c r="L67" s="4">
        <f t="shared" si="4"/>
        <v>15</v>
      </c>
      <c r="M67" s="4">
        <f t="shared" si="5"/>
        <v>17.647058823529413</v>
      </c>
      <c r="N67" s="3">
        <v>3</v>
      </c>
      <c r="O67" s="3" t="s">
        <v>95</v>
      </c>
      <c r="P67" s="3">
        <f>N67*VLOOKUP(O67,'Ingredient costs'!$A$2:$B$536,2, FALSE)</f>
        <v>972</v>
      </c>
      <c r="R67" s="3" t="s">
        <v>23</v>
      </c>
      <c r="S67" s="3">
        <f>Q67*VLOOKUP(R67,'Ingredient costs'!$A$2:$B$536,2, FALSE)</f>
        <v>0</v>
      </c>
      <c r="U67" s="3" t="s">
        <v>23</v>
      </c>
      <c r="V67" s="3">
        <f>T67*VLOOKUP(U67,'Ingredient costs'!$A$2:$B$536,2, FALSE)</f>
        <v>0</v>
      </c>
      <c r="X67" s="3" t="s">
        <v>23</v>
      </c>
      <c r="Y67" s="3">
        <f>W67*VLOOKUP(X67,'Ingredient costs'!$A$2:$B$536,2, FALSE)</f>
        <v>0</v>
      </c>
      <c r="AA67" s="3" t="s">
        <v>23</v>
      </c>
      <c r="AB67" s="3">
        <f>Z67*VLOOKUP(AA67,'Ingredient costs'!$A$2:$B$536,2, FALSE)</f>
        <v>0</v>
      </c>
    </row>
    <row r="68" spans="1:28" ht="15" x14ac:dyDescent="0.25">
      <c r="A68" s="4" t="s">
        <v>147</v>
      </c>
      <c r="B68" s="4" t="s">
        <v>103</v>
      </c>
      <c r="C68" s="4">
        <v>33</v>
      </c>
      <c r="D68" s="4">
        <v>1620</v>
      </c>
      <c r="E68" s="4">
        <f t="shared" si="0"/>
        <v>1296</v>
      </c>
      <c r="F68" s="4">
        <f t="shared" si="1"/>
        <v>324</v>
      </c>
      <c r="G68" s="4">
        <v>19</v>
      </c>
      <c r="H68" s="4">
        <v>90</v>
      </c>
      <c r="I68" s="4">
        <v>76</v>
      </c>
      <c r="J68" s="4">
        <f t="shared" si="2"/>
        <v>21.599999999999998</v>
      </c>
      <c r="K68" s="4">
        <f t="shared" si="3"/>
        <v>25.578947368421055</v>
      </c>
      <c r="L68" s="4">
        <f t="shared" si="4"/>
        <v>12.666666666666666</v>
      </c>
      <c r="M68" s="4">
        <f t="shared" si="5"/>
        <v>15</v>
      </c>
      <c r="N68" s="3">
        <v>2</v>
      </c>
      <c r="O68" s="3" t="s">
        <v>53</v>
      </c>
      <c r="P68" s="3">
        <f>N68*VLOOKUP(O68,'Ingredient costs'!$A$2:$B$536,2, FALSE)</f>
        <v>1296</v>
      </c>
      <c r="R68" s="3" t="s">
        <v>23</v>
      </c>
      <c r="S68" s="3">
        <f>Q68*VLOOKUP(R68,'Ingredient costs'!$A$2:$B$536,2, FALSE)</f>
        <v>0</v>
      </c>
      <c r="U68" s="3" t="s">
        <v>23</v>
      </c>
      <c r="V68" s="3">
        <f>T68*VLOOKUP(U68,'Ingredient costs'!$A$2:$B$536,2, FALSE)</f>
        <v>0</v>
      </c>
      <c r="X68" s="3" t="s">
        <v>23</v>
      </c>
      <c r="Y68" s="3">
        <f>W68*VLOOKUP(X68,'Ingredient costs'!$A$2:$B$536,2, FALSE)</f>
        <v>0</v>
      </c>
      <c r="AA68" s="3" t="s">
        <v>23</v>
      </c>
      <c r="AB68" s="3">
        <f>Z68*VLOOKUP(AA68,'Ingredient costs'!$A$2:$B$536,2, FALSE)</f>
        <v>0</v>
      </c>
    </row>
    <row r="69" spans="1:28" ht="15" x14ac:dyDescent="0.25">
      <c r="A69" s="4" t="s">
        <v>148</v>
      </c>
      <c r="B69" s="4" t="s">
        <v>149</v>
      </c>
      <c r="C69" s="4">
        <v>87</v>
      </c>
      <c r="D69" s="4">
        <v>3024</v>
      </c>
      <c r="E69" s="4">
        <f t="shared" si="0"/>
        <v>2941</v>
      </c>
      <c r="F69" s="4">
        <f t="shared" si="1"/>
        <v>83</v>
      </c>
      <c r="G69" s="4">
        <v>36</v>
      </c>
      <c r="H69" s="4">
        <v>25</v>
      </c>
      <c r="I69" s="4">
        <v>21</v>
      </c>
      <c r="J69" s="4">
        <f t="shared" si="2"/>
        <v>19.919999999999998</v>
      </c>
      <c r="K69" s="4">
        <f t="shared" si="3"/>
        <v>23.714285714285715</v>
      </c>
      <c r="L69" s="4">
        <f t="shared" si="4"/>
        <v>86.399999999999991</v>
      </c>
      <c r="M69" s="4">
        <f t="shared" si="5"/>
        <v>102.85714285714285</v>
      </c>
      <c r="N69" s="5">
        <v>1</v>
      </c>
      <c r="O69" s="6" t="s">
        <v>37</v>
      </c>
      <c r="P69" s="3">
        <f>N69*VLOOKUP(O69,'Ingredient costs'!$A$2:$B$536,2, FALSE)</f>
        <v>360</v>
      </c>
      <c r="Q69" s="5">
        <v>2</v>
      </c>
      <c r="R69" s="6" t="s">
        <v>66</v>
      </c>
      <c r="S69" s="3">
        <f>Q69*VLOOKUP(R69,'Ingredient costs'!$A$2:$B$536,2, FALSE)</f>
        <v>1008</v>
      </c>
      <c r="T69" s="5">
        <v>4</v>
      </c>
      <c r="U69" s="6" t="s">
        <v>39</v>
      </c>
      <c r="V69" s="3">
        <f>T69*VLOOKUP(U69,'Ingredient costs'!$A$2:$B$536,2, FALSE)</f>
        <v>1440</v>
      </c>
      <c r="W69" s="5">
        <v>1</v>
      </c>
      <c r="X69" s="7" t="s">
        <v>75</v>
      </c>
      <c r="Y69" s="3">
        <f>W69*VLOOKUP(X69,'Ingredient costs'!$A$2:$B$536,2, FALSE)</f>
        <v>133</v>
      </c>
      <c r="AA69" s="3" t="s">
        <v>23</v>
      </c>
      <c r="AB69" s="3">
        <f>Z69*VLOOKUP(AA69,'Ingredient costs'!$A$2:$B$536,2, FALSE)</f>
        <v>0</v>
      </c>
    </row>
    <row r="70" spans="1:28" ht="15" x14ac:dyDescent="0.25">
      <c r="A70" s="4" t="s">
        <v>148</v>
      </c>
      <c r="B70" s="4" t="s">
        <v>150</v>
      </c>
      <c r="C70" s="4">
        <v>91</v>
      </c>
      <c r="D70" s="4">
        <v>2952</v>
      </c>
      <c r="E70" s="4">
        <f t="shared" si="0"/>
        <v>2736</v>
      </c>
      <c r="F70" s="4">
        <f t="shared" si="1"/>
        <v>216</v>
      </c>
      <c r="G70" s="4">
        <v>35</v>
      </c>
      <c r="H70" s="4">
        <v>20</v>
      </c>
      <c r="I70" s="4">
        <v>17</v>
      </c>
      <c r="J70" s="4">
        <f t="shared" si="2"/>
        <v>64.800000000000011</v>
      </c>
      <c r="K70" s="4">
        <f t="shared" si="3"/>
        <v>76.235294117647058</v>
      </c>
      <c r="L70" s="4">
        <f t="shared" si="4"/>
        <v>105</v>
      </c>
      <c r="M70" s="4">
        <f t="shared" si="5"/>
        <v>123.52941176470587</v>
      </c>
      <c r="N70" s="5">
        <v>1</v>
      </c>
      <c r="O70" s="6" t="s">
        <v>151</v>
      </c>
      <c r="P70" s="3">
        <f>N70*VLOOKUP(O70,'Ingredient costs'!$A$2:$B$536,2, FALSE)</f>
        <v>2196</v>
      </c>
      <c r="Q70" s="5">
        <v>2</v>
      </c>
      <c r="R70" s="6" t="s">
        <v>26</v>
      </c>
      <c r="S70" s="3">
        <f>Q70*VLOOKUP(R70,'Ingredient costs'!$A$2:$B$536,2, FALSE)</f>
        <v>360</v>
      </c>
      <c r="T70" s="5">
        <v>5</v>
      </c>
      <c r="U70" s="6" t="s">
        <v>22</v>
      </c>
      <c r="V70" s="3">
        <f>T70*VLOOKUP(U70,'Ingredient costs'!$A$2:$B$536,2, FALSE)</f>
        <v>180</v>
      </c>
      <c r="W70" s="6"/>
      <c r="X70" s="7" t="s">
        <v>23</v>
      </c>
      <c r="Y70" s="3">
        <f>W70*VLOOKUP(X70,'Ingredient costs'!$A$2:$B$536,2, FALSE)</f>
        <v>0</v>
      </c>
      <c r="AA70" s="3" t="s">
        <v>23</v>
      </c>
      <c r="AB70" s="3">
        <f>Z70*VLOOKUP(AA70,'Ingredient costs'!$A$2:$B$536,2, FALSE)</f>
        <v>0</v>
      </c>
    </row>
    <row r="71" spans="1:28" ht="15" x14ac:dyDescent="0.25">
      <c r="A71" s="4" t="s">
        <v>148</v>
      </c>
      <c r="B71" s="4" t="s">
        <v>152</v>
      </c>
      <c r="C71" s="4">
        <v>98</v>
      </c>
      <c r="D71" s="4">
        <v>4068</v>
      </c>
      <c r="E71" s="4">
        <f t="shared" si="0"/>
        <v>3852</v>
      </c>
      <c r="F71" s="4">
        <f t="shared" si="1"/>
        <v>216</v>
      </c>
      <c r="G71" s="4">
        <v>48</v>
      </c>
      <c r="H71" s="4">
        <v>40</v>
      </c>
      <c r="I71" s="4">
        <v>34</v>
      </c>
      <c r="J71" s="4">
        <f t="shared" si="2"/>
        <v>32.400000000000006</v>
      </c>
      <c r="K71" s="4">
        <f t="shared" si="3"/>
        <v>38.117647058823529</v>
      </c>
      <c r="L71" s="4">
        <f t="shared" si="4"/>
        <v>72</v>
      </c>
      <c r="M71" s="4">
        <f t="shared" si="5"/>
        <v>84.705882352941188</v>
      </c>
      <c r="N71" s="5">
        <v>3</v>
      </c>
      <c r="O71" s="6" t="s">
        <v>37</v>
      </c>
      <c r="P71" s="3">
        <f>N71*VLOOKUP(O71,'Ingredient costs'!$A$2:$B$536,2, FALSE)</f>
        <v>1080</v>
      </c>
      <c r="Q71" s="5">
        <v>1</v>
      </c>
      <c r="R71" s="6" t="s">
        <v>22</v>
      </c>
      <c r="S71" s="3">
        <f>Q71*VLOOKUP(R71,'Ingredient costs'!$A$2:$B$536,2, FALSE)</f>
        <v>36</v>
      </c>
      <c r="T71" s="5">
        <v>3</v>
      </c>
      <c r="U71" s="6" t="s">
        <v>66</v>
      </c>
      <c r="V71" s="3">
        <f>T71*VLOOKUP(U71,'Ingredient costs'!$A$2:$B$536,2, FALSE)</f>
        <v>1512</v>
      </c>
      <c r="W71" s="5">
        <v>1</v>
      </c>
      <c r="X71" s="7" t="s">
        <v>35</v>
      </c>
      <c r="Y71" s="3">
        <f>W71*VLOOKUP(X71,'Ingredient costs'!$A$2:$B$536,2, FALSE)</f>
        <v>1224</v>
      </c>
      <c r="AA71" s="3" t="s">
        <v>23</v>
      </c>
      <c r="AB71" s="3">
        <f>Z71*VLOOKUP(AA71,'Ingredient costs'!$A$2:$B$536,2, FALSE)</f>
        <v>0</v>
      </c>
    </row>
    <row r="72" spans="1:28" ht="15" x14ac:dyDescent="0.25">
      <c r="A72" s="4" t="s">
        <v>148</v>
      </c>
      <c r="B72" s="4" t="s">
        <v>153</v>
      </c>
      <c r="C72" s="4">
        <v>100</v>
      </c>
      <c r="D72" s="4">
        <v>6588</v>
      </c>
      <c r="E72" s="4">
        <f t="shared" si="0"/>
        <v>5976</v>
      </c>
      <c r="F72" s="4">
        <f t="shared" si="1"/>
        <v>612</v>
      </c>
      <c r="G72" s="4">
        <v>87</v>
      </c>
      <c r="H72" s="4">
        <v>15</v>
      </c>
      <c r="I72" s="4">
        <v>12</v>
      </c>
      <c r="J72" s="4">
        <f t="shared" si="2"/>
        <v>244.8</v>
      </c>
      <c r="K72" s="4">
        <f t="shared" si="3"/>
        <v>306</v>
      </c>
      <c r="L72" s="4">
        <f t="shared" si="4"/>
        <v>348</v>
      </c>
      <c r="M72" s="4">
        <f t="shared" si="5"/>
        <v>435</v>
      </c>
      <c r="N72" s="8">
        <v>3</v>
      </c>
      <c r="O72" s="7" t="s">
        <v>54</v>
      </c>
      <c r="P72" s="3">
        <f>N72*VLOOKUP(O72,'Ingredient costs'!$A$2:$B$536,2, FALSE)</f>
        <v>2592</v>
      </c>
      <c r="Q72" s="8">
        <v>1</v>
      </c>
      <c r="R72" s="7" t="s">
        <v>27</v>
      </c>
      <c r="S72" s="3">
        <f>Q72*VLOOKUP(R72,'Ingredient costs'!$A$2:$B$536,2, FALSE)</f>
        <v>1044</v>
      </c>
      <c r="T72" s="8">
        <v>1</v>
      </c>
      <c r="U72" s="7" t="s">
        <v>136</v>
      </c>
      <c r="V72" s="3">
        <f>T72*VLOOKUP(U72,'Ingredient costs'!$A$2:$B$536,2, FALSE)</f>
        <v>2340</v>
      </c>
      <c r="W72" s="7"/>
      <c r="X72" s="7" t="s">
        <v>23</v>
      </c>
      <c r="Y72" s="3">
        <f>W72*VLOOKUP(X72,'Ingredient costs'!$A$2:$B$536,2, FALSE)</f>
        <v>0</v>
      </c>
      <c r="AA72" s="3" t="s">
        <v>23</v>
      </c>
      <c r="AB72" s="3">
        <f>Z72*VLOOKUP(AA72,'Ingredient costs'!$A$2:$B$536,2, FALSE)</f>
        <v>0</v>
      </c>
    </row>
    <row r="73" spans="1:28" ht="15" x14ac:dyDescent="0.25">
      <c r="A73" s="4" t="s">
        <v>154</v>
      </c>
      <c r="B73" s="4" t="s">
        <v>155</v>
      </c>
      <c r="C73" s="4">
        <v>76</v>
      </c>
      <c r="D73" s="4">
        <v>1296</v>
      </c>
      <c r="E73" s="4">
        <f t="shared" si="0"/>
        <v>1116</v>
      </c>
      <c r="F73" s="4">
        <f t="shared" si="1"/>
        <v>180</v>
      </c>
      <c r="G73" s="4">
        <v>15</v>
      </c>
      <c r="H73" s="4">
        <v>15</v>
      </c>
      <c r="I73" s="4">
        <v>12</v>
      </c>
      <c r="J73" s="4">
        <f t="shared" si="2"/>
        <v>72</v>
      </c>
      <c r="K73" s="4">
        <f t="shared" si="3"/>
        <v>90</v>
      </c>
      <c r="L73" s="4">
        <f t="shared" si="4"/>
        <v>60</v>
      </c>
      <c r="M73" s="4">
        <f t="shared" si="5"/>
        <v>75</v>
      </c>
      <c r="N73" s="5">
        <v>1</v>
      </c>
      <c r="O73" s="6" t="s">
        <v>95</v>
      </c>
      <c r="P73" s="3">
        <f>N73*VLOOKUP(O73,'Ingredient costs'!$A$2:$B$536,2, FALSE)</f>
        <v>324</v>
      </c>
      <c r="Q73" s="5">
        <v>1</v>
      </c>
      <c r="R73" s="6" t="s">
        <v>40</v>
      </c>
      <c r="S73" s="3">
        <f>Q73*VLOOKUP(R73,'Ingredient costs'!$A$2:$B$536,2, FALSE)</f>
        <v>504</v>
      </c>
      <c r="T73" s="5">
        <v>1</v>
      </c>
      <c r="U73" s="6" t="s">
        <v>26</v>
      </c>
      <c r="V73" s="3">
        <f>T73*VLOOKUP(U73,'Ingredient costs'!$A$2:$B$536,2, FALSE)</f>
        <v>180</v>
      </c>
      <c r="W73" s="5">
        <v>3</v>
      </c>
      <c r="X73" s="7" t="s">
        <v>22</v>
      </c>
      <c r="Y73" s="3">
        <f>W73*VLOOKUP(X73,'Ingredient costs'!$A$2:$B$536,2, FALSE)</f>
        <v>108</v>
      </c>
      <c r="AA73" s="3" t="s">
        <v>23</v>
      </c>
      <c r="AB73" s="3">
        <f>Z73*VLOOKUP(AA73,'Ingredient costs'!$A$2:$B$536,2, FALSE)</f>
        <v>0</v>
      </c>
    </row>
    <row r="74" spans="1:28" ht="15" x14ac:dyDescent="0.25">
      <c r="A74" s="4" t="s">
        <v>154</v>
      </c>
      <c r="B74" s="4" t="s">
        <v>156</v>
      </c>
      <c r="C74" s="4">
        <v>79</v>
      </c>
      <c r="D74" s="4">
        <v>3132</v>
      </c>
      <c r="E74" s="4">
        <f t="shared" si="0"/>
        <v>3024</v>
      </c>
      <c r="F74" s="4">
        <f t="shared" si="1"/>
        <v>108</v>
      </c>
      <c r="G74" s="4">
        <v>37</v>
      </c>
      <c r="H74" s="4">
        <v>20</v>
      </c>
      <c r="I74" s="4">
        <v>17</v>
      </c>
      <c r="J74" s="4">
        <f t="shared" si="2"/>
        <v>32.400000000000006</v>
      </c>
      <c r="K74" s="4">
        <f t="shared" si="3"/>
        <v>38.117647058823529</v>
      </c>
      <c r="L74" s="4">
        <f t="shared" si="4"/>
        <v>111</v>
      </c>
      <c r="M74" s="4">
        <f t="shared" si="5"/>
        <v>130.58823529411762</v>
      </c>
      <c r="N74" s="5">
        <v>1</v>
      </c>
      <c r="O74" s="6" t="s">
        <v>155</v>
      </c>
      <c r="P74" s="3">
        <f>N74*VLOOKUP(O74,'Ingredient costs'!$A$2:$B$536,2, FALSE)</f>
        <v>1296</v>
      </c>
      <c r="Q74" s="5">
        <v>2</v>
      </c>
      <c r="R74" s="6" t="s">
        <v>54</v>
      </c>
      <c r="S74" s="3">
        <f>Q74*VLOOKUP(R74,'Ingredient costs'!$A$2:$B$536,2, FALSE)</f>
        <v>1728</v>
      </c>
      <c r="T74" s="6"/>
      <c r="U74" s="6" t="s">
        <v>23</v>
      </c>
      <c r="V74" s="3">
        <f>T74*VLOOKUP(U74,'Ingredient costs'!$A$2:$B$536,2, FALSE)</f>
        <v>0</v>
      </c>
      <c r="X74" s="3" t="s">
        <v>23</v>
      </c>
      <c r="Y74" s="3">
        <f>W74*VLOOKUP(X74,'Ingredient costs'!$A$2:$B$536,2, FALSE)</f>
        <v>0</v>
      </c>
      <c r="AA74" s="3" t="s">
        <v>23</v>
      </c>
      <c r="AB74" s="3">
        <f>Z74*VLOOKUP(AA74,'Ingredient costs'!$A$2:$B$536,2, FALSE)</f>
        <v>0</v>
      </c>
    </row>
    <row r="75" spans="1:28" ht="15" x14ac:dyDescent="0.25">
      <c r="A75" s="4" t="s">
        <v>154</v>
      </c>
      <c r="B75" s="4" t="s">
        <v>157</v>
      </c>
      <c r="C75" s="4">
        <v>82</v>
      </c>
      <c r="D75" s="4">
        <v>5940</v>
      </c>
      <c r="E75" s="4">
        <f t="shared" si="0"/>
        <v>4140</v>
      </c>
      <c r="F75" s="4">
        <f t="shared" si="1"/>
        <v>1800</v>
      </c>
      <c r="G75" s="4">
        <v>71</v>
      </c>
      <c r="H75" s="4">
        <v>30</v>
      </c>
      <c r="I75" s="4">
        <v>25</v>
      </c>
      <c r="J75" s="4">
        <f t="shared" si="2"/>
        <v>360</v>
      </c>
      <c r="K75" s="4">
        <f t="shared" si="3"/>
        <v>432</v>
      </c>
      <c r="L75" s="4">
        <f t="shared" si="4"/>
        <v>142</v>
      </c>
      <c r="M75" s="4">
        <f t="shared" si="5"/>
        <v>170.39999999999998</v>
      </c>
      <c r="N75" s="5">
        <v>1</v>
      </c>
      <c r="O75" s="6" t="s">
        <v>155</v>
      </c>
      <c r="P75" s="3">
        <f>N75*VLOOKUP(O75,'Ingredient costs'!$A$2:$B$536,2, FALSE)</f>
        <v>1296</v>
      </c>
      <c r="Q75" s="5">
        <v>1</v>
      </c>
      <c r="R75" s="6" t="s">
        <v>71</v>
      </c>
      <c r="S75" s="3">
        <f>Q75*VLOOKUP(R75,'Ingredient costs'!$A$2:$B$536,2, FALSE)</f>
        <v>504</v>
      </c>
      <c r="T75" s="5">
        <v>1</v>
      </c>
      <c r="U75" s="6" t="s">
        <v>136</v>
      </c>
      <c r="V75" s="3">
        <f>T75*VLOOKUP(U75,'Ingredient costs'!$A$2:$B$536,2, FALSE)</f>
        <v>2340</v>
      </c>
      <c r="X75" s="3" t="s">
        <v>23</v>
      </c>
      <c r="Y75" s="3">
        <f>W75*VLOOKUP(X75,'Ingredient costs'!$A$2:$B$536,2, FALSE)</f>
        <v>0</v>
      </c>
      <c r="AA75" s="3" t="s">
        <v>23</v>
      </c>
      <c r="AB75" s="3">
        <f>Z75*VLOOKUP(AA75,'Ingredient costs'!$A$2:$B$536,2, FALSE)</f>
        <v>0</v>
      </c>
    </row>
    <row r="76" spans="1:28" ht="15" x14ac:dyDescent="0.25">
      <c r="A76" s="4" t="s">
        <v>154</v>
      </c>
      <c r="B76" s="4" t="s">
        <v>158</v>
      </c>
      <c r="C76" s="4">
        <v>86</v>
      </c>
      <c r="D76" s="4">
        <v>2304</v>
      </c>
      <c r="E76" s="4">
        <f t="shared" si="0"/>
        <v>2124</v>
      </c>
      <c r="F76" s="4">
        <f t="shared" si="1"/>
        <v>180</v>
      </c>
      <c r="G76" s="4">
        <v>27</v>
      </c>
      <c r="H76" s="4">
        <v>25</v>
      </c>
      <c r="I76" s="4">
        <v>21</v>
      </c>
      <c r="J76" s="4">
        <f t="shared" si="2"/>
        <v>43.199999999999996</v>
      </c>
      <c r="K76" s="4">
        <f t="shared" si="3"/>
        <v>51.428571428571423</v>
      </c>
      <c r="L76" s="4">
        <f t="shared" si="4"/>
        <v>64.800000000000011</v>
      </c>
      <c r="M76" s="4">
        <f t="shared" si="5"/>
        <v>77.142857142857153</v>
      </c>
      <c r="N76" s="5">
        <v>1</v>
      </c>
      <c r="O76" s="6" t="s">
        <v>155</v>
      </c>
      <c r="P76" s="3">
        <f>N76*VLOOKUP(O76,'Ingredient costs'!$A$2:$B$536,2, FALSE)</f>
        <v>1296</v>
      </c>
      <c r="Q76" s="5">
        <v>1</v>
      </c>
      <c r="R76" s="6" t="s">
        <v>71</v>
      </c>
      <c r="S76" s="3">
        <f>Q76*VLOOKUP(R76,'Ingredient costs'!$A$2:$B$536,2, FALSE)</f>
        <v>504</v>
      </c>
      <c r="T76" s="5">
        <v>1</v>
      </c>
      <c r="U76" s="6" t="s">
        <v>28</v>
      </c>
      <c r="V76" s="3">
        <f>T76*VLOOKUP(U76,'Ingredient costs'!$A$2:$B$536,2, FALSE)</f>
        <v>324</v>
      </c>
      <c r="X76" s="3" t="s">
        <v>23</v>
      </c>
      <c r="Y76" s="3">
        <f>W76*VLOOKUP(X76,'Ingredient costs'!$A$2:$B$536,2, FALSE)</f>
        <v>0</v>
      </c>
      <c r="AA76" s="3" t="s">
        <v>23</v>
      </c>
      <c r="AB76" s="3">
        <f>Z76*VLOOKUP(AA76,'Ingredient costs'!$A$2:$B$536,2, FALSE)</f>
        <v>0</v>
      </c>
    </row>
    <row r="77" spans="1:28" ht="15" x14ac:dyDescent="0.25">
      <c r="A77" s="4" t="s">
        <v>154</v>
      </c>
      <c r="B77" s="4" t="s">
        <v>159</v>
      </c>
      <c r="C77" s="4">
        <v>88</v>
      </c>
      <c r="D77" s="4">
        <v>3888</v>
      </c>
      <c r="E77" s="4">
        <f t="shared" si="0"/>
        <v>3708</v>
      </c>
      <c r="F77" s="4">
        <f t="shared" si="1"/>
        <v>180</v>
      </c>
      <c r="G77" s="4">
        <v>46</v>
      </c>
      <c r="H77" s="4">
        <v>30</v>
      </c>
      <c r="I77" s="4">
        <v>25</v>
      </c>
      <c r="J77" s="4">
        <f t="shared" si="2"/>
        <v>36</v>
      </c>
      <c r="K77" s="4">
        <f t="shared" si="3"/>
        <v>43.199999999999996</v>
      </c>
      <c r="L77" s="4">
        <f t="shared" si="4"/>
        <v>92</v>
      </c>
      <c r="M77" s="4">
        <f t="shared" si="5"/>
        <v>110.4</v>
      </c>
      <c r="N77" s="5">
        <v>1</v>
      </c>
      <c r="O77" s="6" t="s">
        <v>155</v>
      </c>
      <c r="P77" s="3">
        <f>N77*VLOOKUP(O77,'Ingredient costs'!$A$2:$B$536,2, FALSE)</f>
        <v>1296</v>
      </c>
      <c r="Q77" s="5">
        <v>3</v>
      </c>
      <c r="R77" s="6" t="s">
        <v>66</v>
      </c>
      <c r="S77" s="3">
        <f>Q77*VLOOKUP(R77,'Ingredient costs'!$A$2:$B$536,2, FALSE)</f>
        <v>1512</v>
      </c>
      <c r="T77" s="5">
        <v>1</v>
      </c>
      <c r="U77" s="6" t="s">
        <v>47</v>
      </c>
      <c r="V77" s="3">
        <f>T77*VLOOKUP(U77,'Ingredient costs'!$A$2:$B$536,2, FALSE)</f>
        <v>900</v>
      </c>
      <c r="X77" s="3" t="s">
        <v>23</v>
      </c>
      <c r="Y77" s="3">
        <f>W77*VLOOKUP(X77,'Ingredient costs'!$A$2:$B$536,2, FALSE)</f>
        <v>0</v>
      </c>
      <c r="AA77" s="3" t="s">
        <v>23</v>
      </c>
      <c r="AB77" s="3">
        <f>Z77*VLOOKUP(AA77,'Ingredient costs'!$A$2:$B$536,2, FALSE)</f>
        <v>0</v>
      </c>
    </row>
    <row r="78" spans="1:28" ht="15" x14ac:dyDescent="0.25">
      <c r="A78" s="4" t="s">
        <v>154</v>
      </c>
      <c r="B78" s="4" t="s">
        <v>160</v>
      </c>
      <c r="C78" s="4">
        <v>93</v>
      </c>
      <c r="D78" s="4">
        <v>4032</v>
      </c>
      <c r="E78" s="4">
        <f t="shared" si="0"/>
        <v>3816</v>
      </c>
      <c r="F78" s="4">
        <f t="shared" si="1"/>
        <v>216</v>
      </c>
      <c r="G78" s="4">
        <v>48</v>
      </c>
      <c r="H78" s="4">
        <v>35</v>
      </c>
      <c r="I78" s="4">
        <v>29</v>
      </c>
      <c r="J78" s="4">
        <f t="shared" si="2"/>
        <v>37.028571428571432</v>
      </c>
      <c r="K78" s="4">
        <f t="shared" si="3"/>
        <v>44.689655172413786</v>
      </c>
      <c r="L78" s="4">
        <f t="shared" si="4"/>
        <v>82.285714285714292</v>
      </c>
      <c r="M78" s="4">
        <f t="shared" si="5"/>
        <v>99.310344827586206</v>
      </c>
      <c r="N78" s="8">
        <v>1</v>
      </c>
      <c r="O78" s="7" t="s">
        <v>155</v>
      </c>
      <c r="P78" s="3">
        <f>N78*VLOOKUP(O78,'Ingredient costs'!$A$2:$B$536,2, FALSE)</f>
        <v>1296</v>
      </c>
      <c r="Q78" s="8">
        <v>1</v>
      </c>
      <c r="R78" s="7" t="s">
        <v>133</v>
      </c>
      <c r="S78" s="3">
        <f>Q78*VLOOKUP(R78,'Ingredient costs'!$A$2:$B$536,2, FALSE)</f>
        <v>2520</v>
      </c>
      <c r="T78" s="7"/>
      <c r="U78" s="7" t="s">
        <v>23</v>
      </c>
      <c r="V78" s="3">
        <f>T78*VLOOKUP(U78,'Ingredient costs'!$A$2:$B$536,2, FALSE)</f>
        <v>0</v>
      </c>
      <c r="X78" s="3" t="s">
        <v>23</v>
      </c>
      <c r="Y78" s="3">
        <f>W78*VLOOKUP(X78,'Ingredient costs'!$A$2:$B$536,2, FALSE)</f>
        <v>0</v>
      </c>
      <c r="AA78" s="3" t="s">
        <v>23</v>
      </c>
      <c r="AB78" s="3">
        <f>Z78*VLOOKUP(AA78,'Ingredient costs'!$A$2:$B$536,2, FALSE)</f>
        <v>0</v>
      </c>
    </row>
    <row r="79" spans="1:28" ht="15" x14ac:dyDescent="0.25">
      <c r="A79" s="4" t="s">
        <v>161</v>
      </c>
      <c r="B79" s="4" t="s">
        <v>162</v>
      </c>
      <c r="C79" s="4">
        <v>3</v>
      </c>
      <c r="D79" s="4">
        <v>72</v>
      </c>
      <c r="E79" s="4">
        <f t="shared" si="0"/>
        <v>48</v>
      </c>
      <c r="F79" s="4">
        <f t="shared" si="1"/>
        <v>24</v>
      </c>
      <c r="G79" s="4">
        <v>1</v>
      </c>
      <c r="H79" s="4">
        <v>5</v>
      </c>
      <c r="I79" s="4">
        <v>4</v>
      </c>
      <c r="J79" s="4">
        <f t="shared" si="2"/>
        <v>28.799999999999997</v>
      </c>
      <c r="K79" s="4">
        <f t="shared" si="3"/>
        <v>36</v>
      </c>
      <c r="L79" s="4">
        <f t="shared" si="4"/>
        <v>12</v>
      </c>
      <c r="M79" s="4">
        <f t="shared" si="5"/>
        <v>15</v>
      </c>
      <c r="N79" s="3">
        <f>2/3</f>
        <v>0.66666666666666663</v>
      </c>
      <c r="O79" s="3" t="s">
        <v>22</v>
      </c>
      <c r="P79" s="3">
        <f>N79*VLOOKUP(O79,'Ingredient costs'!$A$2:$B$536,2, FALSE)</f>
        <v>24</v>
      </c>
      <c r="Q79" s="3">
        <f>1/3</f>
        <v>0.33333333333333331</v>
      </c>
      <c r="R79" s="3" t="s">
        <v>25</v>
      </c>
      <c r="S79" s="3">
        <f>Q79*VLOOKUP(R79,'Ingredient costs'!$A$2:$B$536,2, FALSE)</f>
        <v>24</v>
      </c>
      <c r="U79" s="3" t="s">
        <v>23</v>
      </c>
      <c r="V79" s="3">
        <f>T79*VLOOKUP(U79,'Ingredient costs'!$A$2:$B$536,2, FALSE)</f>
        <v>0</v>
      </c>
      <c r="X79" s="3" t="s">
        <v>23</v>
      </c>
      <c r="Y79" s="3">
        <f>W79*VLOOKUP(X79,'Ingredient costs'!$A$2:$B$536,2, FALSE)</f>
        <v>0</v>
      </c>
      <c r="AA79" s="3" t="s">
        <v>23</v>
      </c>
      <c r="AB79" s="3">
        <f>Z79*VLOOKUP(AA79,'Ingredient costs'!$A$2:$B$536,2, FALSE)</f>
        <v>0</v>
      </c>
    </row>
    <row r="80" spans="1:28" ht="15" x14ac:dyDescent="0.25">
      <c r="A80" s="4" t="s">
        <v>161</v>
      </c>
      <c r="B80" s="4" t="s">
        <v>163</v>
      </c>
      <c r="C80" s="4">
        <v>6</v>
      </c>
      <c r="D80" s="4">
        <v>144</v>
      </c>
      <c r="E80" s="4">
        <f t="shared" si="0"/>
        <v>96</v>
      </c>
      <c r="F80" s="4">
        <f t="shared" si="1"/>
        <v>48</v>
      </c>
      <c r="G80" s="4">
        <v>2</v>
      </c>
      <c r="H80" s="4">
        <v>10</v>
      </c>
      <c r="I80" s="4">
        <v>8</v>
      </c>
      <c r="J80" s="4">
        <f t="shared" si="2"/>
        <v>28.799999999999997</v>
      </c>
      <c r="K80" s="4">
        <f t="shared" si="3"/>
        <v>36</v>
      </c>
      <c r="L80" s="4">
        <f t="shared" si="4"/>
        <v>12</v>
      </c>
      <c r="M80" s="4">
        <f t="shared" si="5"/>
        <v>15</v>
      </c>
      <c r="N80" s="3">
        <f>1/3</f>
        <v>0.33333333333333331</v>
      </c>
      <c r="O80" s="3" t="s">
        <v>25</v>
      </c>
      <c r="P80" s="3">
        <f>N80*VLOOKUP(O80,'Ingredient costs'!$A$2:$B$536,2, FALSE)</f>
        <v>24</v>
      </c>
      <c r="Q80" s="3">
        <f>2/3</f>
        <v>0.66666666666666663</v>
      </c>
      <c r="R80" s="3" t="s">
        <v>164</v>
      </c>
      <c r="S80" s="3">
        <f>Q80*VLOOKUP(R80,'Ingredient costs'!$A$2:$B$536,2, FALSE)</f>
        <v>72</v>
      </c>
      <c r="U80" s="3" t="s">
        <v>23</v>
      </c>
      <c r="V80" s="3">
        <f>T80*VLOOKUP(U80,'Ingredient costs'!$A$2:$B$536,2, FALSE)</f>
        <v>0</v>
      </c>
      <c r="X80" s="3" t="s">
        <v>23</v>
      </c>
      <c r="Y80" s="3">
        <f>W80*VLOOKUP(X80,'Ingredient costs'!$A$2:$B$536,2, FALSE)</f>
        <v>0</v>
      </c>
      <c r="AA80" s="3" t="s">
        <v>23</v>
      </c>
      <c r="AB80" s="3">
        <f>Z80*VLOOKUP(AA80,'Ingredient costs'!$A$2:$B$536,2, FALSE)</f>
        <v>0</v>
      </c>
    </row>
    <row r="81" spans="1:28" ht="15" x14ac:dyDescent="0.25">
      <c r="A81" s="4" t="s">
        <v>161</v>
      </c>
      <c r="B81" s="4" t="s">
        <v>165</v>
      </c>
      <c r="C81" s="4">
        <v>10</v>
      </c>
      <c r="D81" s="4">
        <v>144</v>
      </c>
      <c r="E81" s="4">
        <f t="shared" si="0"/>
        <v>84</v>
      </c>
      <c r="F81" s="4">
        <f t="shared" si="1"/>
        <v>60</v>
      </c>
      <c r="G81" s="4">
        <v>2</v>
      </c>
      <c r="H81" s="4">
        <v>20</v>
      </c>
      <c r="I81" s="4">
        <v>17</v>
      </c>
      <c r="J81" s="4">
        <f t="shared" si="2"/>
        <v>18</v>
      </c>
      <c r="K81" s="4">
        <f t="shared" si="3"/>
        <v>21.176470588235293</v>
      </c>
      <c r="L81" s="4">
        <f t="shared" si="4"/>
        <v>6</v>
      </c>
      <c r="M81" s="4">
        <f t="shared" si="5"/>
        <v>7.0588235294117645</v>
      </c>
      <c r="N81" s="3">
        <f>2/3</f>
        <v>0.66666666666666663</v>
      </c>
      <c r="O81" s="3" t="s">
        <v>80</v>
      </c>
      <c r="P81" s="3">
        <f>N81*VLOOKUP(O81,'Ingredient costs'!$A$2:$B$536,2, FALSE)</f>
        <v>48</v>
      </c>
      <c r="Q81" s="3">
        <f t="shared" ref="Q81:Q83" si="6">1/3</f>
        <v>0.33333333333333331</v>
      </c>
      <c r="R81" s="3" t="s">
        <v>164</v>
      </c>
      <c r="S81" s="3">
        <f>Q81*VLOOKUP(R81,'Ingredient costs'!$A$2:$B$536,2, FALSE)</f>
        <v>36</v>
      </c>
      <c r="U81" s="3" t="s">
        <v>23</v>
      </c>
      <c r="V81" s="3">
        <f>T81*VLOOKUP(U81,'Ingredient costs'!$A$2:$B$536,2, FALSE)</f>
        <v>0</v>
      </c>
      <c r="X81" s="3" t="s">
        <v>23</v>
      </c>
      <c r="Y81" s="3">
        <f>W81*VLOOKUP(X81,'Ingredient costs'!$A$2:$B$536,2, FALSE)</f>
        <v>0</v>
      </c>
      <c r="AA81" s="3" t="s">
        <v>23</v>
      </c>
      <c r="AB81" s="3">
        <f>Z81*VLOOKUP(AA81,'Ingredient costs'!$A$2:$B$536,2, FALSE)</f>
        <v>0</v>
      </c>
    </row>
    <row r="82" spans="1:28" ht="15" x14ac:dyDescent="0.25">
      <c r="A82" s="4" t="s">
        <v>161</v>
      </c>
      <c r="B82" s="4" t="s">
        <v>166</v>
      </c>
      <c r="C82" s="4">
        <v>16</v>
      </c>
      <c r="D82" s="4">
        <v>144</v>
      </c>
      <c r="E82" s="4">
        <f t="shared" si="0"/>
        <v>72</v>
      </c>
      <c r="F82" s="4">
        <f t="shared" si="1"/>
        <v>72</v>
      </c>
      <c r="G82" s="4">
        <v>3</v>
      </c>
      <c r="H82" s="4">
        <v>30</v>
      </c>
      <c r="I82" s="4">
        <v>25</v>
      </c>
      <c r="J82" s="4">
        <f t="shared" si="2"/>
        <v>14.399999999999999</v>
      </c>
      <c r="K82" s="4">
        <f t="shared" si="3"/>
        <v>17.279999999999998</v>
      </c>
      <c r="L82" s="4">
        <f t="shared" si="4"/>
        <v>6</v>
      </c>
      <c r="M82" s="4">
        <f t="shared" si="5"/>
        <v>7.1999999999999993</v>
      </c>
      <c r="N82" s="3">
        <v>1</v>
      </c>
      <c r="O82" s="3" t="s">
        <v>22</v>
      </c>
      <c r="P82" s="3">
        <f>N82*VLOOKUP(O82,'Ingredient costs'!$A$2:$B$536,2, FALSE)</f>
        <v>36</v>
      </c>
      <c r="Q82" s="3">
        <f t="shared" si="6"/>
        <v>0.33333333333333331</v>
      </c>
      <c r="R82" s="3" t="s">
        <v>164</v>
      </c>
      <c r="S82" s="3">
        <f>Q82*VLOOKUP(R82,'Ingredient costs'!$A$2:$B$536,2, FALSE)</f>
        <v>36</v>
      </c>
      <c r="U82" s="3" t="s">
        <v>23</v>
      </c>
      <c r="V82" s="3">
        <f>T82*VLOOKUP(U82,'Ingredient costs'!$A$2:$B$536,2, FALSE)</f>
        <v>0</v>
      </c>
      <c r="X82" s="3" t="s">
        <v>23</v>
      </c>
      <c r="Y82" s="3">
        <f>W82*VLOOKUP(X82,'Ingredient costs'!$A$2:$B$536,2, FALSE)</f>
        <v>0</v>
      </c>
      <c r="AA82" s="3" t="s">
        <v>23</v>
      </c>
      <c r="AB82" s="3">
        <f>Z82*VLOOKUP(AA82,'Ingredient costs'!$A$2:$B$536,2, FALSE)</f>
        <v>0</v>
      </c>
    </row>
    <row r="83" spans="1:28" ht="15" x14ac:dyDescent="0.25">
      <c r="A83" s="4" t="s">
        <v>161</v>
      </c>
      <c r="B83" s="4" t="s">
        <v>167</v>
      </c>
      <c r="C83" s="4">
        <v>32</v>
      </c>
      <c r="D83" s="4">
        <v>144</v>
      </c>
      <c r="E83" s="4">
        <f t="shared" si="0"/>
        <v>84</v>
      </c>
      <c r="F83" s="4">
        <f t="shared" si="1"/>
        <v>60</v>
      </c>
      <c r="G83" s="4">
        <v>3</v>
      </c>
      <c r="H83" s="4">
        <v>40</v>
      </c>
      <c r="I83" s="4">
        <v>34</v>
      </c>
      <c r="J83" s="4">
        <f t="shared" si="2"/>
        <v>9</v>
      </c>
      <c r="K83" s="4">
        <f t="shared" si="3"/>
        <v>10.588235294117647</v>
      </c>
      <c r="L83" s="4">
        <f t="shared" si="4"/>
        <v>4.5</v>
      </c>
      <c r="M83" s="4">
        <f t="shared" si="5"/>
        <v>5.2941176470588243</v>
      </c>
      <c r="N83" s="3">
        <f>1/3</f>
        <v>0.33333333333333331</v>
      </c>
      <c r="O83" s="3" t="s">
        <v>22</v>
      </c>
      <c r="P83" s="3">
        <f>N83*VLOOKUP(O83,'Ingredient costs'!$A$2:$B$536,2, FALSE)</f>
        <v>12</v>
      </c>
      <c r="Q83" s="3">
        <f t="shared" si="6"/>
        <v>0.33333333333333331</v>
      </c>
      <c r="R83" s="3" t="s">
        <v>25</v>
      </c>
      <c r="S83" s="3">
        <f>Q83*VLOOKUP(R83,'Ingredient costs'!$A$2:$B$536,2, FALSE)</f>
        <v>24</v>
      </c>
      <c r="T83" s="3">
        <f>2/3</f>
        <v>0.66666666666666663</v>
      </c>
      <c r="U83" s="3" t="s">
        <v>80</v>
      </c>
      <c r="V83" s="3">
        <f>T83*VLOOKUP(U83,'Ingredient costs'!$A$2:$B$536,2, FALSE)</f>
        <v>48</v>
      </c>
      <c r="X83" s="3" t="s">
        <v>23</v>
      </c>
      <c r="Y83" s="3">
        <f>W83*VLOOKUP(X83,'Ingredient costs'!$A$2:$B$536,2, FALSE)</f>
        <v>0</v>
      </c>
      <c r="AA83" s="3" t="s">
        <v>23</v>
      </c>
      <c r="AB83" s="3">
        <f>Z83*VLOOKUP(AA83,'Ingredient costs'!$A$2:$B$536,2, FALSE)</f>
        <v>0</v>
      </c>
    </row>
    <row r="84" spans="1:28" ht="15" x14ac:dyDescent="0.25">
      <c r="A84" s="4" t="s">
        <v>161</v>
      </c>
      <c r="B84" s="4" t="s">
        <v>168</v>
      </c>
      <c r="C84" s="4">
        <v>34</v>
      </c>
      <c r="D84" s="4">
        <v>504</v>
      </c>
      <c r="E84" s="4">
        <f t="shared" si="0"/>
        <v>900</v>
      </c>
      <c r="F84" s="4">
        <f t="shared" si="1"/>
        <v>-396</v>
      </c>
      <c r="G84" s="4">
        <v>10</v>
      </c>
      <c r="H84" s="4">
        <v>90</v>
      </c>
      <c r="I84" s="4">
        <v>76</v>
      </c>
      <c r="J84" s="4">
        <f t="shared" si="2"/>
        <v>-26.400000000000002</v>
      </c>
      <c r="K84" s="4">
        <f t="shared" si="3"/>
        <v>-31.263157894736839</v>
      </c>
      <c r="L84" s="4">
        <f t="shared" si="4"/>
        <v>6.6666666666666661</v>
      </c>
      <c r="M84" s="4">
        <f t="shared" si="5"/>
        <v>7.8947368421052628</v>
      </c>
      <c r="N84" s="3">
        <v>25</v>
      </c>
      <c r="O84" s="3" t="s">
        <v>22</v>
      </c>
      <c r="P84" s="3">
        <f>N84*VLOOKUP(O84,'Ingredient costs'!$A$2:$B$536,2, FALSE)</f>
        <v>900</v>
      </c>
      <c r="R84" s="3" t="s">
        <v>23</v>
      </c>
      <c r="S84" s="3">
        <f>Q84*VLOOKUP(R84,'Ingredient costs'!$A$2:$B$536,2, FALSE)</f>
        <v>0</v>
      </c>
      <c r="U84" s="3" t="s">
        <v>23</v>
      </c>
      <c r="V84" s="3">
        <f>T84*VLOOKUP(U84,'Ingredient costs'!$A$2:$B$536,2, FALSE)</f>
        <v>0</v>
      </c>
      <c r="X84" s="3" t="s">
        <v>23</v>
      </c>
      <c r="Y84" s="3">
        <f>W84*VLOOKUP(X84,'Ingredient costs'!$A$2:$B$536,2, FALSE)</f>
        <v>0</v>
      </c>
      <c r="AA84" s="3" t="s">
        <v>23</v>
      </c>
      <c r="AB84" s="3">
        <f>Z84*VLOOKUP(AA84,'Ingredient costs'!$A$2:$B$536,2, FALSE)</f>
        <v>0</v>
      </c>
    </row>
    <row r="85" spans="1:28" ht="15" x14ac:dyDescent="0.25">
      <c r="A85" s="4" t="s">
        <v>169</v>
      </c>
      <c r="B85" s="4" t="s">
        <v>170</v>
      </c>
      <c r="C85" s="4">
        <v>49</v>
      </c>
      <c r="D85" s="4">
        <v>2088</v>
      </c>
      <c r="E85" s="4">
        <f t="shared" si="0"/>
        <v>1800</v>
      </c>
      <c r="F85" s="4">
        <f t="shared" si="1"/>
        <v>288</v>
      </c>
      <c r="G85" s="4">
        <v>25</v>
      </c>
      <c r="H85" s="4">
        <v>45</v>
      </c>
      <c r="I85" s="4">
        <v>38</v>
      </c>
      <c r="J85" s="4">
        <f t="shared" si="2"/>
        <v>38.4</v>
      </c>
      <c r="K85" s="4">
        <f t="shared" si="3"/>
        <v>45.473684210526308</v>
      </c>
      <c r="L85" s="4">
        <f t="shared" si="4"/>
        <v>33.333333333333336</v>
      </c>
      <c r="M85" s="4">
        <f t="shared" si="5"/>
        <v>39.473684210526315</v>
      </c>
      <c r="N85" s="5">
        <v>5</v>
      </c>
      <c r="O85" s="6" t="s">
        <v>22</v>
      </c>
      <c r="P85" s="3">
        <f>N85*VLOOKUP(O85,'Ingredient costs'!$A$2:$B$536,2, FALSE)</f>
        <v>180</v>
      </c>
      <c r="Q85" s="5">
        <v>3</v>
      </c>
      <c r="R85" s="6" t="s">
        <v>124</v>
      </c>
      <c r="S85" s="3">
        <f>Q85*VLOOKUP(R85,'Ingredient costs'!$A$2:$B$536,2, FALSE)</f>
        <v>756</v>
      </c>
      <c r="T85" s="5">
        <v>3</v>
      </c>
      <c r="U85" s="6" t="s">
        <v>171</v>
      </c>
      <c r="V85" s="3">
        <f>T85*VLOOKUP(U85,'Ingredient costs'!$A$2:$B$536,2, FALSE)</f>
        <v>864</v>
      </c>
      <c r="W85" s="6"/>
      <c r="X85" s="7" t="s">
        <v>23</v>
      </c>
      <c r="Y85" s="3">
        <f>W85*VLOOKUP(X85,'Ingredient costs'!$A$2:$B$536,2, FALSE)</f>
        <v>0</v>
      </c>
      <c r="AA85" s="3" t="s">
        <v>23</v>
      </c>
      <c r="AB85" s="3">
        <f>Z85*VLOOKUP(AA85,'Ingredient costs'!$A$2:$B$536,2, FALSE)</f>
        <v>0</v>
      </c>
    </row>
    <row r="86" spans="1:28" ht="15" x14ac:dyDescent="0.25">
      <c r="A86" s="4" t="s">
        <v>169</v>
      </c>
      <c r="B86" s="4" t="s">
        <v>172</v>
      </c>
      <c r="C86" s="4">
        <v>65</v>
      </c>
      <c r="D86" s="4">
        <v>3384</v>
      </c>
      <c r="E86" s="4">
        <f t="shared" si="0"/>
        <v>2844</v>
      </c>
      <c r="F86" s="4">
        <f t="shared" si="1"/>
        <v>540</v>
      </c>
      <c r="G86" s="4">
        <v>40</v>
      </c>
      <c r="H86" s="4">
        <v>20</v>
      </c>
      <c r="I86" s="4">
        <v>17</v>
      </c>
      <c r="J86" s="4">
        <f t="shared" si="2"/>
        <v>162</v>
      </c>
      <c r="K86" s="4">
        <f t="shared" si="3"/>
        <v>190.58823529411765</v>
      </c>
      <c r="L86" s="4">
        <f t="shared" si="4"/>
        <v>120</v>
      </c>
      <c r="M86" s="4">
        <f t="shared" si="5"/>
        <v>141.1764705882353</v>
      </c>
      <c r="N86" s="5">
        <v>5</v>
      </c>
      <c r="O86" s="6" t="s">
        <v>126</v>
      </c>
      <c r="P86" s="3">
        <f>N86*VLOOKUP(O86,'Ingredient costs'!$A$2:$B$536,2, FALSE)</f>
        <v>1080</v>
      </c>
      <c r="Q86" s="5">
        <v>3</v>
      </c>
      <c r="R86" s="6" t="s">
        <v>124</v>
      </c>
      <c r="S86" s="3">
        <f>Q86*VLOOKUP(R86,'Ingredient costs'!$A$2:$B$536,2, FALSE)</f>
        <v>756</v>
      </c>
      <c r="T86" s="5">
        <v>1</v>
      </c>
      <c r="U86" s="6" t="s">
        <v>171</v>
      </c>
      <c r="V86" s="3">
        <f>T86*VLOOKUP(U86,'Ingredient costs'!$A$2:$B$536,2, FALSE)</f>
        <v>288</v>
      </c>
      <c r="W86" s="5">
        <v>5</v>
      </c>
      <c r="X86" s="7" t="s">
        <v>173</v>
      </c>
      <c r="Y86" s="3">
        <f>W86*VLOOKUP(X86,'Ingredient costs'!$A$2:$B$536,2, FALSE)</f>
        <v>720</v>
      </c>
      <c r="AA86" s="3" t="s">
        <v>23</v>
      </c>
      <c r="AB86" s="3">
        <f>Z86*VLOOKUP(AA86,'Ingredient costs'!$A$2:$B$536,2, FALSE)</f>
        <v>0</v>
      </c>
    </row>
    <row r="87" spans="1:28" ht="15" x14ac:dyDescent="0.25">
      <c r="A87" s="4" t="s">
        <v>169</v>
      </c>
      <c r="B87" s="4" t="s">
        <v>174</v>
      </c>
      <c r="C87" s="4">
        <v>73</v>
      </c>
      <c r="D87" s="4">
        <v>5004</v>
      </c>
      <c r="E87" s="4" t="e">
        <f t="shared" si="0"/>
        <v>#N/A</v>
      </c>
      <c r="F87" s="4" t="e">
        <f t="shared" si="1"/>
        <v>#N/A</v>
      </c>
      <c r="G87" s="4">
        <v>60</v>
      </c>
      <c r="H87" s="4">
        <v>40</v>
      </c>
      <c r="I87" s="4">
        <v>34</v>
      </c>
      <c r="J87" s="4" t="e">
        <f t="shared" si="2"/>
        <v>#N/A</v>
      </c>
      <c r="K87" s="4" t="e">
        <f t="shared" si="3"/>
        <v>#N/A</v>
      </c>
      <c r="L87" s="4">
        <f t="shared" si="4"/>
        <v>90</v>
      </c>
      <c r="M87" s="4">
        <f t="shared" si="5"/>
        <v>105.88235294117646</v>
      </c>
      <c r="N87" s="5">
        <v>1</v>
      </c>
      <c r="O87" s="6" t="s">
        <v>175</v>
      </c>
      <c r="P87" s="3">
        <f>N87*VLOOKUP(O87,'Ingredient costs'!$A$2:$B$536,2, FALSE)</f>
        <v>1080</v>
      </c>
      <c r="Q87" s="5">
        <v>5</v>
      </c>
      <c r="R87" s="6" t="s">
        <v>107</v>
      </c>
      <c r="S87" s="3">
        <f>Q87*VLOOKUP(R87,'Ingredient costs'!$A$2:$B$536,2, FALSE)</f>
        <v>1080</v>
      </c>
      <c r="T87" s="5">
        <v>1</v>
      </c>
      <c r="U87" s="6" t="s">
        <v>108</v>
      </c>
      <c r="V87" s="3">
        <f>T87*VLOOKUP(U87,'Ingredient costs'!$A$2:$B$536,2, FALSE)</f>
        <v>216</v>
      </c>
      <c r="W87" s="5">
        <v>1</v>
      </c>
      <c r="X87" s="7" t="s">
        <v>176</v>
      </c>
      <c r="Y87" s="3" t="e">
        <f>W87*VLOOKUP(X87,'Ingredient costs'!$A$2:$B$536,2, FALSE)</f>
        <v>#N/A</v>
      </c>
      <c r="AA87" s="3" t="s">
        <v>23</v>
      </c>
      <c r="AB87" s="3">
        <f>Z87*VLOOKUP(AA87,'Ingredient costs'!$A$2:$B$536,2, FALSE)</f>
        <v>0</v>
      </c>
    </row>
    <row r="88" spans="1:28" ht="15" x14ac:dyDescent="0.25">
      <c r="A88" s="4" t="s">
        <v>169</v>
      </c>
      <c r="B88" s="4" t="s">
        <v>177</v>
      </c>
      <c r="C88" s="4">
        <v>90</v>
      </c>
      <c r="D88" s="4">
        <v>5544</v>
      </c>
      <c r="E88" s="4">
        <f t="shared" si="0"/>
        <v>5400</v>
      </c>
      <c r="F88" s="4">
        <f t="shared" si="1"/>
        <v>144</v>
      </c>
      <c r="G88" s="4">
        <v>66</v>
      </c>
      <c r="H88" s="4">
        <v>20</v>
      </c>
      <c r="I88" s="4">
        <v>17</v>
      </c>
      <c r="J88" s="4">
        <f t="shared" si="2"/>
        <v>43.199999999999996</v>
      </c>
      <c r="K88" s="4">
        <f t="shared" si="3"/>
        <v>50.823529411764703</v>
      </c>
      <c r="L88" s="4">
        <f t="shared" si="4"/>
        <v>198</v>
      </c>
      <c r="M88" s="4">
        <f t="shared" si="5"/>
        <v>232.94117647058823</v>
      </c>
      <c r="N88" s="5">
        <v>3</v>
      </c>
      <c r="O88" s="6" t="s">
        <v>125</v>
      </c>
      <c r="P88" s="3">
        <f>N88*VLOOKUP(O88,'Ingredient costs'!$A$2:$B$536,2, FALSE)</f>
        <v>1080</v>
      </c>
      <c r="Q88" s="5">
        <v>1</v>
      </c>
      <c r="R88" s="6" t="s">
        <v>129</v>
      </c>
      <c r="S88" s="3">
        <f>Q88*VLOOKUP(R88,'Ingredient costs'!$A$2:$B$536,2, FALSE)</f>
        <v>1764</v>
      </c>
      <c r="T88" s="5">
        <v>1</v>
      </c>
      <c r="U88" s="6" t="s">
        <v>128</v>
      </c>
      <c r="V88" s="3">
        <f>T88*VLOOKUP(U88,'Ingredient costs'!$A$2:$B$536,2, FALSE)</f>
        <v>2556</v>
      </c>
      <c r="W88" s="6"/>
      <c r="X88" s="7" t="s">
        <v>23</v>
      </c>
      <c r="Y88" s="3">
        <f>W88*VLOOKUP(X88,'Ingredient costs'!$A$2:$B$536,2, FALSE)</f>
        <v>0</v>
      </c>
      <c r="AA88" s="3" t="s">
        <v>23</v>
      </c>
      <c r="AB88" s="3">
        <f>Z88*VLOOKUP(AA88,'Ingredient costs'!$A$2:$B$536,2, FALSE)</f>
        <v>0</v>
      </c>
    </row>
    <row r="89" spans="1:28" ht="15" x14ac:dyDescent="0.25">
      <c r="A89" s="4" t="s">
        <v>169</v>
      </c>
      <c r="B89" s="4" t="s">
        <v>178</v>
      </c>
      <c r="C89" s="4">
        <v>92</v>
      </c>
      <c r="D89" s="4">
        <v>3492</v>
      </c>
      <c r="E89" s="4">
        <f t="shared" si="0"/>
        <v>3708</v>
      </c>
      <c r="F89" s="4">
        <f t="shared" si="1"/>
        <v>-216</v>
      </c>
      <c r="G89" s="4">
        <v>42</v>
      </c>
      <c r="H89" s="4">
        <v>20</v>
      </c>
      <c r="I89" s="4">
        <v>17</v>
      </c>
      <c r="J89" s="4">
        <f t="shared" si="2"/>
        <v>-64.800000000000011</v>
      </c>
      <c r="K89" s="4">
        <f t="shared" si="3"/>
        <v>-76.235294117647058</v>
      </c>
      <c r="L89" s="4">
        <f t="shared" si="4"/>
        <v>126</v>
      </c>
      <c r="M89" s="4">
        <f t="shared" si="5"/>
        <v>148.23529411764707</v>
      </c>
      <c r="N89" s="5">
        <v>1</v>
      </c>
      <c r="O89" s="6" t="s">
        <v>179</v>
      </c>
      <c r="P89" s="3">
        <f>N89*VLOOKUP(O89,'Ingredient costs'!$A$2:$B$536,2, FALSE)</f>
        <v>2160</v>
      </c>
      <c r="Q89" s="5">
        <v>3</v>
      </c>
      <c r="R89" s="6" t="s">
        <v>125</v>
      </c>
      <c r="S89" s="3">
        <f>Q89*VLOOKUP(R89,'Ingredient costs'!$A$2:$B$536,2, FALSE)</f>
        <v>1080</v>
      </c>
      <c r="T89" s="5">
        <v>1</v>
      </c>
      <c r="U89" s="6" t="s">
        <v>107</v>
      </c>
      <c r="V89" s="3">
        <f>T89*VLOOKUP(U89,'Ingredient costs'!$A$2:$B$536,2, FALSE)</f>
        <v>216</v>
      </c>
      <c r="W89" s="5">
        <v>1</v>
      </c>
      <c r="X89" s="7" t="s">
        <v>124</v>
      </c>
      <c r="Y89" s="3">
        <f>W89*VLOOKUP(X89,'Ingredient costs'!$A$2:$B$536,2, FALSE)</f>
        <v>252</v>
      </c>
      <c r="AA89" s="3" t="s">
        <v>23</v>
      </c>
      <c r="AB89" s="3">
        <f>Z89*VLOOKUP(AA89,'Ingredient costs'!$A$2:$B$536,2, FALSE)</f>
        <v>0</v>
      </c>
    </row>
    <row r="90" spans="1:28" ht="15" x14ac:dyDescent="0.25">
      <c r="A90" s="4" t="s">
        <v>169</v>
      </c>
      <c r="B90" s="4" t="s">
        <v>180</v>
      </c>
      <c r="C90" s="4">
        <v>93</v>
      </c>
      <c r="D90" s="4">
        <v>2988</v>
      </c>
      <c r="E90" s="4">
        <f t="shared" si="0"/>
        <v>2808</v>
      </c>
      <c r="F90" s="4">
        <f t="shared" si="1"/>
        <v>180</v>
      </c>
      <c r="G90" s="4">
        <v>36</v>
      </c>
      <c r="H90" s="4">
        <v>30</v>
      </c>
      <c r="I90" s="4">
        <v>25</v>
      </c>
      <c r="J90" s="4">
        <f t="shared" si="2"/>
        <v>36</v>
      </c>
      <c r="K90" s="4">
        <f t="shared" si="3"/>
        <v>43.199999999999996</v>
      </c>
      <c r="L90" s="4">
        <f t="shared" si="4"/>
        <v>72</v>
      </c>
      <c r="M90" s="4">
        <f t="shared" si="5"/>
        <v>86.399999999999991</v>
      </c>
      <c r="N90" s="8">
        <v>4</v>
      </c>
      <c r="O90" s="7" t="s">
        <v>125</v>
      </c>
      <c r="P90" s="3">
        <f>N90*VLOOKUP(O90,'Ingredient costs'!$A$2:$B$536,2, FALSE)</f>
        <v>1440</v>
      </c>
      <c r="Q90" s="8">
        <v>1</v>
      </c>
      <c r="R90" s="7" t="s">
        <v>171</v>
      </c>
      <c r="S90" s="3">
        <f>Q90*VLOOKUP(R90,'Ingredient costs'!$A$2:$B$536,2, FALSE)</f>
        <v>288</v>
      </c>
      <c r="T90" s="8">
        <v>1</v>
      </c>
      <c r="U90" s="7" t="s">
        <v>175</v>
      </c>
      <c r="V90" s="3">
        <f>T90*VLOOKUP(U90,'Ingredient costs'!$A$2:$B$536,2, FALSE)</f>
        <v>1080</v>
      </c>
      <c r="W90" s="7"/>
      <c r="X90" s="7" t="s">
        <v>23</v>
      </c>
      <c r="Y90" s="3">
        <f>W90*VLOOKUP(X90,'Ingredient costs'!$A$2:$B$536,2, FALSE)</f>
        <v>0</v>
      </c>
      <c r="AA90" s="3" t="s">
        <v>23</v>
      </c>
      <c r="AB90" s="3">
        <f>Z90*VLOOKUP(AA90,'Ingredient costs'!$A$2:$B$536,2, FALSE)</f>
        <v>0</v>
      </c>
    </row>
    <row r="91" spans="1:28" ht="15" x14ac:dyDescent="0.25">
      <c r="A91" s="4" t="s">
        <v>169</v>
      </c>
      <c r="B91" s="4" t="s">
        <v>181</v>
      </c>
      <c r="C91" s="4">
        <v>106</v>
      </c>
      <c r="D91" s="4">
        <v>3528</v>
      </c>
      <c r="E91" s="4">
        <f t="shared" si="0"/>
        <v>3348</v>
      </c>
      <c r="F91" s="4">
        <f t="shared" si="1"/>
        <v>180</v>
      </c>
      <c r="G91" s="4">
        <v>42</v>
      </c>
      <c r="H91" s="4">
        <v>15</v>
      </c>
      <c r="I91" s="4">
        <v>12</v>
      </c>
      <c r="J91" s="4">
        <f t="shared" si="2"/>
        <v>72</v>
      </c>
      <c r="K91" s="4">
        <f t="shared" si="3"/>
        <v>90</v>
      </c>
      <c r="L91" s="4">
        <f t="shared" si="4"/>
        <v>168</v>
      </c>
      <c r="M91" s="4">
        <f t="shared" si="5"/>
        <v>210</v>
      </c>
      <c r="N91" s="3">
        <v>3</v>
      </c>
      <c r="O91" s="3" t="s">
        <v>182</v>
      </c>
      <c r="P91" s="3">
        <f>N91*VLOOKUP(O91,'Ingredient costs'!$A$2:$B$536,2, FALSE)</f>
        <v>648</v>
      </c>
      <c r="Q91" s="3">
        <v>3</v>
      </c>
      <c r="R91" s="3" t="s">
        <v>34</v>
      </c>
      <c r="S91" s="3">
        <f>Q91*VLOOKUP(R91,'Ingredient costs'!$A$2:$B$536,2, FALSE)</f>
        <v>1296</v>
      </c>
      <c r="T91" s="3">
        <v>3</v>
      </c>
      <c r="U91" s="3" t="s">
        <v>90</v>
      </c>
      <c r="V91" s="3">
        <f>T91*VLOOKUP(U91,'Ingredient costs'!$A$2:$B$536,2, FALSE)</f>
        <v>324</v>
      </c>
      <c r="W91" s="3">
        <v>1</v>
      </c>
      <c r="X91" s="3" t="s">
        <v>175</v>
      </c>
      <c r="Y91" s="3">
        <f>W91*VLOOKUP(X91,'Ingredient costs'!$A$2:$B$536,2, FALSE)</f>
        <v>1080</v>
      </c>
      <c r="AA91" s="3" t="s">
        <v>23</v>
      </c>
      <c r="AB91" s="3">
        <f>Z91*VLOOKUP(AA91,'Ingredient costs'!$A$2:$B$536,2, FALSE)</f>
        <v>0</v>
      </c>
    </row>
    <row r="92" spans="1:28" ht="15" x14ac:dyDescent="0.25">
      <c r="A92" s="4" t="s">
        <v>183</v>
      </c>
      <c r="B92" s="4" t="s">
        <v>184</v>
      </c>
      <c r="C92" s="4">
        <v>81</v>
      </c>
      <c r="D92" s="4">
        <v>6264</v>
      </c>
      <c r="E92" s="4">
        <f t="shared" si="0"/>
        <v>6120</v>
      </c>
      <c r="F92" s="4">
        <f t="shared" si="1"/>
        <v>144</v>
      </c>
      <c r="G92" s="4">
        <v>74</v>
      </c>
      <c r="H92" s="4">
        <v>25</v>
      </c>
      <c r="I92" s="4">
        <v>21</v>
      </c>
      <c r="J92" s="4">
        <f t="shared" si="2"/>
        <v>34.559999999999995</v>
      </c>
      <c r="K92" s="4">
        <f t="shared" si="3"/>
        <v>41.142857142857146</v>
      </c>
      <c r="L92" s="4">
        <f t="shared" si="4"/>
        <v>177.6</v>
      </c>
      <c r="M92" s="4">
        <f t="shared" si="5"/>
        <v>211.42857142857142</v>
      </c>
      <c r="N92" s="5">
        <v>1</v>
      </c>
      <c r="O92" s="6" t="s">
        <v>130</v>
      </c>
      <c r="P92" s="3">
        <f>N92*VLOOKUP(O92,'Ingredient costs'!$A$2:$B$536,2, FALSE)</f>
        <v>4608</v>
      </c>
      <c r="Q92" s="5">
        <v>3</v>
      </c>
      <c r="R92" s="6" t="s">
        <v>100</v>
      </c>
      <c r="S92" s="3">
        <f>Q92*VLOOKUP(R92,'Ingredient costs'!$A$2:$B$536,2, FALSE)</f>
        <v>1512</v>
      </c>
      <c r="T92" s="6"/>
      <c r="U92" s="6" t="s">
        <v>23</v>
      </c>
      <c r="V92" s="3">
        <f>T92*VLOOKUP(U92,'Ingredient costs'!$A$2:$B$536,2, FALSE)</f>
        <v>0</v>
      </c>
      <c r="W92" s="6"/>
      <c r="X92" s="7" t="s">
        <v>23</v>
      </c>
      <c r="Y92" s="3">
        <f>W92*VLOOKUP(X92,'Ingredient costs'!$A$2:$B$536,2, FALSE)</f>
        <v>0</v>
      </c>
      <c r="AA92" s="3" t="s">
        <v>23</v>
      </c>
      <c r="AB92" s="3">
        <f>Z92*VLOOKUP(AA92,'Ingredient costs'!$A$2:$B$536,2, FALSE)</f>
        <v>0</v>
      </c>
    </row>
    <row r="93" spans="1:28" ht="15" x14ac:dyDescent="0.25">
      <c r="A93" s="4" t="s">
        <v>183</v>
      </c>
      <c r="B93" s="4" t="s">
        <v>185</v>
      </c>
      <c r="C93" s="4">
        <v>86</v>
      </c>
      <c r="D93" s="4">
        <v>5076</v>
      </c>
      <c r="E93" s="4">
        <f t="shared" si="0"/>
        <v>4860</v>
      </c>
      <c r="F93" s="4">
        <f t="shared" si="1"/>
        <v>216</v>
      </c>
      <c r="G93" s="4">
        <v>60</v>
      </c>
      <c r="H93" s="4">
        <v>30</v>
      </c>
      <c r="I93" s="4">
        <v>25</v>
      </c>
      <c r="J93" s="4">
        <f t="shared" si="2"/>
        <v>43.199999999999996</v>
      </c>
      <c r="K93" s="4">
        <f t="shared" si="3"/>
        <v>51.84</v>
      </c>
      <c r="L93" s="4">
        <f t="shared" si="4"/>
        <v>120</v>
      </c>
      <c r="M93" s="4">
        <f t="shared" si="5"/>
        <v>144</v>
      </c>
      <c r="N93" s="5">
        <v>3</v>
      </c>
      <c r="O93" s="6" t="s">
        <v>66</v>
      </c>
      <c r="P93" s="3">
        <f>N93*VLOOKUP(O93,'Ingredient costs'!$A$2:$B$536,2, FALSE)</f>
        <v>1512</v>
      </c>
      <c r="Q93" s="5">
        <v>1</v>
      </c>
      <c r="R93" s="6" t="s">
        <v>182</v>
      </c>
      <c r="S93" s="3">
        <f>Q93*VLOOKUP(R93,'Ingredient costs'!$A$2:$B$536,2, FALSE)</f>
        <v>216</v>
      </c>
      <c r="T93" s="5">
        <v>1</v>
      </c>
      <c r="U93" s="6" t="s">
        <v>83</v>
      </c>
      <c r="V93" s="3">
        <f>T93*VLOOKUP(U93,'Ingredient costs'!$A$2:$B$536,2, FALSE)</f>
        <v>360</v>
      </c>
      <c r="W93" s="5">
        <v>1</v>
      </c>
      <c r="X93" s="7" t="s">
        <v>57</v>
      </c>
      <c r="Y93" s="3">
        <f>W93*VLOOKUP(X93,'Ingredient costs'!$A$2:$B$536,2, FALSE)</f>
        <v>2772</v>
      </c>
      <c r="AA93" s="3" t="s">
        <v>23</v>
      </c>
      <c r="AB93" s="3">
        <f>Z93*VLOOKUP(AA93,'Ingredient costs'!$A$2:$B$536,2, FALSE)</f>
        <v>0</v>
      </c>
    </row>
    <row r="94" spans="1:28" ht="15" x14ac:dyDescent="0.25">
      <c r="A94" s="4" t="s">
        <v>183</v>
      </c>
      <c r="B94" s="4" t="s">
        <v>186</v>
      </c>
      <c r="C94" s="4">
        <v>91</v>
      </c>
      <c r="D94" s="4">
        <v>4932</v>
      </c>
      <c r="E94" s="4">
        <f t="shared" si="0"/>
        <v>4716</v>
      </c>
      <c r="F94" s="4">
        <f t="shared" si="1"/>
        <v>216</v>
      </c>
      <c r="G94" s="4">
        <v>59</v>
      </c>
      <c r="H94" s="4">
        <v>20</v>
      </c>
      <c r="I94" s="4">
        <v>17</v>
      </c>
      <c r="J94" s="4">
        <f t="shared" si="2"/>
        <v>64.800000000000011</v>
      </c>
      <c r="K94" s="4">
        <f t="shared" si="3"/>
        <v>76.235294117647058</v>
      </c>
      <c r="L94" s="4">
        <f t="shared" si="4"/>
        <v>177</v>
      </c>
      <c r="M94" s="4">
        <f t="shared" si="5"/>
        <v>208.23529411764707</v>
      </c>
      <c r="N94" s="8">
        <v>1</v>
      </c>
      <c r="O94" s="7" t="s">
        <v>38</v>
      </c>
      <c r="P94" s="3">
        <f>N94*VLOOKUP(O94,'Ingredient costs'!$A$2:$B$536,2, FALSE)</f>
        <v>2844</v>
      </c>
      <c r="Q94" s="8">
        <v>1</v>
      </c>
      <c r="R94" s="7" t="s">
        <v>35</v>
      </c>
      <c r="S94" s="3">
        <f>Q94*VLOOKUP(R94,'Ingredient costs'!$A$2:$B$536,2, FALSE)</f>
        <v>1224</v>
      </c>
      <c r="T94" s="8">
        <v>2</v>
      </c>
      <c r="U94" s="7" t="s">
        <v>90</v>
      </c>
      <c r="V94" s="3">
        <f>T94*VLOOKUP(U94,'Ingredient costs'!$A$2:$B$536,2, FALSE)</f>
        <v>216</v>
      </c>
      <c r="W94" s="8">
        <v>1</v>
      </c>
      <c r="X94" s="7" t="s">
        <v>34</v>
      </c>
      <c r="Y94" s="3">
        <f>W94*VLOOKUP(X94,'Ingredient costs'!$A$2:$B$536,2, FALSE)</f>
        <v>432</v>
      </c>
      <c r="AA94" s="3" t="s">
        <v>23</v>
      </c>
      <c r="AB94" s="3">
        <f>Z94*VLOOKUP(AA94,'Ingredient costs'!$A$2:$B$536,2, FALSE)</f>
        <v>0</v>
      </c>
    </row>
    <row r="95" spans="1:28" ht="15" x14ac:dyDescent="0.25">
      <c r="A95" s="4" t="s">
        <v>187</v>
      </c>
      <c r="B95" s="4" t="s">
        <v>188</v>
      </c>
      <c r="C95" s="4">
        <v>70</v>
      </c>
      <c r="D95" s="4">
        <v>4680</v>
      </c>
      <c r="E95" s="4">
        <f t="shared" si="0"/>
        <v>4248</v>
      </c>
      <c r="F95" s="4">
        <f t="shared" si="1"/>
        <v>432</v>
      </c>
      <c r="G95" s="4">
        <v>56</v>
      </c>
      <c r="H95" s="4">
        <v>120</v>
      </c>
      <c r="I95" s="4">
        <v>102</v>
      </c>
      <c r="J95" s="4">
        <f t="shared" si="2"/>
        <v>21.599999999999998</v>
      </c>
      <c r="K95" s="4">
        <f t="shared" si="3"/>
        <v>25.411764705882351</v>
      </c>
      <c r="L95" s="4">
        <f t="shared" si="4"/>
        <v>28</v>
      </c>
      <c r="M95" s="4">
        <f t="shared" si="5"/>
        <v>32.941176470588239</v>
      </c>
      <c r="N95" s="5">
        <v>6</v>
      </c>
      <c r="O95" s="6" t="s">
        <v>189</v>
      </c>
      <c r="P95" s="3">
        <f>N95*VLOOKUP(O95,'Ingredient costs'!$A$2:$B$536,2, FALSE)</f>
        <v>3240</v>
      </c>
      <c r="Q95" s="5">
        <v>2</v>
      </c>
      <c r="R95" s="6" t="s">
        <v>100</v>
      </c>
      <c r="S95" s="3">
        <f>Q95*VLOOKUP(R95,'Ingredient costs'!$A$2:$B$536,2, FALSE)</f>
        <v>1008</v>
      </c>
      <c r="T95" s="6"/>
      <c r="U95" s="6" t="s">
        <v>23</v>
      </c>
      <c r="V95" s="3">
        <f>T95*VLOOKUP(U95,'Ingredient costs'!$A$2:$B$536,2, FALSE)</f>
        <v>0</v>
      </c>
      <c r="W95" s="6"/>
      <c r="X95" s="7" t="s">
        <v>23</v>
      </c>
      <c r="Y95" s="3">
        <f>W95*VLOOKUP(X95,'Ingredient costs'!$A$2:$B$536,2, FALSE)</f>
        <v>0</v>
      </c>
      <c r="AA95" s="3" t="s">
        <v>23</v>
      </c>
      <c r="AB95" s="3">
        <f>Z95*VLOOKUP(AA95,'Ingredient costs'!$A$2:$B$536,2, FALSE)</f>
        <v>0</v>
      </c>
    </row>
    <row r="96" spans="1:28" ht="15" x14ac:dyDescent="0.25">
      <c r="A96" s="4" t="s">
        <v>187</v>
      </c>
      <c r="B96" s="4" t="s">
        <v>190</v>
      </c>
      <c r="C96" s="4">
        <v>72</v>
      </c>
      <c r="D96" s="4">
        <v>6192</v>
      </c>
      <c r="E96" s="4">
        <f t="shared" si="0"/>
        <v>5724</v>
      </c>
      <c r="F96" s="4">
        <f t="shared" si="1"/>
        <v>468</v>
      </c>
      <c r="G96" s="4">
        <v>74</v>
      </c>
      <c r="H96" s="4">
        <v>210</v>
      </c>
      <c r="I96" s="4">
        <v>178</v>
      </c>
      <c r="J96" s="4">
        <f t="shared" si="2"/>
        <v>13.371428571428572</v>
      </c>
      <c r="K96" s="4">
        <f t="shared" si="3"/>
        <v>15.775280898876407</v>
      </c>
      <c r="L96" s="4">
        <f t="shared" si="4"/>
        <v>21.142857142857146</v>
      </c>
      <c r="M96" s="4">
        <f t="shared" si="5"/>
        <v>24.943820224719101</v>
      </c>
      <c r="N96" s="5">
        <v>3</v>
      </c>
      <c r="O96" s="6" t="s">
        <v>175</v>
      </c>
      <c r="P96" s="3">
        <f>N96*VLOOKUP(O96,'Ingredient costs'!$A$2:$B$536,2, FALSE)</f>
        <v>3240</v>
      </c>
      <c r="Q96" s="5">
        <v>1</v>
      </c>
      <c r="R96" s="6" t="s">
        <v>191</v>
      </c>
      <c r="S96" s="3">
        <f>Q96*VLOOKUP(R96,'Ingredient costs'!$A$2:$B$536,2, FALSE)</f>
        <v>1080</v>
      </c>
      <c r="T96" s="5">
        <v>1</v>
      </c>
      <c r="U96" s="6" t="s">
        <v>192</v>
      </c>
      <c r="V96" s="3">
        <f>T96*VLOOKUP(U96,'Ingredient costs'!$A$2:$B$536,2, FALSE)</f>
        <v>1404</v>
      </c>
      <c r="W96" s="6"/>
      <c r="X96" s="7" t="s">
        <v>23</v>
      </c>
      <c r="Y96" s="3">
        <f>W96*VLOOKUP(X96,'Ingredient costs'!$A$2:$B$536,2, FALSE)</f>
        <v>0</v>
      </c>
      <c r="AA96" s="3" t="s">
        <v>23</v>
      </c>
      <c r="AB96" s="3">
        <f>Z96*VLOOKUP(AA96,'Ingredient costs'!$A$2:$B$536,2, FALSE)</f>
        <v>0</v>
      </c>
    </row>
    <row r="97" spans="1:28" ht="15" x14ac:dyDescent="0.25">
      <c r="A97" s="4" t="s">
        <v>187</v>
      </c>
      <c r="B97" s="4" t="s">
        <v>193</v>
      </c>
      <c r="C97" s="4">
        <v>74</v>
      </c>
      <c r="D97" s="4">
        <v>5580</v>
      </c>
      <c r="E97" s="4">
        <f t="shared" si="0"/>
        <v>5148</v>
      </c>
      <c r="F97" s="4">
        <f t="shared" si="1"/>
        <v>432</v>
      </c>
      <c r="G97" s="4">
        <v>66</v>
      </c>
      <c r="H97" s="4">
        <v>150</v>
      </c>
      <c r="I97" s="4">
        <v>127</v>
      </c>
      <c r="J97" s="4">
        <f t="shared" si="2"/>
        <v>17.279999999999998</v>
      </c>
      <c r="K97" s="4">
        <f t="shared" si="3"/>
        <v>20.409448818897637</v>
      </c>
      <c r="L97" s="4">
        <f t="shared" si="4"/>
        <v>26.4</v>
      </c>
      <c r="M97" s="4">
        <f t="shared" si="5"/>
        <v>31.181102362204722</v>
      </c>
      <c r="N97" s="5">
        <v>3</v>
      </c>
      <c r="O97" s="6" t="s">
        <v>189</v>
      </c>
      <c r="P97" s="3">
        <f>N97*VLOOKUP(O97,'Ingredient costs'!$A$2:$B$536,2, FALSE)</f>
        <v>1620</v>
      </c>
      <c r="Q97" s="5">
        <v>1</v>
      </c>
      <c r="R97" s="6" t="s">
        <v>124</v>
      </c>
      <c r="S97" s="3">
        <f>Q97*VLOOKUP(R97,'Ingredient costs'!$A$2:$B$536,2, FALSE)</f>
        <v>252</v>
      </c>
      <c r="T97" s="5">
        <v>2</v>
      </c>
      <c r="U97" s="6" t="s">
        <v>192</v>
      </c>
      <c r="V97" s="3">
        <f>T97*VLOOKUP(U97,'Ingredient costs'!$A$2:$B$536,2, FALSE)</f>
        <v>2808</v>
      </c>
      <c r="W97" s="5">
        <v>1</v>
      </c>
      <c r="X97" s="7" t="s">
        <v>30</v>
      </c>
      <c r="Y97" s="3">
        <f>W97*VLOOKUP(X97,'Ingredient costs'!$A$2:$B$536,2, FALSE)</f>
        <v>468</v>
      </c>
      <c r="AA97" s="3" t="s">
        <v>23</v>
      </c>
      <c r="AB97" s="3">
        <f>Z97*VLOOKUP(AA97,'Ingredient costs'!$A$2:$B$536,2, FALSE)</f>
        <v>0</v>
      </c>
    </row>
    <row r="98" spans="1:28" ht="15" x14ac:dyDescent="0.25">
      <c r="A98" s="4" t="s">
        <v>187</v>
      </c>
      <c r="B98" s="4" t="s">
        <v>194</v>
      </c>
      <c r="C98" s="4">
        <v>86</v>
      </c>
      <c r="D98" s="4">
        <v>3312</v>
      </c>
      <c r="E98" s="4">
        <f t="shared" si="0"/>
        <v>2952</v>
      </c>
      <c r="F98" s="4">
        <f t="shared" si="1"/>
        <v>360</v>
      </c>
      <c r="G98" s="4">
        <v>40</v>
      </c>
      <c r="H98" s="4">
        <v>120</v>
      </c>
      <c r="I98" s="4">
        <v>102</v>
      </c>
      <c r="J98" s="4">
        <f t="shared" si="2"/>
        <v>18</v>
      </c>
      <c r="K98" s="4">
        <f t="shared" si="3"/>
        <v>21.176470588235293</v>
      </c>
      <c r="L98" s="4">
        <f t="shared" si="4"/>
        <v>20</v>
      </c>
      <c r="M98" s="4">
        <f t="shared" si="5"/>
        <v>23.52941176470588</v>
      </c>
      <c r="N98" s="8">
        <v>4</v>
      </c>
      <c r="O98" s="7" t="s">
        <v>171</v>
      </c>
      <c r="P98" s="3">
        <f>N98*VLOOKUP(O98,'Ingredient costs'!$A$2:$B$536,2, FALSE)</f>
        <v>1152</v>
      </c>
      <c r="Q98" s="8">
        <v>5</v>
      </c>
      <c r="R98" s="7" t="s">
        <v>125</v>
      </c>
      <c r="S98" s="3">
        <f>Q98*VLOOKUP(R98,'Ingredient costs'!$A$2:$B$536,2, FALSE)</f>
        <v>1800</v>
      </c>
      <c r="T98" s="7"/>
      <c r="U98" s="7" t="s">
        <v>23</v>
      </c>
      <c r="V98" s="3">
        <f>T98*VLOOKUP(U98,'Ingredient costs'!$A$2:$B$536,2, FALSE)</f>
        <v>0</v>
      </c>
      <c r="W98" s="7"/>
      <c r="X98" s="7" t="s">
        <v>23</v>
      </c>
      <c r="Y98" s="3">
        <f>W98*VLOOKUP(X98,'Ingredient costs'!$A$2:$B$536,2, FALSE)</f>
        <v>0</v>
      </c>
      <c r="AA98" s="3" t="s">
        <v>23</v>
      </c>
      <c r="AB98" s="3">
        <f>Z98*VLOOKUP(AA98,'Ingredient costs'!$A$2:$B$536,2, FALSE)</f>
        <v>0</v>
      </c>
    </row>
    <row r="99" spans="1:28" ht="15" x14ac:dyDescent="0.25">
      <c r="A99" s="4" t="s">
        <v>195</v>
      </c>
      <c r="B99" s="4" t="s">
        <v>62</v>
      </c>
      <c r="C99" s="4">
        <v>39</v>
      </c>
      <c r="D99" s="4">
        <v>1548</v>
      </c>
      <c r="E99" s="4">
        <f t="shared" si="0"/>
        <v>1368</v>
      </c>
      <c r="F99" s="4">
        <f t="shared" si="1"/>
        <v>180</v>
      </c>
      <c r="G99" s="4">
        <v>19</v>
      </c>
      <c r="H99" s="4">
        <v>20</v>
      </c>
      <c r="I99" s="4">
        <v>17</v>
      </c>
      <c r="J99" s="4">
        <f t="shared" si="2"/>
        <v>54</v>
      </c>
      <c r="K99" s="4">
        <f t="shared" si="3"/>
        <v>63.529411764705884</v>
      </c>
      <c r="L99" s="4">
        <f t="shared" si="4"/>
        <v>57</v>
      </c>
      <c r="M99" s="4">
        <f t="shared" si="5"/>
        <v>67.058823529411768</v>
      </c>
      <c r="N99" s="5">
        <v>2</v>
      </c>
      <c r="O99" s="6" t="s">
        <v>55</v>
      </c>
      <c r="P99" s="3">
        <f>N99*VLOOKUP(O99,'Ingredient costs'!$A$2:$B$536,2, FALSE)</f>
        <v>1368</v>
      </c>
      <c r="Q99" s="6"/>
      <c r="R99" s="6" t="s">
        <v>23</v>
      </c>
      <c r="S99" s="3">
        <f>Q99*VLOOKUP(R99,'Ingredient costs'!$A$2:$B$536,2, FALSE)</f>
        <v>0</v>
      </c>
      <c r="T99" s="6"/>
      <c r="U99" s="6" t="s">
        <v>23</v>
      </c>
      <c r="V99" s="3">
        <f>T99*VLOOKUP(U99,'Ingredient costs'!$A$2:$B$536,2, FALSE)</f>
        <v>0</v>
      </c>
      <c r="W99" s="6"/>
      <c r="X99" s="7" t="s">
        <v>23</v>
      </c>
      <c r="Y99" s="3">
        <f>W99*VLOOKUP(X99,'Ingredient costs'!$A$2:$B$536,2, FALSE)</f>
        <v>0</v>
      </c>
      <c r="AA99" s="3" t="s">
        <v>23</v>
      </c>
      <c r="AB99" s="3">
        <f>Z99*VLOOKUP(AA99,'Ingredient costs'!$A$2:$B$536,2, FALSE)</f>
        <v>0</v>
      </c>
    </row>
    <row r="100" spans="1:28" ht="15" x14ac:dyDescent="0.25">
      <c r="A100" s="4" t="s">
        <v>195</v>
      </c>
      <c r="B100" s="4" t="s">
        <v>119</v>
      </c>
      <c r="C100" s="4">
        <v>48</v>
      </c>
      <c r="D100" s="4">
        <v>2340</v>
      </c>
      <c r="E100" s="4">
        <f t="shared" si="0"/>
        <v>2052</v>
      </c>
      <c r="F100" s="4">
        <f t="shared" si="1"/>
        <v>288</v>
      </c>
      <c r="G100" s="4">
        <v>28</v>
      </c>
      <c r="H100" s="4">
        <v>45</v>
      </c>
      <c r="I100" s="4">
        <v>38</v>
      </c>
      <c r="J100" s="4">
        <f t="shared" si="2"/>
        <v>38.4</v>
      </c>
      <c r="K100" s="4">
        <f t="shared" si="3"/>
        <v>45.473684210526308</v>
      </c>
      <c r="L100" s="4">
        <f t="shared" si="4"/>
        <v>37.333333333333336</v>
      </c>
      <c r="M100" s="4">
        <f t="shared" si="5"/>
        <v>44.210526315789473</v>
      </c>
      <c r="N100" s="8">
        <v>3</v>
      </c>
      <c r="O100" s="7" t="s">
        <v>55</v>
      </c>
      <c r="P100" s="3">
        <f>N100*VLOOKUP(O100,'Ingredient costs'!$A$2:$B$536,2, FALSE)</f>
        <v>2052</v>
      </c>
      <c r="Q100" s="7"/>
      <c r="R100" s="7" t="s">
        <v>23</v>
      </c>
      <c r="S100" s="3">
        <f>Q100*VLOOKUP(R100,'Ingredient costs'!$A$2:$B$536,2, FALSE)</f>
        <v>0</v>
      </c>
      <c r="T100" s="7"/>
      <c r="U100" s="7" t="s">
        <v>23</v>
      </c>
      <c r="V100" s="3">
        <f>T100*VLOOKUP(U100,'Ingredient costs'!$A$2:$B$536,2, FALSE)</f>
        <v>0</v>
      </c>
      <c r="W100" s="7"/>
      <c r="X100" s="7" t="s">
        <v>23</v>
      </c>
      <c r="Y100" s="3">
        <f>W100*VLOOKUP(X100,'Ingredient costs'!$A$2:$B$536,2, FALSE)</f>
        <v>0</v>
      </c>
      <c r="AA100" s="3" t="s">
        <v>23</v>
      </c>
      <c r="AB100" s="3">
        <f>Z100*VLOOKUP(AA100,'Ingredient costs'!$A$2:$B$536,2, FALSE)</f>
        <v>0</v>
      </c>
    </row>
    <row r="101" spans="1:28" ht="15" x14ac:dyDescent="0.25">
      <c r="A101" s="4" t="s">
        <v>196</v>
      </c>
      <c r="B101" s="4" t="s">
        <v>197</v>
      </c>
      <c r="C101" s="4">
        <v>75</v>
      </c>
      <c r="D101" s="4">
        <v>3708</v>
      </c>
      <c r="E101" s="4">
        <f t="shared" si="0"/>
        <v>3528</v>
      </c>
      <c r="F101" s="4">
        <f t="shared" si="1"/>
        <v>180</v>
      </c>
      <c r="G101" s="4">
        <v>44</v>
      </c>
      <c r="H101" s="4">
        <v>30</v>
      </c>
      <c r="I101" s="4">
        <v>25</v>
      </c>
      <c r="J101" s="4">
        <f t="shared" si="2"/>
        <v>36</v>
      </c>
      <c r="K101" s="4">
        <f t="shared" si="3"/>
        <v>43.199999999999996</v>
      </c>
      <c r="L101" s="4">
        <f t="shared" si="4"/>
        <v>88</v>
      </c>
      <c r="M101" s="4">
        <f t="shared" si="5"/>
        <v>105.6</v>
      </c>
      <c r="N101" s="5">
        <v>2</v>
      </c>
      <c r="O101" s="6" t="s">
        <v>66</v>
      </c>
      <c r="P101" s="3">
        <f>N101*VLOOKUP(O101,'Ingredient costs'!$A$2:$B$536,2, FALSE)</f>
        <v>1008</v>
      </c>
      <c r="Q101" s="5">
        <v>1</v>
      </c>
      <c r="R101" s="6" t="s">
        <v>21</v>
      </c>
      <c r="S101" s="3">
        <f>Q101*VLOOKUP(R101,'Ingredient costs'!$A$2:$B$536,2, FALSE)</f>
        <v>216</v>
      </c>
      <c r="T101" s="5">
        <v>1</v>
      </c>
      <c r="U101" s="6" t="s">
        <v>198</v>
      </c>
      <c r="V101" s="3">
        <f>T101*VLOOKUP(U101,'Ingredient costs'!$A$2:$B$536,2, FALSE)</f>
        <v>2304</v>
      </c>
      <c r="W101" s="6"/>
      <c r="X101" s="7" t="s">
        <v>23</v>
      </c>
      <c r="Y101" s="3">
        <f>W101*VLOOKUP(X101,'Ingredient costs'!$A$2:$B$536,2, FALSE)</f>
        <v>0</v>
      </c>
      <c r="AA101" s="3" t="s">
        <v>23</v>
      </c>
      <c r="AB101" s="3">
        <f>Z101*VLOOKUP(AA101,'Ingredient costs'!$A$2:$B$536,2, FALSE)</f>
        <v>0</v>
      </c>
    </row>
    <row r="102" spans="1:28" ht="15" x14ac:dyDescent="0.25">
      <c r="A102" s="4" t="s">
        <v>196</v>
      </c>
      <c r="B102" s="4" t="s">
        <v>199</v>
      </c>
      <c r="C102" s="4">
        <v>76</v>
      </c>
      <c r="D102" s="4">
        <v>3672</v>
      </c>
      <c r="E102" s="4">
        <f t="shared" si="0"/>
        <v>3348</v>
      </c>
      <c r="F102" s="4">
        <f t="shared" si="1"/>
        <v>324</v>
      </c>
      <c r="G102" s="4">
        <v>44</v>
      </c>
      <c r="H102" s="4">
        <v>45</v>
      </c>
      <c r="I102" s="4">
        <v>38</v>
      </c>
      <c r="J102" s="4">
        <f t="shared" si="2"/>
        <v>43.199999999999996</v>
      </c>
      <c r="K102" s="4">
        <f t="shared" si="3"/>
        <v>51.15789473684211</v>
      </c>
      <c r="L102" s="4">
        <f t="shared" si="4"/>
        <v>58.666666666666664</v>
      </c>
      <c r="M102" s="4">
        <f t="shared" si="5"/>
        <v>69.473684210526315</v>
      </c>
      <c r="N102" s="5">
        <v>3</v>
      </c>
      <c r="O102" s="6" t="s">
        <v>200</v>
      </c>
      <c r="P102" s="3">
        <f>N102*VLOOKUP(O102,'Ingredient costs'!$A$2:$B$536,2, FALSE)</f>
        <v>972</v>
      </c>
      <c r="Q102" s="5">
        <v>6</v>
      </c>
      <c r="R102" s="6" t="s">
        <v>164</v>
      </c>
      <c r="S102" s="3">
        <f>Q102*VLOOKUP(R102,'Ingredient costs'!$A$2:$B$536,2, FALSE)</f>
        <v>648</v>
      </c>
      <c r="T102" s="5">
        <v>4</v>
      </c>
      <c r="U102" s="6" t="s">
        <v>34</v>
      </c>
      <c r="V102" s="3">
        <f>T102*VLOOKUP(U102,'Ingredient costs'!$A$2:$B$536,2, FALSE)</f>
        <v>1728</v>
      </c>
      <c r="W102" s="6"/>
      <c r="X102" s="7" t="s">
        <v>23</v>
      </c>
      <c r="Y102" s="3">
        <f>W102*VLOOKUP(X102,'Ingredient costs'!$A$2:$B$536,2, FALSE)</f>
        <v>0</v>
      </c>
      <c r="AA102" s="3" t="s">
        <v>23</v>
      </c>
      <c r="AB102" s="3">
        <f>Z102*VLOOKUP(AA102,'Ingredient costs'!$A$2:$B$536,2, FALSE)</f>
        <v>0</v>
      </c>
    </row>
    <row r="103" spans="1:28" ht="15" x14ac:dyDescent="0.25">
      <c r="A103" s="4" t="s">
        <v>196</v>
      </c>
      <c r="B103" s="4" t="s">
        <v>201</v>
      </c>
      <c r="C103" s="4">
        <v>78</v>
      </c>
      <c r="D103" s="4">
        <v>5292</v>
      </c>
      <c r="E103" s="4">
        <f t="shared" si="0"/>
        <v>5076</v>
      </c>
      <c r="F103" s="4">
        <f t="shared" si="1"/>
        <v>216</v>
      </c>
      <c r="G103" s="4">
        <v>63</v>
      </c>
      <c r="H103" s="4">
        <v>60</v>
      </c>
      <c r="I103" s="4">
        <v>51</v>
      </c>
      <c r="J103" s="4">
        <f t="shared" si="2"/>
        <v>21.599999999999998</v>
      </c>
      <c r="K103" s="4">
        <f t="shared" si="3"/>
        <v>25.411764705882351</v>
      </c>
      <c r="L103" s="4">
        <f t="shared" si="4"/>
        <v>63</v>
      </c>
      <c r="M103" s="4">
        <f t="shared" si="5"/>
        <v>74.117647058823536</v>
      </c>
      <c r="N103" s="5">
        <v>4</v>
      </c>
      <c r="O103" s="6" t="s">
        <v>66</v>
      </c>
      <c r="P103" s="3">
        <f>N103*VLOOKUP(O103,'Ingredient costs'!$A$2:$B$536,2, FALSE)</f>
        <v>2016</v>
      </c>
      <c r="Q103" s="5">
        <v>4</v>
      </c>
      <c r="R103" s="6" t="s">
        <v>25</v>
      </c>
      <c r="S103" s="3">
        <f>Q103*VLOOKUP(R103,'Ingredient costs'!$A$2:$B$536,2, FALSE)</f>
        <v>288</v>
      </c>
      <c r="T103" s="5">
        <v>1</v>
      </c>
      <c r="U103" s="6" t="s">
        <v>57</v>
      </c>
      <c r="V103" s="3">
        <f>T103*VLOOKUP(U103,'Ingredient costs'!$A$2:$B$536,2, FALSE)</f>
        <v>2772</v>
      </c>
      <c r="W103" s="6"/>
      <c r="X103" s="7" t="s">
        <v>23</v>
      </c>
      <c r="Y103" s="3">
        <f>W103*VLOOKUP(X103,'Ingredient costs'!$A$2:$B$536,2, FALSE)</f>
        <v>0</v>
      </c>
      <c r="AA103" s="3" t="s">
        <v>23</v>
      </c>
      <c r="AB103" s="3">
        <f>Z103*VLOOKUP(AA103,'Ingredient costs'!$A$2:$B$536,2, FALSE)</f>
        <v>0</v>
      </c>
    </row>
    <row r="104" spans="1:28" ht="15" x14ac:dyDescent="0.25">
      <c r="A104" s="4" t="s">
        <v>196</v>
      </c>
      <c r="B104" s="4" t="s">
        <v>202</v>
      </c>
      <c r="C104" s="4">
        <v>80</v>
      </c>
      <c r="D104" s="4">
        <v>3060</v>
      </c>
      <c r="E104" s="4">
        <f t="shared" si="0"/>
        <v>2772</v>
      </c>
      <c r="F104" s="4">
        <f t="shared" si="1"/>
        <v>288</v>
      </c>
      <c r="G104" s="4">
        <v>36</v>
      </c>
      <c r="H104" s="4">
        <v>75</v>
      </c>
      <c r="I104" s="4">
        <v>63</v>
      </c>
      <c r="J104" s="4">
        <f t="shared" si="2"/>
        <v>23.04</v>
      </c>
      <c r="K104" s="4">
        <f t="shared" si="3"/>
        <v>27.428571428571427</v>
      </c>
      <c r="L104" s="4">
        <f t="shared" si="4"/>
        <v>28.799999999999997</v>
      </c>
      <c r="M104" s="4">
        <f t="shared" si="5"/>
        <v>34.285714285714285</v>
      </c>
      <c r="N104" s="8">
        <v>1</v>
      </c>
      <c r="O104" s="7" t="s">
        <v>21</v>
      </c>
      <c r="P104" s="3">
        <f>N104*VLOOKUP(O104,'Ingredient costs'!$A$2:$B$536,2, FALSE)</f>
        <v>216</v>
      </c>
      <c r="Q104" s="8">
        <v>2</v>
      </c>
      <c r="R104" s="7" t="s">
        <v>66</v>
      </c>
      <c r="S104" s="3">
        <f>Q104*VLOOKUP(R104,'Ingredient costs'!$A$2:$B$536,2, FALSE)</f>
        <v>1008</v>
      </c>
      <c r="T104" s="8">
        <v>1</v>
      </c>
      <c r="U104" s="7" t="s">
        <v>37</v>
      </c>
      <c r="V104" s="3">
        <f>T104*VLOOKUP(U104,'Ingredient costs'!$A$2:$B$536,2, FALSE)</f>
        <v>360</v>
      </c>
      <c r="W104" s="8">
        <v>3</v>
      </c>
      <c r="X104" s="7" t="s">
        <v>77</v>
      </c>
      <c r="Y104" s="3">
        <f>W104*VLOOKUP(X104,'Ingredient costs'!$A$2:$B$536,2, FALSE)</f>
        <v>1188</v>
      </c>
      <c r="AA104" s="3" t="s">
        <v>23</v>
      </c>
      <c r="AB104" s="3">
        <f>Z104*VLOOKUP(AA104,'Ingredient costs'!$A$2:$B$536,2, FALSE)</f>
        <v>0</v>
      </c>
    </row>
    <row r="105" spans="1:28" ht="15" x14ac:dyDescent="0.25">
      <c r="A105" s="4" t="s">
        <v>203</v>
      </c>
      <c r="B105" s="4" t="s">
        <v>204</v>
      </c>
      <c r="C105" s="4">
        <v>29</v>
      </c>
      <c r="D105" s="4">
        <v>1728</v>
      </c>
      <c r="E105" s="4">
        <f t="shared" si="0"/>
        <v>1332</v>
      </c>
      <c r="F105" s="4">
        <f t="shared" si="1"/>
        <v>396</v>
      </c>
      <c r="G105" s="4">
        <v>20</v>
      </c>
      <c r="H105" s="4">
        <v>120</v>
      </c>
      <c r="I105" s="4">
        <v>102</v>
      </c>
      <c r="J105" s="4">
        <f t="shared" si="2"/>
        <v>19.799999999999997</v>
      </c>
      <c r="K105" s="4">
        <f t="shared" si="3"/>
        <v>23.294117647058822</v>
      </c>
      <c r="L105" s="4">
        <f t="shared" si="4"/>
        <v>10</v>
      </c>
      <c r="M105" s="4">
        <f t="shared" si="5"/>
        <v>11.76470588235294</v>
      </c>
      <c r="N105" s="5">
        <v>1</v>
      </c>
      <c r="O105" s="6" t="s">
        <v>95</v>
      </c>
      <c r="P105" s="3">
        <f>N105*VLOOKUP(O105,'Ingredient costs'!$A$2:$B$536,2, FALSE)</f>
        <v>324</v>
      </c>
      <c r="Q105" s="5">
        <v>1</v>
      </c>
      <c r="R105" s="6" t="s">
        <v>71</v>
      </c>
      <c r="S105" s="3">
        <f>Q105*VLOOKUP(R105,'Ingredient costs'!$A$2:$B$536,2, FALSE)</f>
        <v>504</v>
      </c>
      <c r="T105" s="5">
        <v>1</v>
      </c>
      <c r="U105" s="6" t="s">
        <v>40</v>
      </c>
      <c r="V105" s="3">
        <f>T105*VLOOKUP(U105,'Ingredient costs'!$A$2:$B$536,2, FALSE)</f>
        <v>504</v>
      </c>
      <c r="W105" s="6"/>
      <c r="X105" s="3" t="s">
        <v>23</v>
      </c>
      <c r="Y105" s="3">
        <f>W105*VLOOKUP(X105,'Ingredient costs'!$A$2:$B$536,2, FALSE)</f>
        <v>0</v>
      </c>
      <c r="AA105" s="3" t="s">
        <v>23</v>
      </c>
      <c r="AB105" s="3">
        <f>Z105*VLOOKUP(AA105,'Ingredient costs'!$A$2:$B$536,2, FALSE)</f>
        <v>0</v>
      </c>
    </row>
    <row r="106" spans="1:28" ht="15" x14ac:dyDescent="0.25">
      <c r="A106" s="4" t="s">
        <v>203</v>
      </c>
      <c r="B106" s="4" t="s">
        <v>205</v>
      </c>
      <c r="C106" s="4">
        <v>33</v>
      </c>
      <c r="D106" s="4">
        <v>3528</v>
      </c>
      <c r="E106" s="4">
        <f t="shared" si="0"/>
        <v>3060</v>
      </c>
      <c r="F106" s="4">
        <f t="shared" si="1"/>
        <v>468</v>
      </c>
      <c r="G106" s="4">
        <v>42</v>
      </c>
      <c r="H106" s="4">
        <v>180</v>
      </c>
      <c r="I106" s="4">
        <v>153</v>
      </c>
      <c r="J106" s="4">
        <f t="shared" si="2"/>
        <v>15.600000000000001</v>
      </c>
      <c r="K106" s="4">
        <f t="shared" si="3"/>
        <v>18.352941176470587</v>
      </c>
      <c r="L106" s="4">
        <f t="shared" si="4"/>
        <v>14</v>
      </c>
      <c r="M106" s="4">
        <f t="shared" si="5"/>
        <v>16.47058823529412</v>
      </c>
      <c r="N106" s="5">
        <v>1</v>
      </c>
      <c r="O106" s="6" t="s">
        <v>179</v>
      </c>
      <c r="P106" s="3">
        <f>N106*VLOOKUP(O106,'Ingredient costs'!$A$2:$B$536,2, FALSE)</f>
        <v>2160</v>
      </c>
      <c r="Q106" s="5">
        <v>1</v>
      </c>
      <c r="R106" s="6" t="s">
        <v>47</v>
      </c>
      <c r="S106" s="3">
        <f>Q106*VLOOKUP(R106,'Ingredient costs'!$A$2:$B$536,2, FALSE)</f>
        <v>900</v>
      </c>
      <c r="T106" s="6"/>
      <c r="U106" s="3" t="s">
        <v>23</v>
      </c>
      <c r="V106" s="3">
        <f>T106*VLOOKUP(U106,'Ingredient costs'!$A$2:$B$536,2, FALSE)</f>
        <v>0</v>
      </c>
      <c r="W106" s="6"/>
      <c r="X106" s="3" t="s">
        <v>23</v>
      </c>
      <c r="Y106" s="3">
        <f>W106*VLOOKUP(X106,'Ingredient costs'!$A$2:$B$536,2, FALSE)</f>
        <v>0</v>
      </c>
      <c r="AA106" s="3" t="s">
        <v>23</v>
      </c>
      <c r="AB106" s="3">
        <f>Z106*VLOOKUP(AA106,'Ingredient costs'!$A$2:$B$536,2, FALSE)</f>
        <v>0</v>
      </c>
    </row>
    <row r="107" spans="1:28" ht="15" x14ac:dyDescent="0.25">
      <c r="A107" s="4" t="s">
        <v>203</v>
      </c>
      <c r="B107" s="4" t="s">
        <v>206</v>
      </c>
      <c r="C107" s="4">
        <v>34</v>
      </c>
      <c r="D107" s="4">
        <v>3312</v>
      </c>
      <c r="E107" s="4">
        <f t="shared" si="0"/>
        <v>2844</v>
      </c>
      <c r="F107" s="4">
        <f t="shared" si="1"/>
        <v>468</v>
      </c>
      <c r="G107" s="4">
        <v>40</v>
      </c>
      <c r="H107" s="4">
        <v>240</v>
      </c>
      <c r="I107" s="4">
        <v>204</v>
      </c>
      <c r="J107" s="4">
        <f t="shared" si="2"/>
        <v>11.700000000000001</v>
      </c>
      <c r="K107" s="4">
        <f t="shared" si="3"/>
        <v>13.76470588235294</v>
      </c>
      <c r="L107" s="4">
        <f t="shared" si="4"/>
        <v>10</v>
      </c>
      <c r="M107" s="4">
        <f t="shared" si="5"/>
        <v>11.76470588235294</v>
      </c>
      <c r="N107" s="5">
        <v>1</v>
      </c>
      <c r="O107" s="6" t="s">
        <v>71</v>
      </c>
      <c r="P107" s="3">
        <f>N107*VLOOKUP(O107,'Ingredient costs'!$A$2:$B$536,2, FALSE)</f>
        <v>504</v>
      </c>
      <c r="Q107" s="5">
        <v>1</v>
      </c>
      <c r="R107" s="6" t="s">
        <v>40</v>
      </c>
      <c r="S107" s="3">
        <f>Q107*VLOOKUP(R107,'Ingredient costs'!$A$2:$B$536,2, FALSE)</f>
        <v>504</v>
      </c>
      <c r="T107" s="5">
        <v>3</v>
      </c>
      <c r="U107" s="6" t="s">
        <v>100</v>
      </c>
      <c r="V107" s="3">
        <f>T107*VLOOKUP(U107,'Ingredient costs'!$A$2:$B$536,2, FALSE)</f>
        <v>1512</v>
      </c>
      <c r="W107" s="5">
        <v>1</v>
      </c>
      <c r="X107" s="7" t="s">
        <v>95</v>
      </c>
      <c r="Y107" s="3">
        <f>W107*VLOOKUP(X107,'Ingredient costs'!$A$2:$B$536,2, FALSE)</f>
        <v>324</v>
      </c>
      <c r="AA107" s="3" t="s">
        <v>23</v>
      </c>
      <c r="AB107" s="3">
        <f>Z107*VLOOKUP(AA107,'Ingredient costs'!$A$2:$B$536,2, FALSE)</f>
        <v>0</v>
      </c>
    </row>
    <row r="108" spans="1:28" ht="15" x14ac:dyDescent="0.25">
      <c r="A108" s="4" t="s">
        <v>203</v>
      </c>
      <c r="B108" s="4" t="s">
        <v>207</v>
      </c>
      <c r="C108" s="4">
        <v>39</v>
      </c>
      <c r="D108" s="4">
        <v>3420</v>
      </c>
      <c r="E108" s="4">
        <f t="shared" si="0"/>
        <v>3060</v>
      </c>
      <c r="F108" s="4">
        <f t="shared" si="1"/>
        <v>360</v>
      </c>
      <c r="G108" s="4">
        <v>41</v>
      </c>
      <c r="H108" s="4">
        <v>150</v>
      </c>
      <c r="I108" s="4">
        <v>127</v>
      </c>
      <c r="J108" s="4">
        <f t="shared" si="2"/>
        <v>14.399999999999999</v>
      </c>
      <c r="K108" s="4">
        <f t="shared" si="3"/>
        <v>17.00787401574803</v>
      </c>
      <c r="L108" s="4">
        <f t="shared" si="4"/>
        <v>16.399999999999999</v>
      </c>
      <c r="M108" s="4">
        <f t="shared" si="5"/>
        <v>19.370078740157478</v>
      </c>
      <c r="N108" s="5">
        <v>1</v>
      </c>
      <c r="O108" s="6" t="s">
        <v>71</v>
      </c>
      <c r="P108" s="3">
        <f>N108*VLOOKUP(O108,'Ingredient costs'!$A$2:$B$536,2, FALSE)</f>
        <v>504</v>
      </c>
      <c r="Q108" s="5">
        <v>1</v>
      </c>
      <c r="R108" s="6" t="s">
        <v>40</v>
      </c>
      <c r="S108" s="3">
        <f>Q108*VLOOKUP(R108,'Ingredient costs'!$A$2:$B$536,2, FALSE)</f>
        <v>504</v>
      </c>
      <c r="T108" s="5">
        <v>2</v>
      </c>
      <c r="U108" s="6" t="s">
        <v>54</v>
      </c>
      <c r="V108" s="3">
        <f>T108*VLOOKUP(U108,'Ingredient costs'!$A$2:$B$536,2, FALSE)</f>
        <v>1728</v>
      </c>
      <c r="W108" s="5">
        <v>1</v>
      </c>
      <c r="X108" s="7" t="s">
        <v>95</v>
      </c>
      <c r="Y108" s="3">
        <f>W108*VLOOKUP(X108,'Ingredient costs'!$A$2:$B$536,2, FALSE)</f>
        <v>324</v>
      </c>
      <c r="AA108" s="3" t="s">
        <v>23</v>
      </c>
      <c r="AB108" s="3">
        <f>Z108*VLOOKUP(AA108,'Ingredient costs'!$A$2:$B$536,2, FALSE)</f>
        <v>0</v>
      </c>
    </row>
    <row r="109" spans="1:28" ht="15" x14ac:dyDescent="0.25">
      <c r="A109" s="4" t="s">
        <v>203</v>
      </c>
      <c r="B109" s="4" t="s">
        <v>208</v>
      </c>
      <c r="C109" s="4">
        <v>50</v>
      </c>
      <c r="D109" s="4">
        <v>1764</v>
      </c>
      <c r="E109" s="4">
        <f t="shared" si="0"/>
        <v>1368</v>
      </c>
      <c r="F109" s="4">
        <f t="shared" si="1"/>
        <v>396</v>
      </c>
      <c r="G109" s="4">
        <v>21</v>
      </c>
      <c r="H109" s="4">
        <v>120</v>
      </c>
      <c r="I109" s="4">
        <v>102</v>
      </c>
      <c r="J109" s="4">
        <f t="shared" si="2"/>
        <v>19.799999999999997</v>
      </c>
      <c r="K109" s="4">
        <f t="shared" si="3"/>
        <v>23.294117647058822</v>
      </c>
      <c r="L109" s="4">
        <f t="shared" si="4"/>
        <v>10.5</v>
      </c>
      <c r="M109" s="4">
        <f t="shared" si="5"/>
        <v>12.352941176470587</v>
      </c>
      <c r="N109" s="5">
        <v>1</v>
      </c>
      <c r="O109" s="6" t="s">
        <v>71</v>
      </c>
      <c r="P109" s="3">
        <f>N109*VLOOKUP(O109,'Ingredient costs'!$A$2:$B$536,2, FALSE)</f>
        <v>504</v>
      </c>
      <c r="Q109" s="5">
        <v>3</v>
      </c>
      <c r="R109" s="6" t="s">
        <v>91</v>
      </c>
      <c r="S109" s="3">
        <f>Q109*VLOOKUP(R109,'Ingredient costs'!$A$2:$B$536,2, FALSE)</f>
        <v>540</v>
      </c>
      <c r="T109" s="5">
        <v>1</v>
      </c>
      <c r="U109" s="6" t="s">
        <v>28</v>
      </c>
      <c r="V109" s="3">
        <f>T109*VLOOKUP(U109,'Ingredient costs'!$A$2:$B$536,2, FALSE)</f>
        <v>324</v>
      </c>
      <c r="W109" s="6"/>
      <c r="X109" s="3" t="s">
        <v>23</v>
      </c>
      <c r="Y109" s="3">
        <f>W109*VLOOKUP(X109,'Ingredient costs'!$A$2:$B$536,2, FALSE)</f>
        <v>0</v>
      </c>
      <c r="AA109" s="3" t="s">
        <v>23</v>
      </c>
      <c r="AB109" s="3">
        <f>Z109*VLOOKUP(AA109,'Ingredient costs'!$A$2:$B$536,2, FALSE)</f>
        <v>0</v>
      </c>
    </row>
    <row r="110" spans="1:28" ht="15" x14ac:dyDescent="0.25">
      <c r="A110" s="4" t="s">
        <v>203</v>
      </c>
      <c r="B110" s="4" t="s">
        <v>209</v>
      </c>
      <c r="C110" s="4">
        <v>68</v>
      </c>
      <c r="D110" s="4">
        <v>6192</v>
      </c>
      <c r="E110" s="4">
        <f t="shared" si="0"/>
        <v>5760</v>
      </c>
      <c r="F110" s="4">
        <f t="shared" si="1"/>
        <v>432</v>
      </c>
      <c r="G110" s="4">
        <v>86</v>
      </c>
      <c r="H110" s="4">
        <v>100</v>
      </c>
      <c r="I110" s="4">
        <v>85</v>
      </c>
      <c r="J110" s="4">
        <f t="shared" si="2"/>
        <v>25.92</v>
      </c>
      <c r="K110" s="4">
        <f t="shared" si="3"/>
        <v>30.494117647058822</v>
      </c>
      <c r="L110" s="4">
        <f t="shared" si="4"/>
        <v>51.6</v>
      </c>
      <c r="M110" s="4">
        <f t="shared" si="5"/>
        <v>60.705882352941174</v>
      </c>
      <c r="N110" s="5">
        <v>1</v>
      </c>
      <c r="O110" s="6" t="s">
        <v>136</v>
      </c>
      <c r="P110" s="3">
        <f>N110*VLOOKUP(O110,'Ingredient costs'!$A$2:$B$536,2, FALSE)</f>
        <v>2340</v>
      </c>
      <c r="Q110" s="5">
        <v>1</v>
      </c>
      <c r="R110" s="6" t="s">
        <v>95</v>
      </c>
      <c r="S110" s="3">
        <f>Q110*VLOOKUP(R110,'Ingredient costs'!$A$2:$B$536,2, FALSE)</f>
        <v>324</v>
      </c>
      <c r="T110" s="5">
        <v>1</v>
      </c>
      <c r="U110" s="6" t="s">
        <v>71</v>
      </c>
      <c r="V110" s="3">
        <f>T110*VLOOKUP(U110,'Ingredient costs'!$A$2:$B$536,2, FALSE)</f>
        <v>504</v>
      </c>
      <c r="W110" s="5">
        <v>3</v>
      </c>
      <c r="X110" s="7" t="s">
        <v>54</v>
      </c>
      <c r="Y110" s="3">
        <f>W110*VLOOKUP(X110,'Ingredient costs'!$A$2:$B$536,2, FALSE)</f>
        <v>2592</v>
      </c>
      <c r="AA110" s="3" t="s">
        <v>23</v>
      </c>
      <c r="AB110" s="3">
        <f>Z110*VLOOKUP(AA110,'Ingredient costs'!$A$2:$B$536,2, FALSE)</f>
        <v>0</v>
      </c>
    </row>
    <row r="111" spans="1:28" ht="15" x14ac:dyDescent="0.25">
      <c r="A111" s="4" t="s">
        <v>203</v>
      </c>
      <c r="B111" s="4" t="s">
        <v>210</v>
      </c>
      <c r="C111" s="4">
        <v>78</v>
      </c>
      <c r="D111" s="4">
        <v>3996</v>
      </c>
      <c r="E111" s="4">
        <f t="shared" si="0"/>
        <v>3492</v>
      </c>
      <c r="F111" s="4">
        <f t="shared" si="1"/>
        <v>504</v>
      </c>
      <c r="G111" s="4">
        <v>48</v>
      </c>
      <c r="H111" s="4">
        <v>210</v>
      </c>
      <c r="I111" s="4">
        <v>178</v>
      </c>
      <c r="J111" s="4">
        <f t="shared" si="2"/>
        <v>14.399999999999999</v>
      </c>
      <c r="K111" s="4">
        <f t="shared" si="3"/>
        <v>16.988764044943821</v>
      </c>
      <c r="L111" s="4">
        <f t="shared" si="4"/>
        <v>13.714285714285714</v>
      </c>
      <c r="M111" s="4">
        <f t="shared" si="5"/>
        <v>16.179775280898877</v>
      </c>
      <c r="N111" s="5">
        <v>2</v>
      </c>
      <c r="O111" s="6" t="s">
        <v>114</v>
      </c>
      <c r="P111" s="3">
        <f>N111*VLOOKUP(O111,'Ingredient costs'!$A$2:$B$536,2, FALSE)</f>
        <v>1944</v>
      </c>
      <c r="Q111" s="5">
        <v>1</v>
      </c>
      <c r="R111" s="6" t="s">
        <v>62</v>
      </c>
      <c r="S111" s="3">
        <f>Q111*VLOOKUP(R111,'Ingredient costs'!$A$2:$B$536,2, FALSE)</f>
        <v>1548</v>
      </c>
      <c r="T111" s="6"/>
      <c r="U111" s="3" t="s">
        <v>23</v>
      </c>
      <c r="V111" s="3">
        <f>T111*VLOOKUP(U111,'Ingredient costs'!$A$2:$B$536,2, FALSE)</f>
        <v>0</v>
      </c>
      <c r="W111" s="6"/>
      <c r="X111" s="3" t="s">
        <v>23</v>
      </c>
      <c r="Y111" s="3">
        <f>W111*VLOOKUP(X111,'Ingredient costs'!$A$2:$B$536,2, FALSE)</f>
        <v>0</v>
      </c>
      <c r="AA111" s="3" t="s">
        <v>23</v>
      </c>
      <c r="AB111" s="3">
        <f>Z111*VLOOKUP(AA111,'Ingredient costs'!$A$2:$B$536,2, FALSE)</f>
        <v>0</v>
      </c>
    </row>
    <row r="112" spans="1:28" ht="15" x14ac:dyDescent="0.25">
      <c r="A112" s="4" t="s">
        <v>203</v>
      </c>
      <c r="B112" s="4" t="s">
        <v>211</v>
      </c>
      <c r="C112" s="4">
        <v>78</v>
      </c>
      <c r="D112" s="4">
        <v>4356</v>
      </c>
      <c r="E112" s="4">
        <f t="shared" si="0"/>
        <v>4212</v>
      </c>
      <c r="F112" s="4">
        <f t="shared" si="1"/>
        <v>144</v>
      </c>
      <c r="G112" s="4">
        <v>56</v>
      </c>
      <c r="H112" s="4">
        <v>20</v>
      </c>
      <c r="I112" s="4">
        <v>17</v>
      </c>
      <c r="J112" s="4">
        <f t="shared" si="2"/>
        <v>43.199999999999996</v>
      </c>
      <c r="K112" s="4">
        <f t="shared" si="3"/>
        <v>50.823529411764703</v>
      </c>
      <c r="L112" s="4">
        <f t="shared" si="4"/>
        <v>168</v>
      </c>
      <c r="M112" s="4">
        <f t="shared" si="5"/>
        <v>197.64705882352939</v>
      </c>
      <c r="N112" s="5">
        <v>1</v>
      </c>
      <c r="O112" s="6" t="s">
        <v>204</v>
      </c>
      <c r="P112" s="3">
        <f>N112*VLOOKUP(O112,'Ingredient costs'!$A$2:$B$536,2, FALSE)</f>
        <v>1728</v>
      </c>
      <c r="Q112" s="5">
        <v>1</v>
      </c>
      <c r="R112" s="6" t="s">
        <v>140</v>
      </c>
      <c r="S112" s="3">
        <f>Q112*VLOOKUP(R112,'Ingredient costs'!$A$2:$B$536,2, FALSE)</f>
        <v>2484</v>
      </c>
      <c r="T112" s="6"/>
      <c r="U112" s="3" t="s">
        <v>23</v>
      </c>
      <c r="V112" s="3">
        <f>T112*VLOOKUP(U112,'Ingredient costs'!$A$2:$B$536,2, FALSE)</f>
        <v>0</v>
      </c>
      <c r="W112" s="6"/>
      <c r="X112" s="3" t="s">
        <v>23</v>
      </c>
      <c r="Y112" s="3">
        <f>W112*VLOOKUP(X112,'Ingredient costs'!$A$2:$B$536,2, FALSE)</f>
        <v>0</v>
      </c>
      <c r="AA112" s="3" t="s">
        <v>23</v>
      </c>
      <c r="AB112" s="3">
        <f>Z112*VLOOKUP(AA112,'Ingredient costs'!$A$2:$B$536,2, FALSE)</f>
        <v>0</v>
      </c>
    </row>
    <row r="113" spans="1:28" ht="15" x14ac:dyDescent="0.25">
      <c r="A113" s="4" t="s">
        <v>203</v>
      </c>
      <c r="B113" s="4" t="s">
        <v>212</v>
      </c>
      <c r="C113" s="4">
        <v>83</v>
      </c>
      <c r="D113" s="4">
        <v>4500</v>
      </c>
      <c r="E113" s="4">
        <f t="shared" si="0"/>
        <v>4068</v>
      </c>
      <c r="F113" s="4">
        <f t="shared" si="1"/>
        <v>432</v>
      </c>
      <c r="G113" s="4">
        <v>54</v>
      </c>
      <c r="H113" s="4">
        <v>180</v>
      </c>
      <c r="I113" s="4">
        <v>153</v>
      </c>
      <c r="J113" s="4">
        <f t="shared" si="2"/>
        <v>14.399999999999999</v>
      </c>
      <c r="K113" s="4">
        <f t="shared" si="3"/>
        <v>16.941176470588236</v>
      </c>
      <c r="L113" s="4">
        <f t="shared" si="4"/>
        <v>18</v>
      </c>
      <c r="M113" s="4">
        <f t="shared" si="5"/>
        <v>21.176470588235297</v>
      </c>
      <c r="N113" s="5">
        <v>2</v>
      </c>
      <c r="O113" s="6" t="s">
        <v>213</v>
      </c>
      <c r="P113" s="3">
        <f>N113*VLOOKUP(O113,'Ingredient costs'!$A$2:$B$536,2, FALSE)</f>
        <v>2016</v>
      </c>
      <c r="Q113" s="5">
        <v>1</v>
      </c>
      <c r="R113" s="6" t="s">
        <v>71</v>
      </c>
      <c r="S113" s="3">
        <f>Q113*VLOOKUP(R113,'Ingredient costs'!$A$2:$B$536,2, FALSE)</f>
        <v>504</v>
      </c>
      <c r="T113" s="5">
        <v>1</v>
      </c>
      <c r="U113" s="6" t="s">
        <v>62</v>
      </c>
      <c r="V113" s="3">
        <f>T113*VLOOKUP(U113,'Ingredient costs'!$A$2:$B$536,2, FALSE)</f>
        <v>1548</v>
      </c>
      <c r="W113" s="6"/>
      <c r="X113" s="3" t="s">
        <v>23</v>
      </c>
      <c r="Y113" s="3">
        <f>W113*VLOOKUP(X113,'Ingredient costs'!$A$2:$B$536,2, FALSE)</f>
        <v>0</v>
      </c>
      <c r="AA113" s="3" t="s">
        <v>23</v>
      </c>
      <c r="AB113" s="3">
        <f>Z113*VLOOKUP(AA113,'Ingredient costs'!$A$2:$B$536,2, FALSE)</f>
        <v>0</v>
      </c>
    </row>
    <row r="114" spans="1:28" ht="15" x14ac:dyDescent="0.25">
      <c r="A114" s="4" t="s">
        <v>203</v>
      </c>
      <c r="B114" s="4" t="s">
        <v>214</v>
      </c>
      <c r="C114" s="4">
        <v>85</v>
      </c>
      <c r="D114" s="4">
        <v>2880</v>
      </c>
      <c r="E114" s="4">
        <f t="shared" si="0"/>
        <v>2520</v>
      </c>
      <c r="F114" s="4">
        <f t="shared" si="1"/>
        <v>360</v>
      </c>
      <c r="G114" s="4">
        <v>34</v>
      </c>
      <c r="H114" s="4">
        <v>135</v>
      </c>
      <c r="I114" s="4">
        <v>114</v>
      </c>
      <c r="J114" s="4">
        <f t="shared" si="2"/>
        <v>16</v>
      </c>
      <c r="K114" s="4">
        <f t="shared" si="3"/>
        <v>18.94736842105263</v>
      </c>
      <c r="L114" s="4">
        <f t="shared" si="4"/>
        <v>15.111111111111109</v>
      </c>
      <c r="M114" s="4">
        <f t="shared" si="5"/>
        <v>17.894736842105264</v>
      </c>
      <c r="N114" s="5">
        <v>1</v>
      </c>
      <c r="O114" s="6" t="s">
        <v>71</v>
      </c>
      <c r="P114" s="3">
        <f>N114*VLOOKUP(O114,'Ingredient costs'!$A$2:$B$536,2, FALSE)</f>
        <v>504</v>
      </c>
      <c r="Q114" s="5">
        <v>1</v>
      </c>
      <c r="R114" s="6" t="s">
        <v>40</v>
      </c>
      <c r="S114" s="3">
        <f>Q114*VLOOKUP(R114,'Ingredient costs'!$A$2:$B$536,2, FALSE)</f>
        <v>504</v>
      </c>
      <c r="T114" s="5">
        <v>2</v>
      </c>
      <c r="U114" s="6" t="s">
        <v>116</v>
      </c>
      <c r="V114" s="3">
        <f>T114*VLOOKUP(U114,'Ingredient costs'!$A$2:$B$536,2, FALSE)</f>
        <v>648</v>
      </c>
      <c r="W114" s="5">
        <v>1</v>
      </c>
      <c r="X114" s="7" t="s">
        <v>54</v>
      </c>
      <c r="Y114" s="3">
        <f>W114*VLOOKUP(X114,'Ingredient costs'!$A$2:$B$536,2, FALSE)</f>
        <v>864</v>
      </c>
      <c r="AA114" s="3" t="s">
        <v>23</v>
      </c>
      <c r="AB114" s="3">
        <f>Z114*VLOOKUP(AA114,'Ingredient costs'!$A$2:$B$536,2, FALSE)</f>
        <v>0</v>
      </c>
    </row>
    <row r="115" spans="1:28" ht="15" x14ac:dyDescent="0.25">
      <c r="A115" s="4" t="s">
        <v>203</v>
      </c>
      <c r="B115" s="4" t="s">
        <v>215</v>
      </c>
      <c r="C115" s="4">
        <v>96</v>
      </c>
      <c r="D115" s="4">
        <v>4032</v>
      </c>
      <c r="E115" s="4">
        <f t="shared" si="0"/>
        <v>3600</v>
      </c>
      <c r="F115" s="4">
        <f t="shared" si="1"/>
        <v>432</v>
      </c>
      <c r="G115" s="4">
        <v>48</v>
      </c>
      <c r="H115" s="4">
        <v>210</v>
      </c>
      <c r="I115" s="4">
        <v>178</v>
      </c>
      <c r="J115" s="4">
        <f t="shared" si="2"/>
        <v>12.342857142857142</v>
      </c>
      <c r="K115" s="4">
        <f t="shared" si="3"/>
        <v>14.561797752808991</v>
      </c>
      <c r="L115" s="4">
        <f t="shared" si="4"/>
        <v>13.714285714285714</v>
      </c>
      <c r="M115" s="4">
        <f t="shared" si="5"/>
        <v>16.179775280898877</v>
      </c>
      <c r="N115" s="8">
        <v>1</v>
      </c>
      <c r="O115" s="7" t="s">
        <v>71</v>
      </c>
      <c r="P115" s="3">
        <f>N115*VLOOKUP(O115,'Ingredient costs'!$A$2:$B$536,2, FALSE)</f>
        <v>504</v>
      </c>
      <c r="Q115" s="8">
        <v>1</v>
      </c>
      <c r="R115" s="7" t="s">
        <v>50</v>
      </c>
      <c r="S115" s="3">
        <f>Q115*VLOOKUP(R115,'Ingredient costs'!$A$2:$B$536,2, FALSE)</f>
        <v>1044</v>
      </c>
      <c r="T115" s="8">
        <v>3</v>
      </c>
      <c r="U115" s="7" t="s">
        <v>96</v>
      </c>
      <c r="V115" s="3">
        <f>T115*VLOOKUP(U115,'Ingredient costs'!$A$2:$B$536,2, FALSE)</f>
        <v>2052</v>
      </c>
      <c r="X115" s="3" t="s">
        <v>23</v>
      </c>
      <c r="Y115" s="3">
        <f>W115*VLOOKUP(X115,'Ingredient costs'!$A$2:$B$536,2, FALSE)</f>
        <v>0</v>
      </c>
      <c r="AA115" s="3" t="s">
        <v>23</v>
      </c>
      <c r="AB115" s="3">
        <f>Z115*VLOOKUP(AA115,'Ingredient costs'!$A$2:$B$536,2, FALSE)</f>
        <v>0</v>
      </c>
    </row>
    <row r="116" spans="1:28" ht="15" x14ac:dyDescent="0.25">
      <c r="A116" s="4" t="s">
        <v>216</v>
      </c>
      <c r="B116" s="4" t="s">
        <v>151</v>
      </c>
      <c r="C116" s="4">
        <v>35</v>
      </c>
      <c r="D116" s="4">
        <v>2196</v>
      </c>
      <c r="E116" s="4">
        <f t="shared" si="0"/>
        <v>1188</v>
      </c>
      <c r="F116" s="4">
        <f t="shared" si="1"/>
        <v>1008</v>
      </c>
      <c r="G116" s="4">
        <v>26</v>
      </c>
      <c r="H116" s="4">
        <v>360</v>
      </c>
      <c r="I116" s="4">
        <v>306</v>
      </c>
      <c r="J116" s="4">
        <f t="shared" si="2"/>
        <v>16.799999999999997</v>
      </c>
      <c r="K116" s="4">
        <f t="shared" si="3"/>
        <v>19.764705882352942</v>
      </c>
      <c r="L116" s="4">
        <f t="shared" si="4"/>
        <v>4.333333333333333</v>
      </c>
      <c r="M116" s="4">
        <f t="shared" si="5"/>
        <v>5.098039215686275</v>
      </c>
      <c r="N116" s="5">
        <v>3</v>
      </c>
      <c r="O116" s="6" t="s">
        <v>105</v>
      </c>
      <c r="P116" s="3">
        <f>N116*VLOOKUP(O116,'Ingredient costs'!$A$2:$B$536,2, FALSE)</f>
        <v>1188</v>
      </c>
      <c r="R116" s="3" t="s">
        <v>23</v>
      </c>
      <c r="S116" s="3">
        <f>Q116*VLOOKUP(R116,'Ingredient costs'!$A$2:$B$536,2, FALSE)</f>
        <v>0</v>
      </c>
      <c r="U116" s="3" t="s">
        <v>23</v>
      </c>
      <c r="V116" s="3">
        <f>T116*VLOOKUP(U116,'Ingredient costs'!$A$2:$B$536,2, FALSE)</f>
        <v>0</v>
      </c>
      <c r="X116" s="3" t="s">
        <v>23</v>
      </c>
      <c r="Y116" s="3">
        <f>W116*VLOOKUP(X116,'Ingredient costs'!$A$2:$B$536,2, FALSE)</f>
        <v>0</v>
      </c>
      <c r="AA116" s="3" t="s">
        <v>23</v>
      </c>
      <c r="AB116" s="3">
        <f>Z116*VLOOKUP(AA116,'Ingredient costs'!$A$2:$B$536,2, FALSE)</f>
        <v>0</v>
      </c>
    </row>
    <row r="117" spans="1:28" ht="15" x14ac:dyDescent="0.25">
      <c r="A117" s="4" t="s">
        <v>216</v>
      </c>
      <c r="B117" s="4" t="s">
        <v>133</v>
      </c>
      <c r="C117" s="4">
        <v>36</v>
      </c>
      <c r="D117" s="4">
        <v>2520</v>
      </c>
      <c r="E117" s="4">
        <f t="shared" si="0"/>
        <v>1404</v>
      </c>
      <c r="F117" s="4">
        <f t="shared" si="1"/>
        <v>1116</v>
      </c>
      <c r="G117" s="4">
        <v>28</v>
      </c>
      <c r="H117" s="4">
        <v>420</v>
      </c>
      <c r="I117" s="4">
        <v>357</v>
      </c>
      <c r="J117" s="4">
        <f t="shared" si="2"/>
        <v>15.942857142857141</v>
      </c>
      <c r="K117" s="4">
        <f t="shared" si="3"/>
        <v>18.756302521008404</v>
      </c>
      <c r="L117" s="4">
        <f t="shared" si="4"/>
        <v>4</v>
      </c>
      <c r="M117" s="4">
        <f t="shared" si="5"/>
        <v>4.7058823529411766</v>
      </c>
      <c r="N117" s="5">
        <v>3</v>
      </c>
      <c r="O117" s="6" t="s">
        <v>30</v>
      </c>
      <c r="P117" s="3">
        <f>N117*VLOOKUP(O117,'Ingredient costs'!$A$2:$B$536,2, FALSE)</f>
        <v>1404</v>
      </c>
      <c r="R117" s="3" t="s">
        <v>23</v>
      </c>
      <c r="S117" s="3">
        <f>Q117*VLOOKUP(R117,'Ingredient costs'!$A$2:$B$536,2, FALSE)</f>
        <v>0</v>
      </c>
      <c r="U117" s="3" t="s">
        <v>23</v>
      </c>
      <c r="V117" s="3">
        <f>T117*VLOOKUP(U117,'Ingredient costs'!$A$2:$B$536,2, FALSE)</f>
        <v>0</v>
      </c>
      <c r="X117" s="3" t="s">
        <v>23</v>
      </c>
      <c r="Y117" s="3">
        <f>W117*VLOOKUP(X117,'Ingredient costs'!$A$2:$B$536,2, FALSE)</f>
        <v>0</v>
      </c>
      <c r="AA117" s="3" t="s">
        <v>23</v>
      </c>
      <c r="AB117" s="3">
        <f>Z117*VLOOKUP(AA117,'Ingredient costs'!$A$2:$B$536,2, FALSE)</f>
        <v>0</v>
      </c>
    </row>
    <row r="118" spans="1:28" ht="15" x14ac:dyDescent="0.25">
      <c r="A118" s="4" t="s">
        <v>216</v>
      </c>
      <c r="B118" s="4" t="s">
        <v>134</v>
      </c>
      <c r="C118" s="4">
        <v>37</v>
      </c>
      <c r="D118" s="4">
        <v>3888</v>
      </c>
      <c r="E118" s="4">
        <f t="shared" si="0"/>
        <v>2484</v>
      </c>
      <c r="F118" s="4">
        <f t="shared" si="1"/>
        <v>1404</v>
      </c>
      <c r="G118" s="4">
        <v>46</v>
      </c>
      <c r="H118" s="4">
        <v>480</v>
      </c>
      <c r="I118" s="4">
        <v>408</v>
      </c>
      <c r="J118" s="4">
        <f t="shared" si="2"/>
        <v>17.549999999999997</v>
      </c>
      <c r="K118" s="4">
        <f t="shared" si="3"/>
        <v>20.647058823529413</v>
      </c>
      <c r="L118" s="4">
        <f t="shared" si="4"/>
        <v>5.75</v>
      </c>
      <c r="M118" s="4">
        <f t="shared" si="5"/>
        <v>6.7647058823529411</v>
      </c>
      <c r="N118" s="5">
        <v>3</v>
      </c>
      <c r="O118" s="6" t="s">
        <v>32</v>
      </c>
      <c r="P118" s="3">
        <f>N118*VLOOKUP(O118,'Ingredient costs'!$A$2:$B$536,2, FALSE)</f>
        <v>2484</v>
      </c>
      <c r="R118" s="3" t="s">
        <v>23</v>
      </c>
      <c r="S118" s="3">
        <f>Q118*VLOOKUP(R118,'Ingredient costs'!$A$2:$B$536,2, FALSE)</f>
        <v>0</v>
      </c>
      <c r="U118" s="3" t="s">
        <v>23</v>
      </c>
      <c r="V118" s="3">
        <f>T118*VLOOKUP(U118,'Ingredient costs'!$A$2:$B$536,2, FALSE)</f>
        <v>0</v>
      </c>
      <c r="X118" s="3" t="s">
        <v>23</v>
      </c>
      <c r="Y118" s="3">
        <f>W118*VLOOKUP(X118,'Ingredient costs'!$A$2:$B$536,2, FALSE)</f>
        <v>0</v>
      </c>
      <c r="AA118" s="3" t="s">
        <v>23</v>
      </c>
      <c r="AB118" s="3">
        <f>Z118*VLOOKUP(AA118,'Ingredient costs'!$A$2:$B$536,2, FALSE)</f>
        <v>0</v>
      </c>
    </row>
    <row r="119" spans="1:28" ht="15" x14ac:dyDescent="0.25">
      <c r="A119" s="4" t="s">
        <v>216</v>
      </c>
      <c r="B119" s="4" t="s">
        <v>217</v>
      </c>
      <c r="C119" s="4">
        <v>38</v>
      </c>
      <c r="D119" s="4">
        <v>3348</v>
      </c>
      <c r="E119" s="4">
        <f t="shared" si="0"/>
        <v>2052</v>
      </c>
      <c r="F119" s="4">
        <f t="shared" si="1"/>
        <v>1296</v>
      </c>
      <c r="G119" s="4">
        <v>40</v>
      </c>
      <c r="H119" s="4">
        <v>420</v>
      </c>
      <c r="I119" s="4">
        <v>357</v>
      </c>
      <c r="J119" s="4">
        <f t="shared" si="2"/>
        <v>18.514285714285716</v>
      </c>
      <c r="K119" s="4">
        <f t="shared" si="3"/>
        <v>21.781512605042018</v>
      </c>
      <c r="L119" s="4">
        <f t="shared" si="4"/>
        <v>5.7142857142857135</v>
      </c>
      <c r="M119" s="4">
        <f t="shared" si="5"/>
        <v>6.7226890756302522</v>
      </c>
      <c r="N119" s="5">
        <v>3</v>
      </c>
      <c r="O119" s="6" t="s">
        <v>96</v>
      </c>
      <c r="P119" s="3">
        <f>N119*VLOOKUP(O119,'Ingredient costs'!$A$2:$B$536,2, FALSE)</f>
        <v>2052</v>
      </c>
      <c r="R119" s="3" t="s">
        <v>23</v>
      </c>
      <c r="S119" s="3">
        <f>Q119*VLOOKUP(R119,'Ingredient costs'!$A$2:$B$536,2, FALSE)</f>
        <v>0</v>
      </c>
      <c r="U119" s="3" t="s">
        <v>23</v>
      </c>
      <c r="V119" s="3">
        <f>T119*VLOOKUP(U119,'Ingredient costs'!$A$2:$B$536,2, FALSE)</f>
        <v>0</v>
      </c>
      <c r="X119" s="3" t="s">
        <v>23</v>
      </c>
      <c r="Y119" s="3">
        <f>W119*VLOOKUP(X119,'Ingredient costs'!$A$2:$B$536,2, FALSE)</f>
        <v>0</v>
      </c>
      <c r="AA119" s="3" t="s">
        <v>23</v>
      </c>
      <c r="AB119" s="3">
        <f>Z119*VLOOKUP(AA119,'Ingredient costs'!$A$2:$B$536,2, FALSE)</f>
        <v>0</v>
      </c>
    </row>
    <row r="120" spans="1:28" ht="15" x14ac:dyDescent="0.25">
      <c r="A120" s="4" t="s">
        <v>216</v>
      </c>
      <c r="B120" s="4" t="s">
        <v>218</v>
      </c>
      <c r="C120" s="4">
        <v>50</v>
      </c>
      <c r="D120" s="4">
        <v>2700</v>
      </c>
      <c r="E120" s="4">
        <f t="shared" si="0"/>
        <v>1512</v>
      </c>
      <c r="F120" s="4">
        <f t="shared" si="1"/>
        <v>1188</v>
      </c>
      <c r="G120" s="4">
        <v>32</v>
      </c>
      <c r="H120" s="4">
        <v>450</v>
      </c>
      <c r="I120" s="4">
        <v>382</v>
      </c>
      <c r="J120" s="4">
        <f t="shared" si="2"/>
        <v>15.84</v>
      </c>
      <c r="K120" s="4">
        <f t="shared" si="3"/>
        <v>18.659685863874344</v>
      </c>
      <c r="L120" s="4">
        <f t="shared" si="4"/>
        <v>4.2666666666666666</v>
      </c>
      <c r="M120" s="4">
        <f t="shared" si="5"/>
        <v>5.0261780104712042</v>
      </c>
      <c r="N120" s="5">
        <v>3</v>
      </c>
      <c r="O120" s="6" t="s">
        <v>100</v>
      </c>
      <c r="P120" s="3">
        <f>N120*VLOOKUP(O120,'Ingredient costs'!$A$2:$B$536,2, FALSE)</f>
        <v>1512</v>
      </c>
      <c r="R120" s="3" t="s">
        <v>23</v>
      </c>
      <c r="S120" s="3">
        <f>Q120*VLOOKUP(R120,'Ingredient costs'!$A$2:$B$536,2, FALSE)</f>
        <v>0</v>
      </c>
      <c r="U120" s="3" t="s">
        <v>23</v>
      </c>
      <c r="V120" s="3">
        <f>T120*VLOOKUP(U120,'Ingredient costs'!$A$2:$B$536,2, FALSE)</f>
        <v>0</v>
      </c>
      <c r="X120" s="3" t="s">
        <v>23</v>
      </c>
      <c r="Y120" s="3">
        <f>W120*VLOOKUP(X120,'Ingredient costs'!$A$2:$B$536,2, FALSE)</f>
        <v>0</v>
      </c>
      <c r="AA120" s="3" t="s">
        <v>23</v>
      </c>
      <c r="AB120" s="3">
        <f>Z120*VLOOKUP(AA120,'Ingredient costs'!$A$2:$B$536,2, FALSE)</f>
        <v>0</v>
      </c>
    </row>
    <row r="121" spans="1:28" ht="15" x14ac:dyDescent="0.25">
      <c r="A121" s="4" t="s">
        <v>216</v>
      </c>
      <c r="B121" s="4" t="s">
        <v>219</v>
      </c>
      <c r="C121" s="4">
        <v>74</v>
      </c>
      <c r="D121" s="4">
        <v>4572</v>
      </c>
      <c r="E121" s="4">
        <f t="shared" si="0"/>
        <v>2916</v>
      </c>
      <c r="F121" s="4">
        <f t="shared" si="1"/>
        <v>1656</v>
      </c>
      <c r="G121" s="4">
        <v>54</v>
      </c>
      <c r="H121" s="4">
        <v>510</v>
      </c>
      <c r="I121" s="4">
        <v>433</v>
      </c>
      <c r="J121" s="4">
        <f t="shared" si="2"/>
        <v>19.482352941176472</v>
      </c>
      <c r="K121" s="4">
        <f t="shared" si="3"/>
        <v>22.946882217090067</v>
      </c>
      <c r="L121" s="4">
        <f t="shared" si="4"/>
        <v>6.3529411764705879</v>
      </c>
      <c r="M121" s="4">
        <f t="shared" si="5"/>
        <v>7.4826789838337184</v>
      </c>
      <c r="N121" s="5">
        <v>3</v>
      </c>
      <c r="O121" s="6" t="s">
        <v>114</v>
      </c>
      <c r="P121" s="3">
        <f>N121*VLOOKUP(O121,'Ingredient costs'!$A$2:$B$536,2, FALSE)</f>
        <v>2916</v>
      </c>
      <c r="R121" s="3" t="s">
        <v>23</v>
      </c>
      <c r="S121" s="3">
        <f>Q121*VLOOKUP(R121,'Ingredient costs'!$A$2:$B$536,2, FALSE)</f>
        <v>0</v>
      </c>
      <c r="U121" s="3" t="s">
        <v>23</v>
      </c>
      <c r="V121" s="3">
        <f>T121*VLOOKUP(U121,'Ingredient costs'!$A$2:$B$536,2, FALSE)</f>
        <v>0</v>
      </c>
      <c r="X121" s="3" t="s">
        <v>23</v>
      </c>
      <c r="Y121" s="3">
        <f>W121*VLOOKUP(X121,'Ingredient costs'!$A$2:$B$536,2, FALSE)</f>
        <v>0</v>
      </c>
      <c r="AA121" s="3" t="s">
        <v>23</v>
      </c>
      <c r="AB121" s="3">
        <f>Z121*VLOOKUP(AA121,'Ingredient costs'!$A$2:$B$536,2, FALSE)</f>
        <v>0</v>
      </c>
    </row>
    <row r="122" spans="1:28" ht="15" x14ac:dyDescent="0.25">
      <c r="A122" s="4" t="s">
        <v>216</v>
      </c>
      <c r="B122" s="4" t="s">
        <v>220</v>
      </c>
      <c r="C122" s="4">
        <v>79</v>
      </c>
      <c r="D122" s="4">
        <v>4644</v>
      </c>
      <c r="E122" s="4">
        <f t="shared" si="0"/>
        <v>3024</v>
      </c>
      <c r="F122" s="4">
        <f t="shared" si="1"/>
        <v>1620</v>
      </c>
      <c r="G122" s="4">
        <v>55</v>
      </c>
      <c r="H122" s="4">
        <v>480</v>
      </c>
      <c r="I122" s="4">
        <v>408</v>
      </c>
      <c r="J122" s="4">
        <f t="shared" si="2"/>
        <v>20.25</v>
      </c>
      <c r="K122" s="4">
        <f t="shared" si="3"/>
        <v>23.823529411764707</v>
      </c>
      <c r="L122" s="4">
        <f t="shared" si="4"/>
        <v>6.875</v>
      </c>
      <c r="M122" s="4">
        <f t="shared" si="5"/>
        <v>8.0882352941176467</v>
      </c>
      <c r="N122" s="5">
        <v>3</v>
      </c>
      <c r="O122" s="6" t="s">
        <v>213</v>
      </c>
      <c r="P122" s="3">
        <f>N122*VLOOKUP(O122,'Ingredient costs'!$A$2:$B$536,2, FALSE)</f>
        <v>3024</v>
      </c>
      <c r="R122" s="3" t="s">
        <v>23</v>
      </c>
      <c r="S122" s="3">
        <f>Q122*VLOOKUP(R122,'Ingredient costs'!$A$2:$B$536,2, FALSE)</f>
        <v>0</v>
      </c>
      <c r="U122" s="3" t="s">
        <v>23</v>
      </c>
      <c r="V122" s="3">
        <f>T122*VLOOKUP(U122,'Ingredient costs'!$A$2:$B$536,2, FALSE)</f>
        <v>0</v>
      </c>
      <c r="X122" s="3" t="s">
        <v>23</v>
      </c>
      <c r="Y122" s="3">
        <f>W122*VLOOKUP(X122,'Ingredient costs'!$A$2:$B$536,2, FALSE)</f>
        <v>0</v>
      </c>
      <c r="AA122" s="3" t="s">
        <v>23</v>
      </c>
      <c r="AB122" s="3">
        <f>Z122*VLOOKUP(AA122,'Ingredient costs'!$A$2:$B$536,2, FALSE)</f>
        <v>0</v>
      </c>
    </row>
    <row r="123" spans="1:28" ht="15" x14ac:dyDescent="0.25">
      <c r="A123" s="4" t="s">
        <v>216</v>
      </c>
      <c r="B123" s="4" t="s">
        <v>221</v>
      </c>
      <c r="C123" s="4">
        <v>85</v>
      </c>
      <c r="D123" s="4">
        <v>1620</v>
      </c>
      <c r="E123" s="4">
        <f t="shared" si="0"/>
        <v>972</v>
      </c>
      <c r="F123" s="4">
        <f t="shared" si="1"/>
        <v>648</v>
      </c>
      <c r="G123" s="4">
        <v>19</v>
      </c>
      <c r="H123" s="4">
        <v>390</v>
      </c>
      <c r="I123" s="4">
        <v>331</v>
      </c>
      <c r="J123" s="4">
        <f t="shared" si="2"/>
        <v>9.9692307692307693</v>
      </c>
      <c r="K123" s="4">
        <f t="shared" si="3"/>
        <v>11.746223564954683</v>
      </c>
      <c r="L123" s="4">
        <f t="shared" si="4"/>
        <v>2.9230769230769229</v>
      </c>
      <c r="M123" s="4">
        <f t="shared" si="5"/>
        <v>3.4441087613293053</v>
      </c>
      <c r="N123" s="5">
        <v>3</v>
      </c>
      <c r="O123" s="6" t="s">
        <v>49</v>
      </c>
      <c r="P123" s="3">
        <f>N123*VLOOKUP(O123,'Ingredient costs'!$A$2:$B$536,2, FALSE)</f>
        <v>972</v>
      </c>
      <c r="R123" s="3" t="s">
        <v>23</v>
      </c>
      <c r="S123" s="3">
        <f>Q123*VLOOKUP(R123,'Ingredient costs'!$A$2:$B$536,2, FALSE)</f>
        <v>0</v>
      </c>
      <c r="U123" s="3" t="s">
        <v>23</v>
      </c>
      <c r="V123" s="3">
        <f>T123*VLOOKUP(U123,'Ingredient costs'!$A$2:$B$536,2, FALSE)</f>
        <v>0</v>
      </c>
      <c r="X123" s="3" t="s">
        <v>23</v>
      </c>
      <c r="Y123" s="3">
        <f>W123*VLOOKUP(X123,'Ingredient costs'!$A$2:$B$536,2, FALSE)</f>
        <v>0</v>
      </c>
      <c r="AA123" s="3" t="s">
        <v>23</v>
      </c>
      <c r="AB123" s="3">
        <f>Z123*VLOOKUP(AA123,'Ingredient costs'!$A$2:$B$536,2, FALSE)</f>
        <v>0</v>
      </c>
    </row>
    <row r="124" spans="1:28" ht="15" x14ac:dyDescent="0.25">
      <c r="A124" s="4" t="s">
        <v>216</v>
      </c>
      <c r="B124" s="4" t="s">
        <v>222</v>
      </c>
      <c r="C124" s="4">
        <v>94</v>
      </c>
      <c r="D124" s="4">
        <v>3852</v>
      </c>
      <c r="E124" s="4">
        <f t="shared" si="0"/>
        <v>2484</v>
      </c>
      <c r="F124" s="4">
        <f t="shared" si="1"/>
        <v>1368</v>
      </c>
      <c r="G124" s="4">
        <v>46</v>
      </c>
      <c r="H124" s="4">
        <v>300</v>
      </c>
      <c r="I124" s="4">
        <v>255</v>
      </c>
      <c r="J124" s="4">
        <f t="shared" si="2"/>
        <v>27.36</v>
      </c>
      <c r="K124" s="4">
        <f t="shared" si="3"/>
        <v>32.188235294117639</v>
      </c>
      <c r="L124" s="4">
        <f t="shared" si="4"/>
        <v>9.1999999999999993</v>
      </c>
      <c r="M124" s="4">
        <f t="shared" si="5"/>
        <v>10.823529411764707</v>
      </c>
      <c r="N124" s="5">
        <v>3</v>
      </c>
      <c r="O124" s="6" t="s">
        <v>223</v>
      </c>
      <c r="P124" s="3">
        <f>N124*VLOOKUP(O124,'Ingredient costs'!$A$2:$B$536,2, FALSE)</f>
        <v>2484</v>
      </c>
      <c r="R124" s="3" t="s">
        <v>23</v>
      </c>
      <c r="S124" s="3">
        <f>Q124*VLOOKUP(R124,'Ingredient costs'!$A$2:$B$536,2, FALSE)</f>
        <v>0</v>
      </c>
      <c r="U124" s="3" t="s">
        <v>23</v>
      </c>
      <c r="V124" s="3">
        <f>T124*VLOOKUP(U124,'Ingredient costs'!$A$2:$B$536,2, FALSE)</f>
        <v>0</v>
      </c>
      <c r="X124" s="3" t="s">
        <v>23</v>
      </c>
      <c r="Y124" s="3">
        <f>W124*VLOOKUP(X124,'Ingredient costs'!$A$2:$B$536,2, FALSE)</f>
        <v>0</v>
      </c>
      <c r="AA124" s="3" t="s">
        <v>23</v>
      </c>
      <c r="AB124" s="3">
        <f>Z124*VLOOKUP(AA124,'Ingredient costs'!$A$2:$B$536,2, FALSE)</f>
        <v>0</v>
      </c>
    </row>
    <row r="125" spans="1:28" ht="15" x14ac:dyDescent="0.25">
      <c r="A125" s="4" t="s">
        <v>216</v>
      </c>
      <c r="B125" s="4" t="s">
        <v>224</v>
      </c>
      <c r="C125" s="4">
        <v>96</v>
      </c>
      <c r="D125" s="4">
        <v>1188</v>
      </c>
      <c r="E125" s="4">
        <f t="shared" si="0"/>
        <v>540</v>
      </c>
      <c r="F125" s="4">
        <f t="shared" si="1"/>
        <v>648</v>
      </c>
      <c r="G125" s="4">
        <v>14</v>
      </c>
      <c r="H125" s="4">
        <v>200</v>
      </c>
      <c r="I125" s="4">
        <v>170</v>
      </c>
      <c r="J125" s="4">
        <f t="shared" si="2"/>
        <v>19.440000000000001</v>
      </c>
      <c r="K125" s="4">
        <f t="shared" si="3"/>
        <v>22.870588235294118</v>
      </c>
      <c r="L125" s="4">
        <f t="shared" si="4"/>
        <v>4.2</v>
      </c>
      <c r="M125" s="4">
        <f t="shared" si="5"/>
        <v>4.9411764705882355</v>
      </c>
      <c r="N125" s="8">
        <v>3</v>
      </c>
      <c r="O125" s="7" t="s">
        <v>225</v>
      </c>
      <c r="P125" s="3">
        <f>N125*VLOOKUP(O125,'Ingredient costs'!$A$2:$B$536,2, FALSE)</f>
        <v>540</v>
      </c>
      <c r="R125" s="3" t="s">
        <v>23</v>
      </c>
      <c r="S125" s="3">
        <f>Q125*VLOOKUP(R125,'Ingredient costs'!$A$2:$B$536,2, FALSE)</f>
        <v>0</v>
      </c>
      <c r="U125" s="3" t="s">
        <v>23</v>
      </c>
      <c r="V125" s="3">
        <f>T125*VLOOKUP(U125,'Ingredient costs'!$A$2:$B$536,2, FALSE)</f>
        <v>0</v>
      </c>
      <c r="X125" s="3" t="s">
        <v>23</v>
      </c>
      <c r="Y125" s="3">
        <f>W125*VLOOKUP(X125,'Ingredient costs'!$A$2:$B$536,2, FALSE)</f>
        <v>0</v>
      </c>
      <c r="AA125" s="3" t="s">
        <v>23</v>
      </c>
      <c r="AB125" s="3">
        <f>Z125*VLOOKUP(AA125,'Ingredient costs'!$A$2:$B$536,2, FALSE)</f>
        <v>0</v>
      </c>
    </row>
    <row r="126" spans="1:28" ht="15" x14ac:dyDescent="0.25">
      <c r="A126" s="4" t="s">
        <v>226</v>
      </c>
      <c r="B126" s="4" t="s">
        <v>227</v>
      </c>
      <c r="C126" s="4">
        <v>38</v>
      </c>
      <c r="D126" s="4">
        <v>5148</v>
      </c>
      <c r="E126" s="4">
        <f t="shared" si="0"/>
        <v>4752</v>
      </c>
      <c r="F126" s="4">
        <f t="shared" si="1"/>
        <v>396</v>
      </c>
      <c r="G126" s="4">
        <v>61</v>
      </c>
      <c r="H126" s="4">
        <v>120</v>
      </c>
      <c r="I126" s="4">
        <v>102</v>
      </c>
      <c r="J126" s="4">
        <f t="shared" si="2"/>
        <v>19.799999999999997</v>
      </c>
      <c r="K126" s="4">
        <f t="shared" si="3"/>
        <v>23.294117647058822</v>
      </c>
      <c r="L126" s="4">
        <f t="shared" si="4"/>
        <v>30.5</v>
      </c>
      <c r="M126" s="4">
        <f t="shared" si="5"/>
        <v>35.882352941176471</v>
      </c>
      <c r="N126" s="5">
        <v>2</v>
      </c>
      <c r="O126" s="6" t="s">
        <v>228</v>
      </c>
      <c r="P126" s="3">
        <f>N126*VLOOKUP(O126,'Ingredient costs'!$A$2:$B$536,2, FALSE)</f>
        <v>2952</v>
      </c>
      <c r="Q126" s="5">
        <v>1</v>
      </c>
      <c r="R126" s="6" t="s">
        <v>229</v>
      </c>
      <c r="S126" s="3">
        <f>Q126*VLOOKUP(R126,'Ingredient costs'!$A$2:$B$536,2, FALSE)</f>
        <v>1800</v>
      </c>
      <c r="T126" s="6"/>
      <c r="U126" s="6" t="s">
        <v>23</v>
      </c>
      <c r="V126" s="3">
        <f>T126*VLOOKUP(U126,'Ingredient costs'!$A$2:$B$536,2, FALSE)</f>
        <v>0</v>
      </c>
      <c r="X126" s="3" t="s">
        <v>23</v>
      </c>
      <c r="Y126" s="3">
        <f>W126*VLOOKUP(X126,'Ingredient costs'!$A$2:$B$536,2, FALSE)</f>
        <v>0</v>
      </c>
      <c r="AA126" s="3" t="s">
        <v>23</v>
      </c>
      <c r="AB126" s="3">
        <f>Z126*VLOOKUP(AA126,'Ingredient costs'!$A$2:$B$536,2, FALSE)</f>
        <v>0</v>
      </c>
    </row>
    <row r="127" spans="1:28" ht="15" x14ac:dyDescent="0.25">
      <c r="A127" s="4" t="s">
        <v>226</v>
      </c>
      <c r="B127" s="4" t="s">
        <v>230</v>
      </c>
      <c r="C127" s="4">
        <v>39</v>
      </c>
      <c r="D127" s="4">
        <v>7272</v>
      </c>
      <c r="E127" s="4">
        <f t="shared" si="0"/>
        <v>6804</v>
      </c>
      <c r="F127" s="4">
        <f t="shared" si="1"/>
        <v>468</v>
      </c>
      <c r="G127" s="4">
        <v>72</v>
      </c>
      <c r="H127" s="4">
        <v>180</v>
      </c>
      <c r="I127" s="4">
        <v>153</v>
      </c>
      <c r="J127" s="4">
        <f t="shared" si="2"/>
        <v>15.600000000000001</v>
      </c>
      <c r="K127" s="4">
        <f t="shared" si="3"/>
        <v>18.352941176470587</v>
      </c>
      <c r="L127" s="4">
        <f t="shared" si="4"/>
        <v>24</v>
      </c>
      <c r="M127" s="4">
        <f t="shared" si="5"/>
        <v>28.235294117647058</v>
      </c>
      <c r="N127" s="5">
        <v>2</v>
      </c>
      <c r="O127" s="6" t="s">
        <v>228</v>
      </c>
      <c r="P127" s="3">
        <f>N127*VLOOKUP(O127,'Ingredient costs'!$A$2:$B$536,2, FALSE)</f>
        <v>2952</v>
      </c>
      <c r="Q127" s="5">
        <v>1</v>
      </c>
      <c r="R127" s="6" t="s">
        <v>229</v>
      </c>
      <c r="S127" s="3">
        <f>Q127*VLOOKUP(R127,'Ingredient costs'!$A$2:$B$536,2, FALSE)</f>
        <v>1800</v>
      </c>
      <c r="T127" s="5">
        <v>1</v>
      </c>
      <c r="U127" s="6" t="s">
        <v>231</v>
      </c>
      <c r="V127" s="3">
        <f>T127*VLOOKUP(U127,'Ingredient costs'!$A$2:$B$536,2, FALSE)</f>
        <v>2052</v>
      </c>
      <c r="X127" s="3" t="s">
        <v>23</v>
      </c>
      <c r="Y127" s="3">
        <f>W127*VLOOKUP(X127,'Ingredient costs'!$A$2:$B$536,2, FALSE)</f>
        <v>0</v>
      </c>
      <c r="AA127" s="3" t="s">
        <v>23</v>
      </c>
      <c r="AB127" s="3">
        <f>Z127*VLOOKUP(AA127,'Ingredient costs'!$A$2:$B$536,2, FALSE)</f>
        <v>0</v>
      </c>
    </row>
    <row r="128" spans="1:28" ht="15" x14ac:dyDescent="0.25">
      <c r="A128" s="4" t="s">
        <v>226</v>
      </c>
      <c r="B128" s="4" t="s">
        <v>232</v>
      </c>
      <c r="C128" s="4">
        <v>40</v>
      </c>
      <c r="D128" s="4">
        <v>8244</v>
      </c>
      <c r="E128" s="4" t="e">
        <f t="shared" si="0"/>
        <v>#N/A</v>
      </c>
      <c r="F128" s="4" t="e">
        <f t="shared" si="1"/>
        <v>#N/A</v>
      </c>
      <c r="G128" s="4">
        <v>84</v>
      </c>
      <c r="H128" s="4">
        <v>240</v>
      </c>
      <c r="I128" s="4">
        <v>204</v>
      </c>
      <c r="J128" s="4" t="e">
        <f t="shared" si="2"/>
        <v>#N/A</v>
      </c>
      <c r="K128" s="4" t="e">
        <f t="shared" si="3"/>
        <v>#N/A</v>
      </c>
      <c r="L128" s="4">
        <f t="shared" si="4"/>
        <v>21</v>
      </c>
      <c r="M128" s="4">
        <f t="shared" si="5"/>
        <v>24.705882352941174</v>
      </c>
      <c r="N128" s="5">
        <v>2</v>
      </c>
      <c r="O128" s="6" t="s">
        <v>229</v>
      </c>
      <c r="P128" s="3">
        <f>N128*VLOOKUP(O128,'Ingredient costs'!$A$2:$B$536,2, FALSE)</f>
        <v>3600</v>
      </c>
      <c r="Q128" s="5">
        <v>2</v>
      </c>
      <c r="R128" s="6" t="s">
        <v>231</v>
      </c>
      <c r="S128" s="3">
        <f>Q128*VLOOKUP(R128,'Ingredient costs'!$A$2:$B$536,2, FALSE)</f>
        <v>4104</v>
      </c>
      <c r="T128" s="5">
        <v>1</v>
      </c>
      <c r="U128" s="6" t="s">
        <v>176</v>
      </c>
      <c r="V128" s="3" t="e">
        <f>T128*VLOOKUP(U128,'Ingredient costs'!$A$2:$B$536,2, FALSE)</f>
        <v>#N/A</v>
      </c>
      <c r="X128" s="3" t="s">
        <v>23</v>
      </c>
      <c r="Y128" s="3">
        <f>W128*VLOOKUP(X128,'Ingredient costs'!$A$2:$B$536,2, FALSE)</f>
        <v>0</v>
      </c>
      <c r="AA128" s="3" t="s">
        <v>23</v>
      </c>
      <c r="AB128" s="3">
        <f>Z128*VLOOKUP(AA128,'Ingredient costs'!$A$2:$B$536,2, FALSE)</f>
        <v>0</v>
      </c>
    </row>
    <row r="129" spans="1:28" ht="15" x14ac:dyDescent="0.25">
      <c r="A129" s="4" t="s">
        <v>226</v>
      </c>
      <c r="B129" s="4" t="s">
        <v>233</v>
      </c>
      <c r="C129" s="4">
        <v>41</v>
      </c>
      <c r="D129" s="4">
        <v>6588</v>
      </c>
      <c r="E129" s="4">
        <f t="shared" si="0"/>
        <v>6228</v>
      </c>
      <c r="F129" s="4">
        <f t="shared" si="1"/>
        <v>360</v>
      </c>
      <c r="G129" s="4">
        <v>79</v>
      </c>
      <c r="H129" s="4">
        <v>90</v>
      </c>
      <c r="I129" s="4">
        <v>76</v>
      </c>
      <c r="J129" s="4">
        <f t="shared" si="2"/>
        <v>24</v>
      </c>
      <c r="K129" s="4">
        <f t="shared" si="3"/>
        <v>28.421052631578945</v>
      </c>
      <c r="L129" s="4">
        <f t="shared" si="4"/>
        <v>52.666666666666664</v>
      </c>
      <c r="M129" s="4">
        <f t="shared" si="5"/>
        <v>62.368421052631582</v>
      </c>
      <c r="N129" s="5">
        <v>2</v>
      </c>
      <c r="O129" s="6" t="s">
        <v>234</v>
      </c>
      <c r="P129" s="3">
        <f>N129*VLOOKUP(O129,'Ingredient costs'!$A$2:$B$536,2, FALSE)</f>
        <v>2592</v>
      </c>
      <c r="Q129" s="5">
        <v>2</v>
      </c>
      <c r="R129" s="6" t="s">
        <v>191</v>
      </c>
      <c r="S129" s="3">
        <f>Q129*VLOOKUP(R129,'Ingredient costs'!$A$2:$B$536,2, FALSE)</f>
        <v>2160</v>
      </c>
      <c r="T129" s="5">
        <v>1</v>
      </c>
      <c r="U129" s="6" t="s">
        <v>228</v>
      </c>
      <c r="V129" s="3">
        <f>T129*VLOOKUP(U129,'Ingredient costs'!$A$2:$B$536,2, FALSE)</f>
        <v>1476</v>
      </c>
      <c r="X129" s="3" t="s">
        <v>23</v>
      </c>
      <c r="Y129" s="3">
        <f>W129*VLOOKUP(X129,'Ingredient costs'!$A$2:$B$536,2, FALSE)</f>
        <v>0</v>
      </c>
      <c r="AA129" s="3" t="s">
        <v>23</v>
      </c>
      <c r="AB129" s="3">
        <f>Z129*VLOOKUP(AA129,'Ingredient costs'!$A$2:$B$536,2, FALSE)</f>
        <v>0</v>
      </c>
    </row>
    <row r="130" spans="1:28" ht="15" x14ac:dyDescent="0.25">
      <c r="A130" s="4" t="s">
        <v>226</v>
      </c>
      <c r="B130" s="4" t="s">
        <v>235</v>
      </c>
      <c r="C130" s="4">
        <v>98</v>
      </c>
      <c r="D130" s="4">
        <v>6984</v>
      </c>
      <c r="E130" s="4">
        <f t="shared" si="0"/>
        <v>6732</v>
      </c>
      <c r="F130" s="4">
        <f t="shared" si="1"/>
        <v>252</v>
      </c>
      <c r="G130" s="4">
        <v>83</v>
      </c>
      <c r="H130" s="4">
        <v>60</v>
      </c>
      <c r="I130" s="4">
        <v>51</v>
      </c>
      <c r="J130" s="4">
        <f t="shared" si="2"/>
        <v>25.200000000000003</v>
      </c>
      <c r="K130" s="4">
        <f t="shared" si="3"/>
        <v>29.647058823529413</v>
      </c>
      <c r="L130" s="4">
        <f t="shared" si="4"/>
        <v>83</v>
      </c>
      <c r="M130" s="4">
        <f t="shared" si="5"/>
        <v>97.647058823529406</v>
      </c>
      <c r="N130" s="8">
        <v>3</v>
      </c>
      <c r="O130" s="7" t="s">
        <v>125</v>
      </c>
      <c r="P130" s="3">
        <f>N130*VLOOKUP(O130,'Ingredient costs'!$A$2:$B$536,2, FALSE)</f>
        <v>1080</v>
      </c>
      <c r="Q130" s="8">
        <v>1</v>
      </c>
      <c r="R130" s="7" t="s">
        <v>231</v>
      </c>
      <c r="S130" s="3">
        <f>Q130*VLOOKUP(R130,'Ingredient costs'!$A$2:$B$536,2, FALSE)</f>
        <v>2052</v>
      </c>
      <c r="T130" s="8">
        <v>2</v>
      </c>
      <c r="U130" s="7" t="s">
        <v>229</v>
      </c>
      <c r="V130" s="3">
        <f>T130*VLOOKUP(U130,'Ingredient costs'!$A$2:$B$536,2, FALSE)</f>
        <v>3600</v>
      </c>
      <c r="X130" s="3" t="s">
        <v>23</v>
      </c>
      <c r="Y130" s="3">
        <f>W130*VLOOKUP(X130,'Ingredient costs'!$A$2:$B$536,2, FALSE)</f>
        <v>0</v>
      </c>
      <c r="AA130" s="3" t="s">
        <v>23</v>
      </c>
      <c r="AB130" s="3">
        <f>Z130*VLOOKUP(AA130,'Ingredient costs'!$A$2:$B$536,2, FALSE)</f>
        <v>0</v>
      </c>
    </row>
    <row r="131" spans="1:28" ht="15" x14ac:dyDescent="0.25">
      <c r="A131" s="4" t="s">
        <v>236</v>
      </c>
      <c r="B131" s="4" t="s">
        <v>237</v>
      </c>
      <c r="C131" s="4">
        <v>26</v>
      </c>
      <c r="D131" s="4">
        <v>468</v>
      </c>
      <c r="E131" s="4">
        <f t="shared" si="0"/>
        <v>216</v>
      </c>
      <c r="F131" s="4">
        <f t="shared" si="1"/>
        <v>252</v>
      </c>
      <c r="G131" s="4">
        <v>6</v>
      </c>
      <c r="H131" s="4">
        <v>30</v>
      </c>
      <c r="I131" s="4">
        <v>25</v>
      </c>
      <c r="J131" s="4">
        <f t="shared" si="2"/>
        <v>50.400000000000006</v>
      </c>
      <c r="K131" s="4">
        <f t="shared" si="3"/>
        <v>60.480000000000004</v>
      </c>
      <c r="L131" s="4">
        <f t="shared" si="4"/>
        <v>12</v>
      </c>
      <c r="M131" s="4">
        <f t="shared" si="5"/>
        <v>14.399999999999999</v>
      </c>
      <c r="N131" s="5">
        <v>3</v>
      </c>
      <c r="O131" s="6" t="s">
        <v>80</v>
      </c>
      <c r="P131" s="3">
        <f>N131*VLOOKUP(O131,'Ingredient costs'!$A$2:$B$536,2, FALSE)</f>
        <v>216</v>
      </c>
      <c r="R131" s="3" t="s">
        <v>23</v>
      </c>
      <c r="S131" s="3">
        <f>Q131*VLOOKUP(R131,'Ingredient costs'!$A$2:$B$536,2, FALSE)</f>
        <v>0</v>
      </c>
      <c r="U131" s="3" t="s">
        <v>23</v>
      </c>
      <c r="V131" s="3">
        <f>T131*VLOOKUP(U131,'Ingredient costs'!$A$2:$B$536,2, FALSE)</f>
        <v>0</v>
      </c>
      <c r="X131" s="3" t="s">
        <v>23</v>
      </c>
      <c r="Y131" s="3">
        <f>W131*VLOOKUP(X131,'Ingredient costs'!$A$2:$B$536,2, FALSE)</f>
        <v>0</v>
      </c>
      <c r="AA131" s="3" t="s">
        <v>23</v>
      </c>
      <c r="AB131" s="3">
        <f>Z131*VLOOKUP(AA131,'Ingredient costs'!$A$2:$B$536,2, FALSE)</f>
        <v>0</v>
      </c>
    </row>
    <row r="132" spans="1:28" ht="15" x14ac:dyDescent="0.25">
      <c r="A132" s="4" t="s">
        <v>236</v>
      </c>
      <c r="B132" s="4" t="s">
        <v>238</v>
      </c>
      <c r="C132" s="4">
        <v>28</v>
      </c>
      <c r="D132" s="4">
        <v>1296</v>
      </c>
      <c r="E132" s="4">
        <f t="shared" si="0"/>
        <v>792</v>
      </c>
      <c r="F132" s="4">
        <f t="shared" si="1"/>
        <v>504</v>
      </c>
      <c r="G132" s="4">
        <v>15</v>
      </c>
      <c r="H132" s="4">
        <v>120</v>
      </c>
      <c r="I132" s="4">
        <v>102</v>
      </c>
      <c r="J132" s="4">
        <f t="shared" si="2"/>
        <v>25.200000000000003</v>
      </c>
      <c r="K132" s="4">
        <f t="shared" si="3"/>
        <v>29.647058823529413</v>
      </c>
      <c r="L132" s="4">
        <f t="shared" si="4"/>
        <v>7.5</v>
      </c>
      <c r="M132" s="4">
        <f t="shared" si="5"/>
        <v>8.8235294117647065</v>
      </c>
      <c r="N132" s="5">
        <v>2</v>
      </c>
      <c r="O132" s="6" t="s">
        <v>105</v>
      </c>
      <c r="P132" s="3">
        <f>N132*VLOOKUP(O132,'Ingredient costs'!$A$2:$B$536,2, FALSE)</f>
        <v>792</v>
      </c>
      <c r="R132" s="3" t="s">
        <v>23</v>
      </c>
      <c r="S132" s="3">
        <f>Q132*VLOOKUP(R132,'Ingredient costs'!$A$2:$B$536,2, FALSE)</f>
        <v>0</v>
      </c>
      <c r="U132" s="3" t="s">
        <v>23</v>
      </c>
      <c r="V132" s="3">
        <f>T132*VLOOKUP(U132,'Ingredient costs'!$A$2:$B$536,2, FALSE)</f>
        <v>0</v>
      </c>
      <c r="X132" s="3" t="s">
        <v>23</v>
      </c>
      <c r="Y132" s="3">
        <f>W132*VLOOKUP(X132,'Ingredient costs'!$A$2:$B$536,2, FALSE)</f>
        <v>0</v>
      </c>
      <c r="AA132" s="3" t="s">
        <v>23</v>
      </c>
      <c r="AB132" s="3">
        <f>Z132*VLOOKUP(AA132,'Ingredient costs'!$A$2:$B$536,2, FALSE)</f>
        <v>0</v>
      </c>
    </row>
    <row r="133" spans="1:28" ht="15" x14ac:dyDescent="0.25">
      <c r="A133" s="4" t="s">
        <v>236</v>
      </c>
      <c r="B133" s="4" t="s">
        <v>179</v>
      </c>
      <c r="C133" s="4">
        <v>30</v>
      </c>
      <c r="D133" s="4">
        <v>2160</v>
      </c>
      <c r="E133" s="4">
        <f t="shared" si="0"/>
        <v>1368</v>
      </c>
      <c r="F133" s="4">
        <f t="shared" si="1"/>
        <v>792</v>
      </c>
      <c r="G133" s="4">
        <v>26</v>
      </c>
      <c r="H133" s="4">
        <v>150</v>
      </c>
      <c r="I133" s="4">
        <v>127</v>
      </c>
      <c r="J133" s="4">
        <f t="shared" si="2"/>
        <v>31.68</v>
      </c>
      <c r="K133" s="4">
        <f t="shared" si="3"/>
        <v>37.417322834645667</v>
      </c>
      <c r="L133" s="4">
        <f t="shared" si="4"/>
        <v>10.4</v>
      </c>
      <c r="M133" s="4">
        <f t="shared" si="5"/>
        <v>12.283464566929133</v>
      </c>
      <c r="N133" s="5">
        <v>2</v>
      </c>
      <c r="O133" s="6" t="s">
        <v>96</v>
      </c>
      <c r="P133" s="3">
        <f>N133*VLOOKUP(O133,'Ingredient costs'!$A$2:$B$536,2, FALSE)</f>
        <v>1368</v>
      </c>
      <c r="R133" s="3" t="s">
        <v>23</v>
      </c>
      <c r="S133" s="3">
        <f>Q133*VLOOKUP(R133,'Ingredient costs'!$A$2:$B$536,2, FALSE)</f>
        <v>0</v>
      </c>
      <c r="U133" s="3" t="s">
        <v>23</v>
      </c>
      <c r="V133" s="3">
        <f>T133*VLOOKUP(U133,'Ingredient costs'!$A$2:$B$536,2, FALSE)</f>
        <v>0</v>
      </c>
      <c r="X133" s="3" t="s">
        <v>23</v>
      </c>
      <c r="Y133" s="3">
        <f>W133*VLOOKUP(X133,'Ingredient costs'!$A$2:$B$536,2, FALSE)</f>
        <v>0</v>
      </c>
      <c r="AA133" s="3" t="s">
        <v>23</v>
      </c>
      <c r="AB133" s="3">
        <f>Z133*VLOOKUP(AA133,'Ingredient costs'!$A$2:$B$536,2, FALSE)</f>
        <v>0</v>
      </c>
    </row>
    <row r="134" spans="1:28" ht="15" x14ac:dyDescent="0.25">
      <c r="A134" s="4" t="s">
        <v>236</v>
      </c>
      <c r="B134" s="4" t="s">
        <v>239</v>
      </c>
      <c r="C134" s="4">
        <v>31</v>
      </c>
      <c r="D134" s="4">
        <v>1620</v>
      </c>
      <c r="E134" s="4">
        <f t="shared" si="0"/>
        <v>1296</v>
      </c>
      <c r="F134" s="4">
        <f t="shared" si="1"/>
        <v>324</v>
      </c>
      <c r="G134" s="4">
        <v>19</v>
      </c>
      <c r="H134" s="4">
        <v>90</v>
      </c>
      <c r="I134" s="4">
        <v>76</v>
      </c>
      <c r="J134" s="4">
        <f t="shared" si="2"/>
        <v>21.599999999999998</v>
      </c>
      <c r="K134" s="4">
        <f t="shared" si="3"/>
        <v>25.578947368421055</v>
      </c>
      <c r="L134" s="4">
        <f t="shared" si="4"/>
        <v>12.666666666666666</v>
      </c>
      <c r="M134" s="4">
        <f t="shared" si="5"/>
        <v>15</v>
      </c>
      <c r="N134" s="5">
        <v>3</v>
      </c>
      <c r="O134" s="6" t="s">
        <v>34</v>
      </c>
      <c r="P134" s="3">
        <f>N134*VLOOKUP(O134,'Ingredient costs'!$A$2:$B$536,2, FALSE)</f>
        <v>1296</v>
      </c>
      <c r="R134" s="3" t="s">
        <v>23</v>
      </c>
      <c r="S134" s="3">
        <f>Q134*VLOOKUP(R134,'Ingredient costs'!$A$2:$B$536,2, FALSE)</f>
        <v>0</v>
      </c>
      <c r="U134" s="3" t="s">
        <v>23</v>
      </c>
      <c r="V134" s="3">
        <f>T134*VLOOKUP(U134,'Ingredient costs'!$A$2:$B$536,2, FALSE)</f>
        <v>0</v>
      </c>
      <c r="X134" s="3" t="s">
        <v>23</v>
      </c>
      <c r="Y134" s="3">
        <f>W134*VLOOKUP(X134,'Ingredient costs'!$A$2:$B$536,2, FALSE)</f>
        <v>0</v>
      </c>
      <c r="AA134" s="3" t="s">
        <v>23</v>
      </c>
      <c r="AB134" s="3">
        <f>Z134*VLOOKUP(AA134,'Ingredient costs'!$A$2:$B$536,2, FALSE)</f>
        <v>0</v>
      </c>
    </row>
    <row r="135" spans="1:28" ht="15" x14ac:dyDescent="0.25">
      <c r="A135" s="4" t="s">
        <v>236</v>
      </c>
      <c r="B135" s="4" t="s">
        <v>240</v>
      </c>
      <c r="C135" s="4">
        <v>31</v>
      </c>
      <c r="D135" s="4">
        <v>2052</v>
      </c>
      <c r="E135" s="4">
        <f t="shared" si="0"/>
        <v>1296</v>
      </c>
      <c r="F135" s="4">
        <f t="shared" si="1"/>
        <v>756</v>
      </c>
      <c r="G135" s="4">
        <v>24</v>
      </c>
      <c r="H135" s="4">
        <v>180</v>
      </c>
      <c r="I135" s="4">
        <v>153</v>
      </c>
      <c r="J135" s="4">
        <f t="shared" si="2"/>
        <v>25.200000000000003</v>
      </c>
      <c r="K135" s="4">
        <f t="shared" si="3"/>
        <v>29.647058823529413</v>
      </c>
      <c r="L135" s="4">
        <f t="shared" si="4"/>
        <v>8</v>
      </c>
      <c r="M135" s="4">
        <f t="shared" si="5"/>
        <v>9.4117647058823533</v>
      </c>
      <c r="N135" s="5">
        <v>1</v>
      </c>
      <c r="O135" s="6" t="s">
        <v>32</v>
      </c>
      <c r="P135" s="3">
        <f>N135*VLOOKUP(O135,'Ingredient costs'!$A$2:$B$536,2, FALSE)</f>
        <v>828</v>
      </c>
      <c r="Q135" s="3">
        <v>1</v>
      </c>
      <c r="R135" s="3" t="s">
        <v>30</v>
      </c>
      <c r="S135" s="3">
        <f>Q135*VLOOKUP(R135,'Ingredient costs'!$A$2:$B$536,2, FALSE)</f>
        <v>468</v>
      </c>
      <c r="U135" s="3" t="s">
        <v>23</v>
      </c>
      <c r="V135" s="3">
        <f>T135*VLOOKUP(U135,'Ingredient costs'!$A$2:$B$536,2, FALSE)</f>
        <v>0</v>
      </c>
      <c r="X135" s="3" t="s">
        <v>23</v>
      </c>
      <c r="Y135" s="3">
        <f>W135*VLOOKUP(X135,'Ingredient costs'!$A$2:$B$536,2, FALSE)</f>
        <v>0</v>
      </c>
      <c r="AA135" s="3" t="s">
        <v>23</v>
      </c>
      <c r="AB135" s="3">
        <f>Z135*VLOOKUP(AA135,'Ingredient costs'!$A$2:$B$536,2, FALSE)</f>
        <v>0</v>
      </c>
    </row>
    <row r="136" spans="1:28" ht="15" x14ac:dyDescent="0.25">
      <c r="A136" s="4" t="s">
        <v>236</v>
      </c>
      <c r="B136" s="4" t="s">
        <v>241</v>
      </c>
      <c r="C136" s="4">
        <v>52</v>
      </c>
      <c r="D136" s="4">
        <v>684</v>
      </c>
      <c r="E136" s="4">
        <f t="shared" si="0"/>
        <v>432</v>
      </c>
      <c r="F136" s="4">
        <f t="shared" si="1"/>
        <v>252</v>
      </c>
      <c r="G136" s="4">
        <v>8</v>
      </c>
      <c r="H136" s="4">
        <v>45</v>
      </c>
      <c r="I136" s="4">
        <v>38</v>
      </c>
      <c r="J136" s="4">
        <f t="shared" si="2"/>
        <v>33.599999999999994</v>
      </c>
      <c r="K136" s="4">
        <f t="shared" si="3"/>
        <v>39.789473684210527</v>
      </c>
      <c r="L136" s="4">
        <f t="shared" si="4"/>
        <v>10.666666666666668</v>
      </c>
      <c r="M136" s="4">
        <f t="shared" si="5"/>
        <v>12.631578947368421</v>
      </c>
      <c r="N136" s="5">
        <v>3</v>
      </c>
      <c r="O136" s="6" t="s">
        <v>110</v>
      </c>
      <c r="P136" s="3">
        <f>N136*VLOOKUP(O136,'Ingredient costs'!$A$2:$B$536,2, FALSE)</f>
        <v>432</v>
      </c>
      <c r="R136" s="3" t="s">
        <v>23</v>
      </c>
      <c r="S136" s="3">
        <f>Q136*VLOOKUP(R136,'Ingredient costs'!$A$2:$B$536,2, FALSE)</f>
        <v>0</v>
      </c>
      <c r="U136" s="3" t="s">
        <v>23</v>
      </c>
      <c r="V136" s="3">
        <f>T136*VLOOKUP(U136,'Ingredient costs'!$A$2:$B$536,2, FALSE)</f>
        <v>0</v>
      </c>
      <c r="X136" s="3" t="s">
        <v>23</v>
      </c>
      <c r="Y136" s="3">
        <f>W136*VLOOKUP(X136,'Ingredient costs'!$A$2:$B$536,2, FALSE)</f>
        <v>0</v>
      </c>
      <c r="AA136" s="3" t="s">
        <v>23</v>
      </c>
      <c r="AB136" s="3">
        <f>Z136*VLOOKUP(AA136,'Ingredient costs'!$A$2:$B$536,2, FALSE)</f>
        <v>0</v>
      </c>
    </row>
    <row r="137" spans="1:28" ht="15" x14ac:dyDescent="0.25">
      <c r="A137" s="4" t="s">
        <v>236</v>
      </c>
      <c r="B137" s="4" t="s">
        <v>242</v>
      </c>
      <c r="C137" s="4">
        <v>71</v>
      </c>
      <c r="D137" s="4">
        <v>2340</v>
      </c>
      <c r="E137" s="4">
        <f t="shared" si="0"/>
        <v>1944</v>
      </c>
      <c r="F137" s="4">
        <f t="shared" si="1"/>
        <v>396</v>
      </c>
      <c r="G137" s="4">
        <v>28</v>
      </c>
      <c r="H137" s="4">
        <v>120</v>
      </c>
      <c r="I137" s="4">
        <v>102</v>
      </c>
      <c r="J137" s="4">
        <f t="shared" si="2"/>
        <v>19.799999999999997</v>
      </c>
      <c r="K137" s="4">
        <f t="shared" si="3"/>
        <v>23.294117647058822</v>
      </c>
      <c r="L137" s="4">
        <f t="shared" si="4"/>
        <v>14</v>
      </c>
      <c r="M137" s="4">
        <f t="shared" si="5"/>
        <v>16.47058823529412</v>
      </c>
      <c r="N137" s="5">
        <v>2</v>
      </c>
      <c r="O137" s="6" t="s">
        <v>114</v>
      </c>
      <c r="P137" s="3">
        <f>N137*VLOOKUP(O137,'Ingredient costs'!$A$2:$B$536,2, FALSE)</f>
        <v>1944</v>
      </c>
      <c r="R137" s="3" t="s">
        <v>23</v>
      </c>
      <c r="S137" s="3">
        <f>Q137*VLOOKUP(R137,'Ingredient costs'!$A$2:$B$536,2, FALSE)</f>
        <v>0</v>
      </c>
      <c r="U137" s="3" t="s">
        <v>23</v>
      </c>
      <c r="V137" s="3">
        <f>T137*VLOOKUP(U137,'Ingredient costs'!$A$2:$B$536,2, FALSE)</f>
        <v>0</v>
      </c>
      <c r="X137" s="3" t="s">
        <v>23</v>
      </c>
      <c r="Y137" s="3">
        <f>W137*VLOOKUP(X137,'Ingredient costs'!$A$2:$B$536,2, FALSE)</f>
        <v>0</v>
      </c>
      <c r="AA137" s="3" t="s">
        <v>23</v>
      </c>
      <c r="AB137" s="3">
        <f>Z137*VLOOKUP(AA137,'Ingredient costs'!$A$2:$B$536,2, FALSE)</f>
        <v>0</v>
      </c>
    </row>
    <row r="138" spans="1:28" ht="15" x14ac:dyDescent="0.25">
      <c r="A138" s="4" t="s">
        <v>236</v>
      </c>
      <c r="B138" s="4" t="s">
        <v>243</v>
      </c>
      <c r="C138" s="4">
        <v>84</v>
      </c>
      <c r="D138" s="4">
        <v>1044</v>
      </c>
      <c r="E138" s="4">
        <f t="shared" si="0"/>
        <v>648</v>
      </c>
      <c r="F138" s="4">
        <f t="shared" si="1"/>
        <v>396</v>
      </c>
      <c r="G138" s="4">
        <v>13</v>
      </c>
      <c r="H138" s="4">
        <v>150</v>
      </c>
      <c r="I138" s="4">
        <v>127</v>
      </c>
      <c r="J138" s="4">
        <f t="shared" si="2"/>
        <v>15.84</v>
      </c>
      <c r="K138" s="4">
        <f t="shared" si="3"/>
        <v>18.708661417322833</v>
      </c>
      <c r="L138" s="4">
        <f t="shared" si="4"/>
        <v>5.2</v>
      </c>
      <c r="M138" s="4">
        <f t="shared" si="5"/>
        <v>6.1417322834645667</v>
      </c>
      <c r="N138" s="5">
        <v>2</v>
      </c>
      <c r="O138" s="6" t="s">
        <v>49</v>
      </c>
      <c r="P138" s="3">
        <f>N138*VLOOKUP(O138,'Ingredient costs'!$A$2:$B$536,2, FALSE)</f>
        <v>648</v>
      </c>
      <c r="R138" s="3" t="s">
        <v>23</v>
      </c>
      <c r="S138" s="3">
        <f>Q138*VLOOKUP(R138,'Ingredient costs'!$A$2:$B$536,2, FALSE)</f>
        <v>0</v>
      </c>
      <c r="U138" s="3" t="s">
        <v>23</v>
      </c>
      <c r="V138" s="3">
        <f>T138*VLOOKUP(U138,'Ingredient costs'!$A$2:$B$536,2, FALSE)</f>
        <v>0</v>
      </c>
      <c r="X138" s="3" t="s">
        <v>23</v>
      </c>
      <c r="Y138" s="3">
        <f>W138*VLOOKUP(X138,'Ingredient costs'!$A$2:$B$536,2, FALSE)</f>
        <v>0</v>
      </c>
      <c r="AA138" s="3" t="s">
        <v>23</v>
      </c>
      <c r="AB138" s="3">
        <f>Z138*VLOOKUP(AA138,'Ingredient costs'!$A$2:$B$536,2, FALSE)</f>
        <v>0</v>
      </c>
    </row>
    <row r="139" spans="1:28" ht="15" x14ac:dyDescent="0.25">
      <c r="A139" s="4" t="s">
        <v>236</v>
      </c>
      <c r="B139" s="4" t="s">
        <v>244</v>
      </c>
      <c r="C139" s="4">
        <v>88</v>
      </c>
      <c r="D139" s="4">
        <v>648</v>
      </c>
      <c r="E139" s="4">
        <f t="shared" si="0"/>
        <v>360</v>
      </c>
      <c r="F139" s="4">
        <f t="shared" si="1"/>
        <v>288</v>
      </c>
      <c r="G139" s="4">
        <v>8</v>
      </c>
      <c r="H139" s="4">
        <v>45</v>
      </c>
      <c r="I139" s="4">
        <v>38</v>
      </c>
      <c r="J139" s="4">
        <f t="shared" si="2"/>
        <v>38.4</v>
      </c>
      <c r="K139" s="4">
        <f t="shared" si="3"/>
        <v>45.473684210526308</v>
      </c>
      <c r="L139" s="4">
        <f t="shared" si="4"/>
        <v>10.666666666666668</v>
      </c>
      <c r="M139" s="4">
        <f t="shared" si="5"/>
        <v>12.631578947368421</v>
      </c>
      <c r="N139" s="5">
        <v>2</v>
      </c>
      <c r="O139" s="6" t="s">
        <v>225</v>
      </c>
      <c r="P139" s="3">
        <f>N139*VLOOKUP(O139,'Ingredient costs'!$A$2:$B$536,2, FALSE)</f>
        <v>360</v>
      </c>
      <c r="R139" s="3" t="s">
        <v>23</v>
      </c>
      <c r="S139" s="3">
        <f>Q139*VLOOKUP(R139,'Ingredient costs'!$A$2:$B$536,2, FALSE)</f>
        <v>0</v>
      </c>
      <c r="U139" s="3" t="s">
        <v>23</v>
      </c>
      <c r="V139" s="3">
        <f>T139*VLOOKUP(U139,'Ingredient costs'!$A$2:$B$536,2, FALSE)</f>
        <v>0</v>
      </c>
      <c r="X139" s="3" t="s">
        <v>23</v>
      </c>
      <c r="Y139" s="3">
        <f>W139*VLOOKUP(X139,'Ingredient costs'!$A$2:$B$536,2, FALSE)</f>
        <v>0</v>
      </c>
      <c r="AA139" s="3" t="s">
        <v>23</v>
      </c>
      <c r="AB139" s="3">
        <f>Z139*VLOOKUP(AA139,'Ingredient costs'!$A$2:$B$536,2, FALSE)</f>
        <v>0</v>
      </c>
    </row>
    <row r="140" spans="1:28" ht="15" x14ac:dyDescent="0.25">
      <c r="A140" s="4" t="s">
        <v>236</v>
      </c>
      <c r="B140" s="4" t="s">
        <v>245</v>
      </c>
      <c r="C140" s="4">
        <v>92</v>
      </c>
      <c r="D140" s="4">
        <v>1080</v>
      </c>
      <c r="E140" s="4">
        <f t="shared" si="0"/>
        <v>792</v>
      </c>
      <c r="F140" s="4">
        <f t="shared" si="1"/>
        <v>288</v>
      </c>
      <c r="G140" s="4">
        <v>13</v>
      </c>
      <c r="H140" s="4">
        <v>60</v>
      </c>
      <c r="I140" s="4">
        <v>51</v>
      </c>
      <c r="J140" s="4">
        <f t="shared" si="2"/>
        <v>28.799999999999997</v>
      </c>
      <c r="K140" s="4">
        <f t="shared" si="3"/>
        <v>33.882352941176471</v>
      </c>
      <c r="L140" s="4">
        <f t="shared" si="4"/>
        <v>13</v>
      </c>
      <c r="M140" s="4">
        <f t="shared" si="5"/>
        <v>15.294117647058822</v>
      </c>
      <c r="N140" s="8">
        <v>2</v>
      </c>
      <c r="O140" s="7" t="s">
        <v>246</v>
      </c>
      <c r="P140" s="3">
        <f>N140*VLOOKUP(O140,'Ingredient costs'!$A$2:$B$536,2, FALSE)</f>
        <v>792</v>
      </c>
      <c r="R140" s="3" t="s">
        <v>23</v>
      </c>
      <c r="S140" s="3">
        <f>Q140*VLOOKUP(R140,'Ingredient costs'!$A$2:$B$536,2, FALSE)</f>
        <v>0</v>
      </c>
      <c r="U140" s="3" t="s">
        <v>23</v>
      </c>
      <c r="V140" s="3">
        <f>T140*VLOOKUP(U140,'Ingredient costs'!$A$2:$B$536,2, FALSE)</f>
        <v>0</v>
      </c>
      <c r="X140" s="3" t="s">
        <v>23</v>
      </c>
      <c r="Y140" s="3">
        <f>W140*VLOOKUP(X140,'Ingredient costs'!$A$2:$B$536,2, FALSE)</f>
        <v>0</v>
      </c>
      <c r="AA140" s="3" t="s">
        <v>23</v>
      </c>
      <c r="AB140" s="3">
        <f>Z140*VLOOKUP(AA140,'Ingredient costs'!$A$2:$B$536,2, FALSE)</f>
        <v>0</v>
      </c>
    </row>
    <row r="141" spans="1:28" ht="15" x14ac:dyDescent="0.25">
      <c r="A141" s="4" t="s">
        <v>247</v>
      </c>
      <c r="B141" s="4" t="s">
        <v>248</v>
      </c>
      <c r="C141" s="4">
        <v>17</v>
      </c>
      <c r="D141" s="4">
        <v>1512</v>
      </c>
      <c r="E141" s="4">
        <f t="shared" si="0"/>
        <v>1080</v>
      </c>
      <c r="F141" s="4">
        <f t="shared" si="1"/>
        <v>432</v>
      </c>
      <c r="G141" s="4">
        <v>18</v>
      </c>
      <c r="H141" s="4">
        <v>120</v>
      </c>
      <c r="I141" s="4">
        <v>102</v>
      </c>
      <c r="J141" s="4">
        <f t="shared" si="2"/>
        <v>21.599999999999998</v>
      </c>
      <c r="K141" s="4">
        <f t="shared" si="3"/>
        <v>25.411764705882351</v>
      </c>
      <c r="L141" s="4">
        <f t="shared" si="4"/>
        <v>9</v>
      </c>
      <c r="M141" s="4">
        <f t="shared" si="5"/>
        <v>10.588235294117649</v>
      </c>
      <c r="N141" s="5">
        <v>2</v>
      </c>
      <c r="O141" s="6" t="s">
        <v>189</v>
      </c>
      <c r="P141" s="3">
        <f>N141*VLOOKUP(O141,'Ingredient costs'!$A$2:$B$536,2, FALSE)</f>
        <v>1080</v>
      </c>
      <c r="R141" s="3" t="s">
        <v>23</v>
      </c>
      <c r="S141" s="3">
        <f>Q141*VLOOKUP(R141,'Ingredient costs'!$A$2:$B$536,2, FALSE)</f>
        <v>0</v>
      </c>
      <c r="U141" s="3" t="s">
        <v>23</v>
      </c>
      <c r="V141" s="3">
        <f>T141*VLOOKUP(U141,'Ingredient costs'!$A$2:$B$536,2, FALSE)</f>
        <v>0</v>
      </c>
      <c r="X141" s="3" t="s">
        <v>23</v>
      </c>
      <c r="Y141" s="3">
        <f>W141*VLOOKUP(X141,'Ingredient costs'!$A$2:$B$536,2, FALSE)</f>
        <v>0</v>
      </c>
      <c r="AA141" s="3" t="s">
        <v>23</v>
      </c>
      <c r="AB141" s="3">
        <f>Z141*VLOOKUP(AA141,'Ingredient costs'!$A$2:$B$536,2, FALSE)</f>
        <v>0</v>
      </c>
    </row>
    <row r="142" spans="1:28" ht="15" x14ac:dyDescent="0.25">
      <c r="A142" s="4" t="s">
        <v>247</v>
      </c>
      <c r="B142" s="4" t="s">
        <v>175</v>
      </c>
      <c r="C142" s="4">
        <v>18</v>
      </c>
      <c r="D142" s="4">
        <v>1080</v>
      </c>
      <c r="E142" s="4">
        <f t="shared" si="0"/>
        <v>864</v>
      </c>
      <c r="F142" s="4">
        <f t="shared" si="1"/>
        <v>216</v>
      </c>
      <c r="G142" s="4">
        <v>13</v>
      </c>
      <c r="H142" s="4">
        <v>30</v>
      </c>
      <c r="I142" s="4">
        <v>25</v>
      </c>
      <c r="J142" s="4">
        <f t="shared" si="2"/>
        <v>43.199999999999996</v>
      </c>
      <c r="K142" s="4">
        <f t="shared" si="3"/>
        <v>51.84</v>
      </c>
      <c r="L142" s="4">
        <f t="shared" si="4"/>
        <v>26</v>
      </c>
      <c r="M142" s="4">
        <f t="shared" si="5"/>
        <v>31.200000000000003</v>
      </c>
      <c r="N142" s="5">
        <v>3</v>
      </c>
      <c r="O142" s="6" t="s">
        <v>171</v>
      </c>
      <c r="P142" s="3">
        <f>N142*VLOOKUP(O142,'Ingredient costs'!$A$2:$B$536,2, FALSE)</f>
        <v>864</v>
      </c>
      <c r="R142" s="3" t="s">
        <v>23</v>
      </c>
      <c r="S142" s="3">
        <f>Q142*VLOOKUP(R142,'Ingredient costs'!$A$2:$B$536,2, FALSE)</f>
        <v>0</v>
      </c>
      <c r="U142" s="3" t="s">
        <v>23</v>
      </c>
      <c r="V142" s="3">
        <f>T142*VLOOKUP(U142,'Ingredient costs'!$A$2:$B$536,2, FALSE)</f>
        <v>0</v>
      </c>
      <c r="X142" s="3" t="s">
        <v>23</v>
      </c>
      <c r="Y142" s="3">
        <f>W142*VLOOKUP(X142,'Ingredient costs'!$A$2:$B$536,2, FALSE)</f>
        <v>0</v>
      </c>
      <c r="AA142" s="3" t="s">
        <v>23</v>
      </c>
      <c r="AB142" s="3">
        <f>Z142*VLOOKUP(AA142,'Ingredient costs'!$A$2:$B$536,2, FALSE)</f>
        <v>0</v>
      </c>
    </row>
    <row r="143" spans="1:28" ht="15" x14ac:dyDescent="0.25">
      <c r="A143" s="4" t="s">
        <v>247</v>
      </c>
      <c r="B143" s="4" t="s">
        <v>249</v>
      </c>
      <c r="C143" s="4">
        <v>19</v>
      </c>
      <c r="D143" s="4">
        <v>1116</v>
      </c>
      <c r="E143" s="4">
        <f t="shared" si="0"/>
        <v>792</v>
      </c>
      <c r="F143" s="4">
        <f t="shared" si="1"/>
        <v>324</v>
      </c>
      <c r="G143" s="4">
        <v>13</v>
      </c>
      <c r="H143" s="4">
        <v>60</v>
      </c>
      <c r="I143" s="4">
        <v>51</v>
      </c>
      <c r="J143" s="4">
        <f t="shared" si="2"/>
        <v>32.400000000000006</v>
      </c>
      <c r="K143" s="4">
        <f t="shared" si="3"/>
        <v>38.117647058823529</v>
      </c>
      <c r="L143" s="4">
        <f t="shared" si="4"/>
        <v>13</v>
      </c>
      <c r="M143" s="4">
        <f t="shared" si="5"/>
        <v>15.294117647058822</v>
      </c>
      <c r="N143" s="5">
        <v>1</v>
      </c>
      <c r="O143" s="6" t="s">
        <v>189</v>
      </c>
      <c r="P143" s="3">
        <f>N143*VLOOKUP(O143,'Ingredient costs'!$A$2:$B$536,2, FALSE)</f>
        <v>540</v>
      </c>
      <c r="Q143" s="5">
        <v>1</v>
      </c>
      <c r="R143" s="6" t="s">
        <v>124</v>
      </c>
      <c r="S143" s="3">
        <f>Q143*VLOOKUP(R143,'Ingredient costs'!$A$2:$B$536,2, FALSE)</f>
        <v>252</v>
      </c>
      <c r="U143" s="3" t="s">
        <v>23</v>
      </c>
      <c r="V143" s="3">
        <f>T143*VLOOKUP(U143,'Ingredient costs'!$A$2:$B$536,2, FALSE)</f>
        <v>0</v>
      </c>
      <c r="X143" s="3" t="s">
        <v>23</v>
      </c>
      <c r="Y143" s="3">
        <f>W143*VLOOKUP(X143,'Ingredient costs'!$A$2:$B$536,2, FALSE)</f>
        <v>0</v>
      </c>
      <c r="AA143" s="3" t="s">
        <v>23</v>
      </c>
      <c r="AB143" s="3">
        <f>Z143*VLOOKUP(AA143,'Ingredient costs'!$A$2:$B$536,2, FALSE)</f>
        <v>0</v>
      </c>
    </row>
    <row r="144" spans="1:28" ht="15" x14ac:dyDescent="0.25">
      <c r="A144" s="4" t="s">
        <v>247</v>
      </c>
      <c r="B144" s="4" t="s">
        <v>250</v>
      </c>
      <c r="C144" s="4">
        <v>20</v>
      </c>
      <c r="D144" s="4">
        <v>2088</v>
      </c>
      <c r="E144" s="4">
        <f t="shared" si="0"/>
        <v>1584</v>
      </c>
      <c r="F144" s="4">
        <f t="shared" si="1"/>
        <v>504</v>
      </c>
      <c r="G144" s="4">
        <v>25</v>
      </c>
      <c r="H144" s="4">
        <v>180</v>
      </c>
      <c r="I144" s="4">
        <v>153</v>
      </c>
      <c r="J144" s="4">
        <f t="shared" si="2"/>
        <v>16.799999999999997</v>
      </c>
      <c r="K144" s="4">
        <f t="shared" si="3"/>
        <v>19.764705882352942</v>
      </c>
      <c r="L144" s="4">
        <f t="shared" si="4"/>
        <v>8.3333333333333339</v>
      </c>
      <c r="M144" s="4">
        <f t="shared" si="5"/>
        <v>9.8039215686274517</v>
      </c>
      <c r="N144" s="5">
        <v>2</v>
      </c>
      <c r="O144" s="6" t="s">
        <v>189</v>
      </c>
      <c r="P144" s="3">
        <f>N144*VLOOKUP(O144,'Ingredient costs'!$A$2:$B$536,2, FALSE)</f>
        <v>1080</v>
      </c>
      <c r="Q144" s="5">
        <v>2</v>
      </c>
      <c r="R144" s="6" t="s">
        <v>124</v>
      </c>
      <c r="S144" s="3">
        <f>Q144*VLOOKUP(R144,'Ingredient costs'!$A$2:$B$536,2, FALSE)</f>
        <v>504</v>
      </c>
      <c r="U144" s="3" t="s">
        <v>23</v>
      </c>
      <c r="V144" s="3">
        <f>T144*VLOOKUP(U144,'Ingredient costs'!$A$2:$B$536,2, FALSE)</f>
        <v>0</v>
      </c>
      <c r="X144" s="3" t="s">
        <v>23</v>
      </c>
      <c r="Y144" s="3">
        <f>W144*VLOOKUP(X144,'Ingredient costs'!$A$2:$B$536,2, FALSE)</f>
        <v>0</v>
      </c>
      <c r="AA144" s="3" t="s">
        <v>23</v>
      </c>
      <c r="AB144" s="3">
        <f>Z144*VLOOKUP(AA144,'Ingredient costs'!$A$2:$B$536,2, FALSE)</f>
        <v>0</v>
      </c>
    </row>
    <row r="145" spans="1:28" ht="15" x14ac:dyDescent="0.25">
      <c r="A145" s="4" t="s">
        <v>247</v>
      </c>
      <c r="B145" s="4" t="s">
        <v>251</v>
      </c>
      <c r="C145" s="4">
        <v>48</v>
      </c>
      <c r="D145" s="4">
        <v>2880</v>
      </c>
      <c r="E145" s="4">
        <f t="shared" si="0"/>
        <v>2088</v>
      </c>
      <c r="F145" s="4">
        <f t="shared" si="1"/>
        <v>792</v>
      </c>
      <c r="G145" s="4">
        <v>34</v>
      </c>
      <c r="H145" s="4">
        <v>150</v>
      </c>
      <c r="I145" s="4">
        <v>127</v>
      </c>
      <c r="J145" s="4">
        <f t="shared" si="2"/>
        <v>31.68</v>
      </c>
      <c r="K145" s="4">
        <f t="shared" si="3"/>
        <v>37.417322834645667</v>
      </c>
      <c r="L145" s="4">
        <f t="shared" si="4"/>
        <v>13.6</v>
      </c>
      <c r="M145" s="4">
        <f t="shared" si="5"/>
        <v>16.062992125984252</v>
      </c>
      <c r="N145" s="5">
        <v>2</v>
      </c>
      <c r="O145" s="6" t="s">
        <v>189</v>
      </c>
      <c r="P145" s="3">
        <f>N145*VLOOKUP(O145,'Ingredient costs'!$A$2:$B$536,2, FALSE)</f>
        <v>1080</v>
      </c>
      <c r="Q145" s="5">
        <v>2</v>
      </c>
      <c r="R145" s="6" t="s">
        <v>100</v>
      </c>
      <c r="S145" s="3">
        <f>Q145*VLOOKUP(R145,'Ingredient costs'!$A$2:$B$536,2, FALSE)</f>
        <v>1008</v>
      </c>
      <c r="U145" s="3" t="s">
        <v>23</v>
      </c>
      <c r="V145" s="3">
        <f>T145*VLOOKUP(U145,'Ingredient costs'!$A$2:$B$536,2, FALSE)</f>
        <v>0</v>
      </c>
      <c r="X145" s="3" t="s">
        <v>23</v>
      </c>
      <c r="Y145" s="3">
        <f>W145*VLOOKUP(X145,'Ingredient costs'!$A$2:$B$536,2, FALSE)</f>
        <v>0</v>
      </c>
      <c r="AA145" s="3" t="s">
        <v>23</v>
      </c>
      <c r="AB145" s="3">
        <f>Z145*VLOOKUP(AA145,'Ingredient costs'!$A$2:$B$536,2, FALSE)</f>
        <v>0</v>
      </c>
    </row>
    <row r="146" spans="1:28" ht="15" x14ac:dyDescent="0.25">
      <c r="A146" s="4" t="s">
        <v>247</v>
      </c>
      <c r="B146" s="4" t="s">
        <v>252</v>
      </c>
      <c r="C146" s="4">
        <v>71</v>
      </c>
      <c r="D146" s="4">
        <v>2952</v>
      </c>
      <c r="E146" s="4">
        <f t="shared" si="0"/>
        <v>2556</v>
      </c>
      <c r="F146" s="4">
        <f t="shared" si="1"/>
        <v>396</v>
      </c>
      <c r="G146" s="4">
        <v>35</v>
      </c>
      <c r="H146" s="4">
        <v>90</v>
      </c>
      <c r="I146" s="4">
        <v>76</v>
      </c>
      <c r="J146" s="4">
        <f t="shared" si="2"/>
        <v>26.400000000000002</v>
      </c>
      <c r="K146" s="4">
        <f t="shared" si="3"/>
        <v>31.263157894736839</v>
      </c>
      <c r="L146" s="4">
        <f t="shared" si="4"/>
        <v>23.333333333333332</v>
      </c>
      <c r="M146" s="4">
        <f t="shared" si="5"/>
        <v>27.631578947368421</v>
      </c>
      <c r="N146" s="8">
        <v>2</v>
      </c>
      <c r="O146" s="7" t="s">
        <v>189</v>
      </c>
      <c r="P146" s="3">
        <f>N146*VLOOKUP(O146,'Ingredient costs'!$A$2:$B$536,2, FALSE)</f>
        <v>1080</v>
      </c>
      <c r="Q146" s="8">
        <v>3</v>
      </c>
      <c r="R146" s="7" t="s">
        <v>126</v>
      </c>
      <c r="S146" s="3">
        <f>Q146*VLOOKUP(R146,'Ingredient costs'!$A$2:$B$536,2, FALSE)</f>
        <v>648</v>
      </c>
      <c r="T146" s="3">
        <v>1</v>
      </c>
      <c r="U146" s="3" t="s">
        <v>32</v>
      </c>
      <c r="V146" s="3">
        <f>T146*VLOOKUP(U146,'Ingredient costs'!$A$2:$B$536,2, FALSE)</f>
        <v>828</v>
      </c>
      <c r="X146" s="3" t="s">
        <v>23</v>
      </c>
      <c r="Y146" s="3">
        <f>W146*VLOOKUP(X146,'Ingredient costs'!$A$2:$B$536,2, FALSE)</f>
        <v>0</v>
      </c>
      <c r="AA146" s="3" t="s">
        <v>23</v>
      </c>
      <c r="AB146" s="3">
        <f>Z146*VLOOKUP(AA146,'Ingredient costs'!$A$2:$B$536,2, FALSE)</f>
        <v>0</v>
      </c>
    </row>
    <row r="147" spans="1:28" ht="15" x14ac:dyDescent="0.25">
      <c r="A147" s="4" t="s">
        <v>253</v>
      </c>
      <c r="B147" s="4" t="s">
        <v>254</v>
      </c>
      <c r="C147" s="4">
        <v>27</v>
      </c>
      <c r="D147" s="4">
        <v>0</v>
      </c>
      <c r="E147" s="4">
        <f t="shared" si="0"/>
        <v>0</v>
      </c>
      <c r="F147" s="4">
        <f t="shared" si="1"/>
        <v>0</v>
      </c>
      <c r="G147" s="4">
        <v>0</v>
      </c>
      <c r="H147" s="4">
        <v>90</v>
      </c>
      <c r="I147" s="4">
        <v>76</v>
      </c>
      <c r="J147" s="4">
        <f t="shared" si="2"/>
        <v>0</v>
      </c>
      <c r="K147" s="4">
        <f t="shared" si="3"/>
        <v>0</v>
      </c>
      <c r="L147" s="4">
        <f t="shared" si="4"/>
        <v>0</v>
      </c>
      <c r="M147" s="4">
        <f t="shared" si="5"/>
        <v>0</v>
      </c>
      <c r="O147" s="3" t="s">
        <v>23</v>
      </c>
      <c r="P147" s="3">
        <f>N147*VLOOKUP(O147,'Ingredient costs'!$A$2:$B$536,2, FALSE)</f>
        <v>0</v>
      </c>
      <c r="R147" s="3" t="s">
        <v>23</v>
      </c>
      <c r="S147" s="3">
        <f>Q147*VLOOKUP(R147,'Ingredient costs'!$A$2:$B$536,2, FALSE)</f>
        <v>0</v>
      </c>
      <c r="U147" s="3" t="s">
        <v>23</v>
      </c>
      <c r="V147" s="3">
        <f>T147*VLOOKUP(U147,'Ingredient costs'!$A$2:$B$536,2, FALSE)</f>
        <v>0</v>
      </c>
      <c r="X147" s="3" t="s">
        <v>23</v>
      </c>
      <c r="Y147" s="3">
        <f>W147*VLOOKUP(X147,'Ingredient costs'!$A$2:$B$536,2, FALSE)</f>
        <v>0</v>
      </c>
      <c r="AA147" s="3" t="s">
        <v>23</v>
      </c>
      <c r="AB147" s="3">
        <f>Z147*VLOOKUP(AA147,'Ingredient costs'!$A$2:$B$536,2, FALSE)</f>
        <v>0</v>
      </c>
    </row>
    <row r="148" spans="1:28" ht="15" x14ac:dyDescent="0.25">
      <c r="A148" s="4" t="s">
        <v>253</v>
      </c>
      <c r="B148" s="4" t="s">
        <v>255</v>
      </c>
      <c r="C148" s="4">
        <v>27</v>
      </c>
      <c r="D148" s="4">
        <v>0</v>
      </c>
      <c r="E148" s="4">
        <f t="shared" si="0"/>
        <v>0</v>
      </c>
      <c r="F148" s="4">
        <f t="shared" si="1"/>
        <v>0</v>
      </c>
      <c r="G148" s="4">
        <v>0</v>
      </c>
      <c r="H148" s="4">
        <v>75</v>
      </c>
      <c r="I148" s="4">
        <v>63</v>
      </c>
      <c r="J148" s="4">
        <f t="shared" si="2"/>
        <v>0</v>
      </c>
      <c r="K148" s="4">
        <f t="shared" si="3"/>
        <v>0</v>
      </c>
      <c r="L148" s="4">
        <f t="shared" si="4"/>
        <v>0</v>
      </c>
      <c r="M148" s="4">
        <f t="shared" si="5"/>
        <v>0</v>
      </c>
      <c r="O148" s="3" t="s">
        <v>23</v>
      </c>
      <c r="P148" s="3">
        <f>N148*VLOOKUP(O148,'Ingredient costs'!$A$2:$B$536,2, FALSE)</f>
        <v>0</v>
      </c>
      <c r="R148" s="3" t="s">
        <v>23</v>
      </c>
      <c r="S148" s="3">
        <f>Q148*VLOOKUP(R148,'Ingredient costs'!$A$2:$B$536,2, FALSE)</f>
        <v>0</v>
      </c>
      <c r="U148" s="3" t="s">
        <v>23</v>
      </c>
      <c r="V148" s="3">
        <f>T148*VLOOKUP(U148,'Ingredient costs'!$A$2:$B$536,2, FALSE)</f>
        <v>0</v>
      </c>
      <c r="X148" s="3" t="s">
        <v>23</v>
      </c>
      <c r="Y148" s="3">
        <f>W148*VLOOKUP(X148,'Ingredient costs'!$A$2:$B$536,2, FALSE)</f>
        <v>0</v>
      </c>
      <c r="AA148" s="3" t="s">
        <v>23</v>
      </c>
      <c r="AB148" s="3">
        <f>Z148*VLOOKUP(AA148,'Ingredient costs'!$A$2:$B$536,2, FALSE)</f>
        <v>0</v>
      </c>
    </row>
    <row r="149" spans="1:28" ht="15" x14ac:dyDescent="0.25">
      <c r="A149" s="4" t="s">
        <v>253</v>
      </c>
      <c r="B149" s="4" t="s">
        <v>256</v>
      </c>
      <c r="C149" s="4">
        <v>27</v>
      </c>
      <c r="D149" s="4">
        <v>0</v>
      </c>
      <c r="E149" s="4">
        <f t="shared" si="0"/>
        <v>0</v>
      </c>
      <c r="F149" s="4">
        <f t="shared" si="1"/>
        <v>0</v>
      </c>
      <c r="G149" s="4">
        <v>0</v>
      </c>
      <c r="H149" s="4">
        <v>60</v>
      </c>
      <c r="I149" s="4">
        <v>51</v>
      </c>
      <c r="J149" s="4">
        <f t="shared" si="2"/>
        <v>0</v>
      </c>
      <c r="K149" s="4">
        <f t="shared" si="3"/>
        <v>0</v>
      </c>
      <c r="L149" s="4">
        <f t="shared" si="4"/>
        <v>0</v>
      </c>
      <c r="M149" s="4">
        <f t="shared" si="5"/>
        <v>0</v>
      </c>
      <c r="O149" s="3" t="s">
        <v>23</v>
      </c>
      <c r="P149" s="3">
        <f>N149*VLOOKUP(O149,'Ingredient costs'!$A$2:$B$536,2, FALSE)</f>
        <v>0</v>
      </c>
      <c r="R149" s="3" t="s">
        <v>23</v>
      </c>
      <c r="S149" s="3">
        <f>Q149*VLOOKUP(R149,'Ingredient costs'!$A$2:$B$536,2, FALSE)</f>
        <v>0</v>
      </c>
      <c r="U149" s="3" t="s">
        <v>23</v>
      </c>
      <c r="V149" s="3">
        <f>T149*VLOOKUP(U149,'Ingredient costs'!$A$2:$B$536,2, FALSE)</f>
        <v>0</v>
      </c>
      <c r="X149" s="3" t="s">
        <v>23</v>
      </c>
      <c r="Y149" s="3">
        <f>W149*VLOOKUP(X149,'Ingredient costs'!$A$2:$B$536,2, FALSE)</f>
        <v>0</v>
      </c>
      <c r="AA149" s="3" t="s">
        <v>23</v>
      </c>
      <c r="AB149" s="3">
        <f>Z149*VLOOKUP(AA149,'Ingredient costs'!$A$2:$B$536,2, FALSE)</f>
        <v>0</v>
      </c>
    </row>
    <row r="150" spans="1:28" ht="15" x14ac:dyDescent="0.25">
      <c r="A150" s="4" t="s">
        <v>253</v>
      </c>
      <c r="B150" s="4" t="s">
        <v>257</v>
      </c>
      <c r="C150" s="4">
        <v>27</v>
      </c>
      <c r="D150" s="4">
        <v>0</v>
      </c>
      <c r="E150" s="4">
        <f t="shared" si="0"/>
        <v>0</v>
      </c>
      <c r="F150" s="4">
        <f t="shared" si="1"/>
        <v>0</v>
      </c>
      <c r="G150" s="4">
        <v>0</v>
      </c>
      <c r="H150" s="4">
        <v>45</v>
      </c>
      <c r="I150" s="4">
        <v>38</v>
      </c>
      <c r="J150" s="4">
        <f t="shared" si="2"/>
        <v>0</v>
      </c>
      <c r="K150" s="4">
        <f t="shared" si="3"/>
        <v>0</v>
      </c>
      <c r="L150" s="4">
        <f t="shared" si="4"/>
        <v>0</v>
      </c>
      <c r="M150" s="4">
        <f t="shared" si="5"/>
        <v>0</v>
      </c>
      <c r="O150" s="3" t="s">
        <v>23</v>
      </c>
      <c r="P150" s="3">
        <f>N150*VLOOKUP(O150,'Ingredient costs'!$A$2:$B$536,2, FALSE)</f>
        <v>0</v>
      </c>
      <c r="R150" s="3" t="s">
        <v>23</v>
      </c>
      <c r="S150" s="3">
        <f>Q150*VLOOKUP(R150,'Ingredient costs'!$A$2:$B$536,2, FALSE)</f>
        <v>0</v>
      </c>
      <c r="U150" s="3" t="s">
        <v>23</v>
      </c>
      <c r="V150" s="3">
        <f>T150*VLOOKUP(U150,'Ingredient costs'!$A$2:$B$536,2, FALSE)</f>
        <v>0</v>
      </c>
      <c r="X150" s="3" t="s">
        <v>23</v>
      </c>
      <c r="Y150" s="3">
        <f>W150*VLOOKUP(X150,'Ingredient costs'!$A$2:$B$536,2, FALSE)</f>
        <v>0</v>
      </c>
      <c r="AA150" s="3" t="s">
        <v>23</v>
      </c>
      <c r="AB150" s="3">
        <f>Z150*VLOOKUP(AA150,'Ingredient costs'!$A$2:$B$536,2, FALSE)</f>
        <v>0</v>
      </c>
    </row>
    <row r="151" spans="1:28" ht="15" x14ac:dyDescent="0.25">
      <c r="A151" s="4" t="s">
        <v>253</v>
      </c>
      <c r="B151" s="4" t="s">
        <v>258</v>
      </c>
      <c r="C151" s="4">
        <v>27</v>
      </c>
      <c r="D151" s="4">
        <v>0</v>
      </c>
      <c r="E151" s="4">
        <f t="shared" si="0"/>
        <v>0</v>
      </c>
      <c r="F151" s="4">
        <f t="shared" si="1"/>
        <v>0</v>
      </c>
      <c r="G151" s="4">
        <v>0</v>
      </c>
      <c r="H151" s="4">
        <v>30</v>
      </c>
      <c r="I151" s="4">
        <v>25</v>
      </c>
      <c r="J151" s="4">
        <f t="shared" si="2"/>
        <v>0</v>
      </c>
      <c r="K151" s="4">
        <f t="shared" si="3"/>
        <v>0</v>
      </c>
      <c r="L151" s="4">
        <f t="shared" si="4"/>
        <v>0</v>
      </c>
      <c r="M151" s="4">
        <f t="shared" si="5"/>
        <v>0</v>
      </c>
      <c r="O151" s="3" t="s">
        <v>23</v>
      </c>
      <c r="P151" s="3">
        <f>N151*VLOOKUP(O151,'Ingredient costs'!$A$2:$B$536,2, FALSE)</f>
        <v>0</v>
      </c>
      <c r="R151" s="3" t="s">
        <v>23</v>
      </c>
      <c r="S151" s="3">
        <f>Q151*VLOOKUP(R151,'Ingredient costs'!$A$2:$B$536,2, FALSE)</f>
        <v>0</v>
      </c>
      <c r="U151" s="3" t="s">
        <v>23</v>
      </c>
      <c r="V151" s="3">
        <f>T151*VLOOKUP(U151,'Ingredient costs'!$A$2:$B$536,2, FALSE)</f>
        <v>0</v>
      </c>
      <c r="X151" s="3" t="s">
        <v>23</v>
      </c>
      <c r="Y151" s="3">
        <f>W151*VLOOKUP(X151,'Ingredient costs'!$A$2:$B$536,2, FALSE)</f>
        <v>0</v>
      </c>
      <c r="AA151" s="3" t="s">
        <v>23</v>
      </c>
      <c r="AB151" s="3">
        <f>Z151*VLOOKUP(AA151,'Ingredient costs'!$A$2:$B$536,2, FALSE)</f>
        <v>0</v>
      </c>
    </row>
    <row r="152" spans="1:28" ht="15" x14ac:dyDescent="0.25">
      <c r="A152" s="4" t="s">
        <v>259</v>
      </c>
      <c r="B152" s="4" t="s">
        <v>260</v>
      </c>
      <c r="C152" s="4">
        <v>24</v>
      </c>
      <c r="D152" s="4">
        <v>180</v>
      </c>
      <c r="E152" s="4">
        <f t="shared" si="0"/>
        <v>0</v>
      </c>
      <c r="F152" s="4">
        <f t="shared" si="1"/>
        <v>180</v>
      </c>
      <c r="G152" s="4">
        <v>5</v>
      </c>
      <c r="H152" s="4">
        <v>0</v>
      </c>
      <c r="I152" s="4">
        <v>0</v>
      </c>
      <c r="J152" s="4" t="e">
        <f t="shared" si="2"/>
        <v>#DIV/0!</v>
      </c>
      <c r="K152" s="4" t="e">
        <f t="shared" si="3"/>
        <v>#DIV/0!</v>
      </c>
      <c r="L152" s="4" t="e">
        <f t="shared" si="4"/>
        <v>#DIV/0!</v>
      </c>
      <c r="M152" s="4" t="e">
        <f t="shared" si="5"/>
        <v>#DIV/0!</v>
      </c>
      <c r="O152" s="3" t="s">
        <v>23</v>
      </c>
      <c r="P152" s="3">
        <f>N152*VLOOKUP(O152,'Ingredient costs'!$A$2:$B$536,2, FALSE)</f>
        <v>0</v>
      </c>
      <c r="R152" s="3" t="s">
        <v>23</v>
      </c>
      <c r="S152" s="3">
        <f>Q152*VLOOKUP(R152,'Ingredient costs'!$A$2:$B$536,2, FALSE)</f>
        <v>0</v>
      </c>
      <c r="U152" s="3" t="s">
        <v>23</v>
      </c>
      <c r="V152" s="3">
        <f>T152*VLOOKUP(U152,'Ingredient costs'!$A$2:$B$536,2, FALSE)</f>
        <v>0</v>
      </c>
      <c r="X152" s="3" t="s">
        <v>23</v>
      </c>
      <c r="Y152" s="3">
        <f>W152*VLOOKUP(X152,'Ingredient costs'!$A$2:$B$536,2, FALSE)</f>
        <v>0</v>
      </c>
      <c r="AA152" s="3" t="s">
        <v>23</v>
      </c>
      <c r="AB152" s="3">
        <f>Z152*VLOOKUP(AA152,'Ingredient costs'!$A$2:$B$536,2, FALSE)</f>
        <v>0</v>
      </c>
    </row>
    <row r="153" spans="1:28" ht="15" x14ac:dyDescent="0.25">
      <c r="A153" s="4" t="s">
        <v>259</v>
      </c>
      <c r="B153" s="4" t="s">
        <v>108</v>
      </c>
      <c r="C153" s="4">
        <v>24</v>
      </c>
      <c r="D153" s="4">
        <v>216</v>
      </c>
      <c r="E153" s="4">
        <f t="shared" si="0"/>
        <v>0</v>
      </c>
      <c r="F153" s="4">
        <f t="shared" si="1"/>
        <v>216</v>
      </c>
      <c r="G153" s="4">
        <v>6</v>
      </c>
      <c r="H153" s="4">
        <v>0</v>
      </c>
      <c r="I153" s="4">
        <v>0</v>
      </c>
      <c r="J153" s="4" t="e">
        <f t="shared" si="2"/>
        <v>#DIV/0!</v>
      </c>
      <c r="K153" s="4" t="e">
        <f t="shared" si="3"/>
        <v>#DIV/0!</v>
      </c>
      <c r="L153" s="4" t="e">
        <f t="shared" si="4"/>
        <v>#DIV/0!</v>
      </c>
      <c r="M153" s="4" t="e">
        <f t="shared" si="5"/>
        <v>#DIV/0!</v>
      </c>
      <c r="O153" s="3" t="s">
        <v>23</v>
      </c>
      <c r="P153" s="3">
        <f>N153*VLOOKUP(O153,'Ingredient costs'!$A$2:$B$536,2, FALSE)</f>
        <v>0</v>
      </c>
      <c r="R153" s="3" t="s">
        <v>23</v>
      </c>
      <c r="S153" s="3">
        <f>Q153*VLOOKUP(R153,'Ingredient costs'!$A$2:$B$536,2, FALSE)</f>
        <v>0</v>
      </c>
      <c r="U153" s="3" t="s">
        <v>23</v>
      </c>
      <c r="V153" s="3">
        <f>T153*VLOOKUP(U153,'Ingredient costs'!$A$2:$B$536,2, FALSE)</f>
        <v>0</v>
      </c>
      <c r="X153" s="3" t="s">
        <v>23</v>
      </c>
      <c r="Y153" s="3">
        <f>W153*VLOOKUP(X153,'Ingredient costs'!$A$2:$B$536,2, FALSE)</f>
        <v>0</v>
      </c>
      <c r="AA153" s="3" t="s">
        <v>23</v>
      </c>
      <c r="AB153" s="3">
        <f>Z153*VLOOKUP(AA153,'Ingredient costs'!$A$2:$B$536,2, FALSE)</f>
        <v>0</v>
      </c>
    </row>
    <row r="154" spans="1:28" ht="15" x14ac:dyDescent="0.25">
      <c r="A154" s="4" t="s">
        <v>259</v>
      </c>
      <c r="B154" s="4" t="s">
        <v>261</v>
      </c>
      <c r="C154" s="4">
        <v>24</v>
      </c>
      <c r="D154" s="4">
        <v>324</v>
      </c>
      <c r="E154" s="4">
        <f t="shared" si="0"/>
        <v>0</v>
      </c>
      <c r="F154" s="4">
        <f t="shared" si="1"/>
        <v>324</v>
      </c>
      <c r="G154" s="4">
        <v>7</v>
      </c>
      <c r="H154" s="4">
        <v>0</v>
      </c>
      <c r="I154" s="4">
        <v>0</v>
      </c>
      <c r="J154" s="4" t="e">
        <f t="shared" si="2"/>
        <v>#DIV/0!</v>
      </c>
      <c r="K154" s="4" t="e">
        <f t="shared" si="3"/>
        <v>#DIV/0!</v>
      </c>
      <c r="L154" s="4" t="e">
        <f t="shared" si="4"/>
        <v>#DIV/0!</v>
      </c>
      <c r="M154" s="4" t="e">
        <f t="shared" si="5"/>
        <v>#DIV/0!</v>
      </c>
      <c r="O154" s="3" t="s">
        <v>23</v>
      </c>
      <c r="P154" s="3">
        <f>N154*VLOOKUP(O154,'Ingredient costs'!$A$2:$B$536,2, FALSE)</f>
        <v>0</v>
      </c>
      <c r="R154" s="3" t="s">
        <v>23</v>
      </c>
      <c r="S154" s="3">
        <f>Q154*VLOOKUP(R154,'Ingredient costs'!$A$2:$B$536,2, FALSE)</f>
        <v>0</v>
      </c>
      <c r="U154" s="3" t="s">
        <v>23</v>
      </c>
      <c r="V154" s="3">
        <f>T154*VLOOKUP(U154,'Ingredient costs'!$A$2:$B$536,2, FALSE)</f>
        <v>0</v>
      </c>
      <c r="X154" s="3" t="s">
        <v>23</v>
      </c>
      <c r="Y154" s="3">
        <f>W154*VLOOKUP(X154,'Ingredient costs'!$A$2:$B$536,2, FALSE)</f>
        <v>0</v>
      </c>
      <c r="AA154" s="3" t="s">
        <v>23</v>
      </c>
      <c r="AB154" s="3">
        <f>Z154*VLOOKUP(AA154,'Ingredient costs'!$A$2:$B$536,2, FALSE)</f>
        <v>0</v>
      </c>
    </row>
    <row r="155" spans="1:28" ht="15" x14ac:dyDescent="0.25">
      <c r="A155" s="4" t="s">
        <v>259</v>
      </c>
      <c r="B155" s="4" t="s">
        <v>262</v>
      </c>
      <c r="C155" s="4">
        <v>33</v>
      </c>
      <c r="D155" s="4">
        <v>108</v>
      </c>
      <c r="E155" s="4">
        <f t="shared" si="0"/>
        <v>0</v>
      </c>
      <c r="F155" s="4">
        <f t="shared" si="1"/>
        <v>108</v>
      </c>
      <c r="G155" s="4">
        <v>3</v>
      </c>
      <c r="H155" s="4">
        <v>0</v>
      </c>
      <c r="I155" s="4">
        <v>0</v>
      </c>
      <c r="J155" s="4" t="e">
        <f t="shared" si="2"/>
        <v>#DIV/0!</v>
      </c>
      <c r="K155" s="4" t="e">
        <f t="shared" si="3"/>
        <v>#DIV/0!</v>
      </c>
      <c r="L155" s="4" t="e">
        <f t="shared" si="4"/>
        <v>#DIV/0!</v>
      </c>
      <c r="M155" s="4" t="e">
        <f t="shared" si="5"/>
        <v>#DIV/0!</v>
      </c>
      <c r="O155" s="3" t="s">
        <v>23</v>
      </c>
      <c r="P155" s="3">
        <f>N155*VLOOKUP(O155,'Ingredient costs'!$A$2:$B$536,2, FALSE)</f>
        <v>0</v>
      </c>
      <c r="R155" s="3" t="s">
        <v>23</v>
      </c>
      <c r="S155" s="3">
        <f>Q155*VLOOKUP(R155,'Ingredient costs'!$A$2:$B$536,2, FALSE)</f>
        <v>0</v>
      </c>
      <c r="U155" s="3" t="s">
        <v>23</v>
      </c>
      <c r="V155" s="3">
        <f>T155*VLOOKUP(U155,'Ingredient costs'!$A$2:$B$536,2, FALSE)</f>
        <v>0</v>
      </c>
      <c r="X155" s="3" t="s">
        <v>23</v>
      </c>
      <c r="Y155" s="3">
        <f>W155*VLOOKUP(X155,'Ingredient costs'!$A$2:$B$536,2, FALSE)</f>
        <v>0</v>
      </c>
      <c r="AA155" s="3" t="s">
        <v>23</v>
      </c>
      <c r="AB155" s="3">
        <f>Z155*VLOOKUP(AA155,'Ingredient costs'!$A$2:$B$536,2, FALSE)</f>
        <v>0</v>
      </c>
    </row>
    <row r="156" spans="1:28" ht="15" x14ac:dyDescent="0.25">
      <c r="A156" s="4" t="s">
        <v>259</v>
      </c>
      <c r="B156" s="4" t="s">
        <v>173</v>
      </c>
      <c r="C156" s="4">
        <v>34</v>
      </c>
      <c r="D156" s="4">
        <v>144</v>
      </c>
      <c r="E156" s="4">
        <f t="shared" si="0"/>
        <v>0</v>
      </c>
      <c r="F156" s="4">
        <f t="shared" si="1"/>
        <v>144</v>
      </c>
      <c r="G156" s="4">
        <v>4</v>
      </c>
      <c r="H156" s="4">
        <v>0</v>
      </c>
      <c r="I156" s="4">
        <v>0</v>
      </c>
      <c r="J156" s="4" t="e">
        <f t="shared" si="2"/>
        <v>#DIV/0!</v>
      </c>
      <c r="K156" s="4" t="e">
        <f t="shared" si="3"/>
        <v>#DIV/0!</v>
      </c>
      <c r="L156" s="4" t="e">
        <f t="shared" si="4"/>
        <v>#DIV/0!</v>
      </c>
      <c r="M156" s="4" t="e">
        <f t="shared" si="5"/>
        <v>#DIV/0!</v>
      </c>
      <c r="O156" s="3" t="s">
        <v>23</v>
      </c>
      <c r="P156" s="3">
        <f>N156*VLOOKUP(O156,'Ingredient costs'!$A$2:$B$536,2, FALSE)</f>
        <v>0</v>
      </c>
      <c r="R156" s="3" t="s">
        <v>23</v>
      </c>
      <c r="S156" s="3">
        <f>Q156*VLOOKUP(R156,'Ingredient costs'!$A$2:$B$536,2, FALSE)</f>
        <v>0</v>
      </c>
      <c r="U156" s="3" t="s">
        <v>23</v>
      </c>
      <c r="V156" s="3">
        <f>T156*VLOOKUP(U156,'Ingredient costs'!$A$2:$B$536,2, FALSE)</f>
        <v>0</v>
      </c>
      <c r="X156" s="3" t="s">
        <v>23</v>
      </c>
      <c r="Y156" s="3">
        <f>W156*VLOOKUP(X156,'Ingredient costs'!$A$2:$B$536,2, FALSE)</f>
        <v>0</v>
      </c>
      <c r="AA156" s="3" t="s">
        <v>23</v>
      </c>
      <c r="AB156" s="3">
        <f>Z156*VLOOKUP(AA156,'Ingredient costs'!$A$2:$B$536,2, FALSE)</f>
        <v>0</v>
      </c>
    </row>
    <row r="157" spans="1:28" ht="15" x14ac:dyDescent="0.25">
      <c r="A157" s="4" t="s">
        <v>263</v>
      </c>
      <c r="B157" s="4" t="s">
        <v>264</v>
      </c>
      <c r="C157" s="4">
        <v>30</v>
      </c>
      <c r="D157" s="4">
        <v>0</v>
      </c>
      <c r="E157" s="4">
        <f t="shared" si="0"/>
        <v>0</v>
      </c>
      <c r="F157" s="4">
        <f t="shared" si="1"/>
        <v>0</v>
      </c>
      <c r="G157" s="4">
        <v>7</v>
      </c>
      <c r="H157" s="4">
        <v>240</v>
      </c>
      <c r="I157" s="4">
        <v>204</v>
      </c>
      <c r="J157" s="4">
        <f t="shared" si="2"/>
        <v>0</v>
      </c>
      <c r="K157" s="4">
        <f t="shared" si="3"/>
        <v>0</v>
      </c>
      <c r="L157" s="4">
        <f t="shared" si="4"/>
        <v>1.75</v>
      </c>
      <c r="M157" s="4">
        <f t="shared" si="5"/>
        <v>2.0588235294117649</v>
      </c>
      <c r="O157" s="3" t="s">
        <v>23</v>
      </c>
      <c r="P157" s="3">
        <f>N157*VLOOKUP(O157,'Ingredient costs'!$A$2:$B$536,2, FALSE)</f>
        <v>0</v>
      </c>
      <c r="R157" s="3" t="s">
        <v>23</v>
      </c>
      <c r="S157" s="3">
        <f>Q157*VLOOKUP(R157,'Ingredient costs'!$A$2:$B$536,2, FALSE)</f>
        <v>0</v>
      </c>
      <c r="U157" s="3" t="s">
        <v>23</v>
      </c>
      <c r="V157" s="3">
        <f>T157*VLOOKUP(U157,'Ingredient costs'!$A$2:$B$536,2, FALSE)</f>
        <v>0</v>
      </c>
      <c r="X157" s="3" t="s">
        <v>23</v>
      </c>
      <c r="Y157" s="3">
        <f>W157*VLOOKUP(X157,'Ingredient costs'!$A$2:$B$536,2, FALSE)</f>
        <v>0</v>
      </c>
      <c r="AA157" s="3" t="s">
        <v>23</v>
      </c>
      <c r="AB157" s="3">
        <f>Z157*VLOOKUP(AA157,'Ingredient costs'!$A$2:$B$536,2, FALSE)</f>
        <v>0</v>
      </c>
    </row>
    <row r="158" spans="1:28" ht="15" x14ac:dyDescent="0.25">
      <c r="A158" s="4" t="s">
        <v>263</v>
      </c>
      <c r="B158" s="4" t="s">
        <v>265</v>
      </c>
      <c r="C158" s="4">
        <v>30</v>
      </c>
      <c r="D158" s="4">
        <v>0</v>
      </c>
      <c r="E158" s="4">
        <f t="shared" si="0"/>
        <v>0</v>
      </c>
      <c r="F158" s="4">
        <f t="shared" si="1"/>
        <v>0</v>
      </c>
      <c r="G158" s="4">
        <v>7</v>
      </c>
      <c r="H158" s="4">
        <v>180</v>
      </c>
      <c r="I158" s="4">
        <v>153</v>
      </c>
      <c r="J158" s="4">
        <f t="shared" si="2"/>
        <v>0</v>
      </c>
      <c r="K158" s="4">
        <f t="shared" si="3"/>
        <v>0</v>
      </c>
      <c r="L158" s="4">
        <f t="shared" si="4"/>
        <v>2.3333333333333335</v>
      </c>
      <c r="M158" s="4">
        <f t="shared" si="5"/>
        <v>2.7450980392156863</v>
      </c>
      <c r="O158" s="3" t="s">
        <v>23</v>
      </c>
      <c r="P158" s="3">
        <f>N158*VLOOKUP(O158,'Ingredient costs'!$A$2:$B$536,2, FALSE)</f>
        <v>0</v>
      </c>
      <c r="R158" s="3" t="s">
        <v>23</v>
      </c>
      <c r="S158" s="3">
        <f>Q158*VLOOKUP(R158,'Ingredient costs'!$A$2:$B$536,2, FALSE)</f>
        <v>0</v>
      </c>
      <c r="U158" s="3" t="s">
        <v>23</v>
      </c>
      <c r="V158" s="3">
        <f>T158*VLOOKUP(U158,'Ingredient costs'!$A$2:$B$536,2, FALSE)</f>
        <v>0</v>
      </c>
      <c r="X158" s="3" t="s">
        <v>23</v>
      </c>
      <c r="Y158" s="3">
        <f>W158*VLOOKUP(X158,'Ingredient costs'!$A$2:$B$536,2, FALSE)</f>
        <v>0</v>
      </c>
      <c r="AA158" s="3" t="s">
        <v>23</v>
      </c>
      <c r="AB158" s="3">
        <f>Z158*VLOOKUP(AA158,'Ingredient costs'!$A$2:$B$536,2, FALSE)</f>
        <v>0</v>
      </c>
    </row>
    <row r="159" spans="1:28" ht="15" x14ac:dyDescent="0.25">
      <c r="A159" s="4" t="s">
        <v>263</v>
      </c>
      <c r="B159" s="4" t="s">
        <v>266</v>
      </c>
      <c r="C159" s="4">
        <v>44</v>
      </c>
      <c r="D159" s="4">
        <v>0</v>
      </c>
      <c r="E159" s="4">
        <f t="shared" si="0"/>
        <v>0</v>
      </c>
      <c r="F159" s="4">
        <f t="shared" si="1"/>
        <v>0</v>
      </c>
      <c r="G159" s="4">
        <v>5</v>
      </c>
      <c r="H159" s="4">
        <v>120</v>
      </c>
      <c r="I159" s="4">
        <v>102</v>
      </c>
      <c r="J159" s="4">
        <f t="shared" si="2"/>
        <v>0</v>
      </c>
      <c r="K159" s="4">
        <f t="shared" si="3"/>
        <v>0</v>
      </c>
      <c r="L159" s="4">
        <f t="shared" si="4"/>
        <v>2.5</v>
      </c>
      <c r="M159" s="4">
        <f t="shared" si="5"/>
        <v>2.9411764705882351</v>
      </c>
      <c r="O159" s="3" t="s">
        <v>23</v>
      </c>
      <c r="P159" s="3">
        <f>N159*VLOOKUP(O159,'Ingredient costs'!$A$2:$B$536,2, FALSE)</f>
        <v>0</v>
      </c>
      <c r="R159" s="3" t="s">
        <v>23</v>
      </c>
      <c r="S159" s="3">
        <f>Q159*VLOOKUP(R159,'Ingredient costs'!$A$2:$B$536,2, FALSE)</f>
        <v>0</v>
      </c>
      <c r="U159" s="3" t="s">
        <v>23</v>
      </c>
      <c r="V159" s="3">
        <f>T159*VLOOKUP(U159,'Ingredient costs'!$A$2:$B$536,2, FALSE)</f>
        <v>0</v>
      </c>
      <c r="X159" s="3" t="s">
        <v>23</v>
      </c>
      <c r="Y159" s="3">
        <f>W159*VLOOKUP(X159,'Ingredient costs'!$A$2:$B$536,2, FALSE)</f>
        <v>0</v>
      </c>
      <c r="AA159" s="3" t="s">
        <v>23</v>
      </c>
      <c r="AB159" s="3">
        <f>Z159*VLOOKUP(AA159,'Ingredient costs'!$A$2:$B$536,2, FALSE)</f>
        <v>0</v>
      </c>
    </row>
    <row r="160" spans="1:28" ht="15" x14ac:dyDescent="0.25">
      <c r="A160" s="4" t="s">
        <v>263</v>
      </c>
      <c r="B160" s="4" t="s">
        <v>267</v>
      </c>
      <c r="C160" s="4">
        <v>50</v>
      </c>
      <c r="D160" s="4">
        <v>0</v>
      </c>
      <c r="E160" s="4">
        <f t="shared" si="0"/>
        <v>0</v>
      </c>
      <c r="F160" s="4">
        <f t="shared" si="1"/>
        <v>0</v>
      </c>
      <c r="G160" s="4">
        <v>3</v>
      </c>
      <c r="H160" s="4">
        <v>60</v>
      </c>
      <c r="I160" s="4">
        <v>51</v>
      </c>
      <c r="J160" s="4">
        <f t="shared" si="2"/>
        <v>0</v>
      </c>
      <c r="K160" s="4">
        <f t="shared" si="3"/>
        <v>0</v>
      </c>
      <c r="L160" s="4">
        <f t="shared" si="4"/>
        <v>3</v>
      </c>
      <c r="M160" s="4">
        <f t="shared" si="5"/>
        <v>3.5294117647058822</v>
      </c>
      <c r="O160" s="3" t="s">
        <v>23</v>
      </c>
      <c r="P160" s="3">
        <f>N160*VLOOKUP(O160,'Ingredient costs'!$A$2:$B$536,2, FALSE)</f>
        <v>0</v>
      </c>
      <c r="R160" s="3" t="s">
        <v>23</v>
      </c>
      <c r="S160" s="3">
        <f>Q160*VLOOKUP(R160,'Ingredient costs'!$A$2:$B$536,2, FALSE)</f>
        <v>0</v>
      </c>
      <c r="U160" s="3" t="s">
        <v>23</v>
      </c>
      <c r="V160" s="3">
        <f>T160*VLOOKUP(U160,'Ingredient costs'!$A$2:$B$536,2, FALSE)</f>
        <v>0</v>
      </c>
      <c r="X160" s="3" t="s">
        <v>23</v>
      </c>
      <c r="Y160" s="3">
        <f>W160*VLOOKUP(X160,'Ingredient costs'!$A$2:$B$536,2, FALSE)</f>
        <v>0</v>
      </c>
      <c r="AA160" s="3" t="s">
        <v>23</v>
      </c>
      <c r="AB160" s="3">
        <f>Z160*VLOOKUP(AA160,'Ingredient costs'!$A$2:$B$536,2, FALSE)</f>
        <v>0</v>
      </c>
    </row>
    <row r="161" spans="1:28" ht="15" x14ac:dyDescent="0.25">
      <c r="A161" s="4" t="s">
        <v>268</v>
      </c>
      <c r="B161" s="4" t="s">
        <v>269</v>
      </c>
      <c r="C161" s="4">
        <v>72</v>
      </c>
      <c r="D161" s="4">
        <v>4752</v>
      </c>
      <c r="E161" s="4">
        <f t="shared" si="0"/>
        <v>4464</v>
      </c>
      <c r="F161" s="4">
        <f t="shared" si="1"/>
        <v>288</v>
      </c>
      <c r="G161" s="4">
        <v>57</v>
      </c>
      <c r="H161" s="4">
        <v>80</v>
      </c>
      <c r="I161" s="4">
        <v>68</v>
      </c>
      <c r="J161" s="4">
        <f t="shared" si="2"/>
        <v>21.599999999999998</v>
      </c>
      <c r="K161" s="4">
        <f t="shared" si="3"/>
        <v>25.411764705882351</v>
      </c>
      <c r="L161" s="4">
        <f t="shared" si="4"/>
        <v>42.75</v>
      </c>
      <c r="M161" s="4">
        <f t="shared" si="5"/>
        <v>50.294117647058826</v>
      </c>
      <c r="N161" s="5">
        <v>4</v>
      </c>
      <c r="O161" s="6" t="s">
        <v>39</v>
      </c>
      <c r="P161" s="3">
        <f>N161*VLOOKUP(O161,'Ingredient costs'!$A$2:$B$536,2, FALSE)</f>
        <v>1440</v>
      </c>
      <c r="Q161" s="5">
        <v>3</v>
      </c>
      <c r="R161" s="6" t="s">
        <v>34</v>
      </c>
      <c r="S161" s="3">
        <f>Q161*VLOOKUP(R161,'Ingredient costs'!$A$2:$B$536,2, FALSE)</f>
        <v>1296</v>
      </c>
      <c r="T161" s="5">
        <v>2</v>
      </c>
      <c r="U161" s="6" t="s">
        <v>22</v>
      </c>
      <c r="V161" s="3">
        <f>T161*VLOOKUP(U161,'Ingredient costs'!$A$2:$B$536,2, FALSE)</f>
        <v>72</v>
      </c>
      <c r="W161" s="5">
        <v>2</v>
      </c>
      <c r="X161" s="7" t="s">
        <v>41</v>
      </c>
      <c r="Y161" s="3">
        <f>W161*VLOOKUP(X161,'Ingredient costs'!$A$2:$B$536,2, FALSE)</f>
        <v>1656</v>
      </c>
      <c r="AA161" s="3" t="s">
        <v>23</v>
      </c>
      <c r="AB161" s="3">
        <f>Z161*VLOOKUP(AA161,'Ingredient costs'!$A$2:$B$536,2, FALSE)</f>
        <v>0</v>
      </c>
    </row>
    <row r="162" spans="1:28" ht="15" x14ac:dyDescent="0.25">
      <c r="A162" s="4" t="s">
        <v>268</v>
      </c>
      <c r="B162" s="4" t="s">
        <v>270</v>
      </c>
      <c r="C162" s="4">
        <v>74</v>
      </c>
      <c r="D162" s="4">
        <v>5328</v>
      </c>
      <c r="E162" s="4">
        <f t="shared" si="0"/>
        <v>4896</v>
      </c>
      <c r="F162" s="4">
        <f t="shared" si="1"/>
        <v>432</v>
      </c>
      <c r="G162" s="4">
        <v>63</v>
      </c>
      <c r="H162" s="4">
        <v>100</v>
      </c>
      <c r="I162" s="4">
        <v>85</v>
      </c>
      <c r="J162" s="4">
        <f t="shared" si="2"/>
        <v>25.92</v>
      </c>
      <c r="K162" s="4">
        <f t="shared" si="3"/>
        <v>30.494117647058822</v>
      </c>
      <c r="L162" s="4">
        <f t="shared" si="4"/>
        <v>37.799999999999997</v>
      </c>
      <c r="M162" s="4">
        <f t="shared" si="5"/>
        <v>44.470588235294116</v>
      </c>
      <c r="N162" s="5">
        <v>1</v>
      </c>
      <c r="O162" s="6" t="s">
        <v>198</v>
      </c>
      <c r="P162" s="3">
        <f>N162*VLOOKUP(O162,'Ingredient costs'!$A$2:$B$536,2, FALSE)</f>
        <v>2304</v>
      </c>
      <c r="Q162" s="5">
        <v>3</v>
      </c>
      <c r="R162" s="6" t="s">
        <v>271</v>
      </c>
      <c r="S162" s="3">
        <f>Q162*VLOOKUP(R162,'Ingredient costs'!$A$2:$B$536,2, FALSE)</f>
        <v>1296</v>
      </c>
      <c r="T162" s="5">
        <v>1</v>
      </c>
      <c r="U162" s="6" t="s">
        <v>35</v>
      </c>
      <c r="V162" s="3">
        <f>T162*VLOOKUP(U162,'Ingredient costs'!$A$2:$B$536,2, FALSE)</f>
        <v>1224</v>
      </c>
      <c r="W162" s="5">
        <v>1</v>
      </c>
      <c r="X162" s="7" t="s">
        <v>80</v>
      </c>
      <c r="Y162" s="3">
        <f>W162*VLOOKUP(X162,'Ingredient costs'!$A$2:$B$536,2, FALSE)</f>
        <v>72</v>
      </c>
      <c r="AA162" s="3" t="s">
        <v>23</v>
      </c>
      <c r="AB162" s="3">
        <f>Z162*VLOOKUP(AA162,'Ingredient costs'!$A$2:$B$536,2, FALSE)</f>
        <v>0</v>
      </c>
    </row>
    <row r="163" spans="1:28" ht="15" x14ac:dyDescent="0.25">
      <c r="A163" s="4" t="s">
        <v>268</v>
      </c>
      <c r="B163" s="4" t="s">
        <v>272</v>
      </c>
      <c r="C163" s="4">
        <v>79</v>
      </c>
      <c r="D163" s="4">
        <v>6372</v>
      </c>
      <c r="E163" s="4">
        <f t="shared" si="0"/>
        <v>6042</v>
      </c>
      <c r="F163" s="4">
        <f t="shared" si="1"/>
        <v>330</v>
      </c>
      <c r="G163" s="4">
        <v>76</v>
      </c>
      <c r="H163" s="4">
        <v>120</v>
      </c>
      <c r="I163" s="4">
        <v>102</v>
      </c>
      <c r="J163" s="4">
        <f t="shared" si="2"/>
        <v>16.5</v>
      </c>
      <c r="K163" s="4">
        <f t="shared" si="3"/>
        <v>19.411764705882355</v>
      </c>
      <c r="L163" s="4">
        <f t="shared" si="4"/>
        <v>38</v>
      </c>
      <c r="M163" s="4">
        <f t="shared" si="5"/>
        <v>44.705882352941174</v>
      </c>
      <c r="N163" s="5">
        <v>1</v>
      </c>
      <c r="O163" s="6" t="s">
        <v>44</v>
      </c>
      <c r="P163" s="3">
        <f>N163*VLOOKUP(O163,'Ingredient costs'!$A$2:$B$536,2, FALSE)</f>
        <v>2010</v>
      </c>
      <c r="Q163" s="5">
        <v>3</v>
      </c>
      <c r="R163" s="6" t="s">
        <v>271</v>
      </c>
      <c r="S163" s="3">
        <f>Q163*VLOOKUP(R163,'Ingredient costs'!$A$2:$B$536,2, FALSE)</f>
        <v>1296</v>
      </c>
      <c r="T163" s="5">
        <v>2</v>
      </c>
      <c r="U163" s="6" t="s">
        <v>71</v>
      </c>
      <c r="V163" s="3">
        <f>T163*VLOOKUP(U163,'Ingredient costs'!$A$2:$B$536,2, FALSE)</f>
        <v>1008</v>
      </c>
      <c r="W163" s="5">
        <v>4</v>
      </c>
      <c r="X163" s="7" t="s">
        <v>34</v>
      </c>
      <c r="Y163" s="3">
        <f>W163*VLOOKUP(X163,'Ingredient costs'!$A$2:$B$536,2, FALSE)</f>
        <v>1728</v>
      </c>
      <c r="AA163" s="3" t="s">
        <v>23</v>
      </c>
      <c r="AB163" s="3">
        <f>Z163*VLOOKUP(AA163,'Ingredient costs'!$A$2:$B$536,2, FALSE)</f>
        <v>0</v>
      </c>
    </row>
    <row r="164" spans="1:28" ht="15" x14ac:dyDescent="0.25">
      <c r="A164" s="4" t="s">
        <v>268</v>
      </c>
      <c r="B164" s="4" t="s">
        <v>273</v>
      </c>
      <c r="C164" s="4">
        <v>83</v>
      </c>
      <c r="D164" s="4">
        <v>4104</v>
      </c>
      <c r="E164" s="4">
        <f t="shared" si="0"/>
        <v>3708</v>
      </c>
      <c r="F164" s="4">
        <f t="shared" si="1"/>
        <v>396</v>
      </c>
      <c r="G164" s="4">
        <v>49</v>
      </c>
      <c r="H164" s="4">
        <v>150</v>
      </c>
      <c r="I164" s="4">
        <v>127</v>
      </c>
      <c r="J164" s="4">
        <f t="shared" si="2"/>
        <v>15.84</v>
      </c>
      <c r="K164" s="4">
        <f t="shared" si="3"/>
        <v>18.708661417322833</v>
      </c>
      <c r="L164" s="4">
        <f t="shared" si="4"/>
        <v>19.600000000000001</v>
      </c>
      <c r="M164" s="4">
        <f t="shared" si="5"/>
        <v>23.149606299212596</v>
      </c>
      <c r="N164" s="5">
        <v>1</v>
      </c>
      <c r="O164" s="6" t="s">
        <v>26</v>
      </c>
      <c r="P164" s="3">
        <f>N164*VLOOKUP(O164,'Ingredient costs'!$A$2:$B$536,2, FALSE)</f>
        <v>180</v>
      </c>
      <c r="Q164" s="5">
        <v>3</v>
      </c>
      <c r="R164" s="6" t="s">
        <v>271</v>
      </c>
      <c r="S164" s="3">
        <f>Q164*VLOOKUP(R164,'Ingredient costs'!$A$2:$B$536,2, FALSE)</f>
        <v>1296</v>
      </c>
      <c r="T164" s="5">
        <v>2</v>
      </c>
      <c r="U164" s="6" t="s">
        <v>66</v>
      </c>
      <c r="V164" s="3">
        <f>T164*VLOOKUP(U164,'Ingredient costs'!$A$2:$B$536,2, FALSE)</f>
        <v>1008</v>
      </c>
      <c r="W164" s="5">
        <v>1</v>
      </c>
      <c r="X164" s="7" t="s">
        <v>35</v>
      </c>
      <c r="Y164" s="3">
        <f>W164*VLOOKUP(X164,'Ingredient costs'!$A$2:$B$536,2, FALSE)</f>
        <v>1224</v>
      </c>
      <c r="AA164" s="3" t="s">
        <v>23</v>
      </c>
      <c r="AB164" s="3">
        <f>Z164*VLOOKUP(AA164,'Ingredient costs'!$A$2:$B$536,2, FALSE)</f>
        <v>0</v>
      </c>
    </row>
    <row r="165" spans="1:28" ht="15" x14ac:dyDescent="0.25">
      <c r="A165" s="4" t="s">
        <v>268</v>
      </c>
      <c r="B165" s="4" t="s">
        <v>274</v>
      </c>
      <c r="C165" s="4">
        <v>83</v>
      </c>
      <c r="D165" s="4">
        <v>3456</v>
      </c>
      <c r="E165" s="4">
        <f t="shared" si="0"/>
        <v>3168</v>
      </c>
      <c r="F165" s="4">
        <f t="shared" si="1"/>
        <v>288</v>
      </c>
      <c r="G165" s="4">
        <v>41</v>
      </c>
      <c r="H165" s="4">
        <v>60</v>
      </c>
      <c r="I165" s="4">
        <v>51</v>
      </c>
      <c r="J165" s="4">
        <f t="shared" si="2"/>
        <v>28.799999999999997</v>
      </c>
      <c r="K165" s="4">
        <f t="shared" si="3"/>
        <v>33.882352941176471</v>
      </c>
      <c r="L165" s="4">
        <f t="shared" si="4"/>
        <v>41</v>
      </c>
      <c r="M165" s="4">
        <f t="shared" si="5"/>
        <v>48.235294117647058</v>
      </c>
      <c r="N165" s="5">
        <v>3</v>
      </c>
      <c r="O165" s="6" t="s">
        <v>182</v>
      </c>
      <c r="P165" s="3">
        <f>N165*VLOOKUP(O165,'Ingredient costs'!$A$2:$B$536,2, FALSE)</f>
        <v>648</v>
      </c>
      <c r="Q165" s="5">
        <v>3</v>
      </c>
      <c r="R165" s="6" t="s">
        <v>271</v>
      </c>
      <c r="S165" s="3">
        <f>Q165*VLOOKUP(R165,'Ingredient costs'!$A$2:$B$536,2, FALSE)</f>
        <v>1296</v>
      </c>
      <c r="T165" s="5">
        <v>1</v>
      </c>
      <c r="U165" s="6" t="s">
        <v>35</v>
      </c>
      <c r="V165" s="3">
        <f>T165*VLOOKUP(U165,'Ingredient costs'!$A$2:$B$536,2, FALSE)</f>
        <v>1224</v>
      </c>
      <c r="W165" s="5"/>
      <c r="X165" s="7" t="s">
        <v>23</v>
      </c>
      <c r="Y165" s="3">
        <f>W165*VLOOKUP(X165,'Ingredient costs'!$A$2:$B$536,2, FALSE)</f>
        <v>0</v>
      </c>
      <c r="AA165" s="3" t="s">
        <v>23</v>
      </c>
      <c r="AB165" s="3">
        <f>Z165*VLOOKUP(AA165,'Ingredient costs'!$A$2:$B$536,2, FALSE)</f>
        <v>0</v>
      </c>
    </row>
    <row r="166" spans="1:28" ht="15" x14ac:dyDescent="0.25">
      <c r="A166" s="4" t="s">
        <v>268</v>
      </c>
      <c r="B166" s="4" t="s">
        <v>275</v>
      </c>
      <c r="C166" s="4">
        <v>87</v>
      </c>
      <c r="D166" s="4">
        <v>5760</v>
      </c>
      <c r="E166" s="4">
        <f t="shared" si="0"/>
        <v>5472</v>
      </c>
      <c r="F166" s="4">
        <f t="shared" si="1"/>
        <v>288</v>
      </c>
      <c r="G166" s="4">
        <v>69</v>
      </c>
      <c r="H166" s="4">
        <v>90</v>
      </c>
      <c r="I166" s="4">
        <v>76</v>
      </c>
      <c r="J166" s="4">
        <f t="shared" si="2"/>
        <v>19.2</v>
      </c>
      <c r="K166" s="4">
        <f t="shared" si="3"/>
        <v>22.736842105263154</v>
      </c>
      <c r="L166" s="4">
        <f t="shared" si="4"/>
        <v>46</v>
      </c>
      <c r="M166" s="4">
        <f t="shared" si="5"/>
        <v>54.473684210526315</v>
      </c>
      <c r="N166" s="5">
        <v>1</v>
      </c>
      <c r="O166" s="6" t="s">
        <v>198</v>
      </c>
      <c r="P166" s="3">
        <f>N166*VLOOKUP(O166,'Ingredient costs'!$A$2:$B$536,2, FALSE)</f>
        <v>2304</v>
      </c>
      <c r="Q166" s="5">
        <v>3</v>
      </c>
      <c r="R166" s="6" t="s">
        <v>271</v>
      </c>
      <c r="S166" s="3">
        <f>Q166*VLOOKUP(R166,'Ingredient costs'!$A$2:$B$536,2, FALSE)</f>
        <v>1296</v>
      </c>
      <c r="T166" s="5">
        <v>3</v>
      </c>
      <c r="U166" s="6" t="s">
        <v>37</v>
      </c>
      <c r="V166" s="3">
        <f>T166*VLOOKUP(U166,'Ingredient costs'!$A$2:$B$536,2, FALSE)</f>
        <v>1080</v>
      </c>
      <c r="W166" s="5">
        <v>2</v>
      </c>
      <c r="X166" s="7" t="s">
        <v>77</v>
      </c>
      <c r="Y166" s="3">
        <f>W166*VLOOKUP(X166,'Ingredient costs'!$A$2:$B$536,2, FALSE)</f>
        <v>792</v>
      </c>
      <c r="AA166" s="3" t="s">
        <v>23</v>
      </c>
      <c r="AB166" s="3">
        <f>Z166*VLOOKUP(AA166,'Ingredient costs'!$A$2:$B$536,2, FALSE)</f>
        <v>0</v>
      </c>
    </row>
    <row r="167" spans="1:28" ht="15" x14ac:dyDescent="0.25">
      <c r="A167" s="4" t="s">
        <v>268</v>
      </c>
      <c r="B167" s="4" t="s">
        <v>276</v>
      </c>
      <c r="C167" s="4">
        <v>101</v>
      </c>
      <c r="D167" s="4">
        <v>2808</v>
      </c>
      <c r="E167" s="4">
        <f t="shared" si="0"/>
        <v>2484</v>
      </c>
      <c r="F167" s="4">
        <f t="shared" si="1"/>
        <v>324</v>
      </c>
      <c r="G167" s="4">
        <v>33</v>
      </c>
      <c r="H167" s="4">
        <v>75</v>
      </c>
      <c r="I167" s="4">
        <v>63</v>
      </c>
      <c r="J167" s="4">
        <f t="shared" si="2"/>
        <v>25.92</v>
      </c>
      <c r="K167" s="4">
        <f t="shared" si="3"/>
        <v>30.857142857142861</v>
      </c>
      <c r="L167" s="4">
        <f t="shared" si="4"/>
        <v>26.4</v>
      </c>
      <c r="M167" s="4">
        <f t="shared" si="5"/>
        <v>31.428571428571431</v>
      </c>
      <c r="N167" s="8">
        <v>5</v>
      </c>
      <c r="O167" s="7" t="s">
        <v>90</v>
      </c>
      <c r="P167" s="3">
        <f>N167*VLOOKUP(O167,'Ingredient costs'!$A$2:$B$536,2, FALSE)</f>
        <v>540</v>
      </c>
      <c r="Q167" s="8">
        <v>3</v>
      </c>
      <c r="R167" s="7" t="s">
        <v>271</v>
      </c>
      <c r="S167" s="3">
        <f>Q167*VLOOKUP(R167,'Ingredient costs'!$A$2:$B$536,2, FALSE)</f>
        <v>1296</v>
      </c>
      <c r="T167" s="8">
        <v>1</v>
      </c>
      <c r="U167" s="7" t="s">
        <v>53</v>
      </c>
      <c r="V167" s="3">
        <f>T167*VLOOKUP(U167,'Ingredient costs'!$A$2:$B$536,2, FALSE)</f>
        <v>648</v>
      </c>
      <c r="W167" s="7"/>
      <c r="X167" s="7" t="s">
        <v>23</v>
      </c>
      <c r="Y167" s="3">
        <f>W167*VLOOKUP(X167,'Ingredient costs'!$A$2:$B$536,2, FALSE)</f>
        <v>0</v>
      </c>
      <c r="AA167" s="3" t="s">
        <v>23</v>
      </c>
      <c r="AB167" s="3">
        <f>Z167*VLOOKUP(AA167,'Ingredient costs'!$A$2:$B$536,2, FALSE)</f>
        <v>0</v>
      </c>
    </row>
    <row r="168" spans="1:28" ht="15" x14ac:dyDescent="0.25">
      <c r="A168" s="4" t="s">
        <v>277</v>
      </c>
      <c r="B168" s="4" t="s">
        <v>271</v>
      </c>
      <c r="C168" s="4">
        <v>67</v>
      </c>
      <c r="D168" s="4">
        <v>432</v>
      </c>
      <c r="E168" s="4">
        <f t="shared" si="0"/>
        <v>252</v>
      </c>
      <c r="F168" s="4">
        <f t="shared" si="1"/>
        <v>180</v>
      </c>
      <c r="G168" s="4">
        <v>5</v>
      </c>
      <c r="H168" s="4">
        <v>15</v>
      </c>
      <c r="I168" s="4">
        <v>12</v>
      </c>
      <c r="J168" s="4">
        <f t="shared" si="2"/>
        <v>72</v>
      </c>
      <c r="K168" s="4">
        <f t="shared" si="3"/>
        <v>90</v>
      </c>
      <c r="L168" s="4">
        <f t="shared" si="4"/>
        <v>20</v>
      </c>
      <c r="M168" s="4">
        <f t="shared" si="5"/>
        <v>25</v>
      </c>
      <c r="N168" s="3">
        <v>1</v>
      </c>
      <c r="O168" s="3" t="s">
        <v>26</v>
      </c>
      <c r="P168" s="3">
        <f>N168*VLOOKUP(O168,'Ingredient costs'!$A$2:$B$536,2, FALSE)</f>
        <v>180</v>
      </c>
      <c r="Q168" s="3">
        <v>2</v>
      </c>
      <c r="R168" s="3" t="s">
        <v>22</v>
      </c>
      <c r="S168" s="3">
        <f>Q168*VLOOKUP(R168,'Ingredient costs'!$A$2:$B$536,2, FALSE)</f>
        <v>72</v>
      </c>
      <c r="U168" s="3" t="s">
        <v>23</v>
      </c>
      <c r="V168" s="3">
        <f>T168*VLOOKUP(U168,'Ingredient costs'!$A$2:$B$536,2, FALSE)</f>
        <v>0</v>
      </c>
      <c r="X168" s="3" t="s">
        <v>23</v>
      </c>
      <c r="Y168" s="3">
        <f>W168*VLOOKUP(X168,'Ingredient costs'!$A$2:$B$536,2, FALSE)</f>
        <v>0</v>
      </c>
      <c r="AA168" s="3" t="s">
        <v>23</v>
      </c>
      <c r="AB168" s="3">
        <f>Z168*VLOOKUP(AA168,'Ingredient costs'!$A$2:$B$536,2, FALSE)</f>
        <v>0</v>
      </c>
    </row>
    <row r="169" spans="1:28" ht="15" x14ac:dyDescent="0.25">
      <c r="A169" s="4" t="s">
        <v>277</v>
      </c>
      <c r="B169" s="4" t="s">
        <v>278</v>
      </c>
      <c r="C169" s="4">
        <v>73</v>
      </c>
      <c r="D169" s="4">
        <v>1008</v>
      </c>
      <c r="E169" s="4">
        <f t="shared" si="0"/>
        <v>900</v>
      </c>
      <c r="F169" s="4">
        <f t="shared" si="1"/>
        <v>108</v>
      </c>
      <c r="G169" s="4">
        <v>12</v>
      </c>
      <c r="H169" s="4">
        <v>20</v>
      </c>
      <c r="I169" s="4">
        <v>17</v>
      </c>
      <c r="J169" s="4">
        <f t="shared" si="2"/>
        <v>32.400000000000006</v>
      </c>
      <c r="K169" s="4">
        <f t="shared" si="3"/>
        <v>38.117647058823529</v>
      </c>
      <c r="L169" s="4">
        <f t="shared" si="4"/>
        <v>36</v>
      </c>
      <c r="M169" s="4">
        <f t="shared" si="5"/>
        <v>42.352941176470594</v>
      </c>
      <c r="N169" s="3">
        <v>5</v>
      </c>
      <c r="O169" s="3" t="s">
        <v>84</v>
      </c>
      <c r="P169" s="3">
        <f>N169*VLOOKUP(O169,'Ingredient costs'!$A$2:$B$536,2, FALSE)</f>
        <v>900</v>
      </c>
      <c r="R169" s="3" t="s">
        <v>23</v>
      </c>
      <c r="S169" s="3">
        <f>Q169*VLOOKUP(R169,'Ingredient costs'!$A$2:$B$536,2, FALSE)</f>
        <v>0</v>
      </c>
      <c r="U169" s="3" t="s">
        <v>23</v>
      </c>
      <c r="V169" s="3">
        <f>T169*VLOOKUP(U169,'Ingredient costs'!$A$2:$B$536,2, FALSE)</f>
        <v>0</v>
      </c>
      <c r="X169" s="3" t="s">
        <v>23</v>
      </c>
      <c r="Y169" s="3">
        <f>W169*VLOOKUP(X169,'Ingredient costs'!$A$2:$B$536,2, FALSE)</f>
        <v>0</v>
      </c>
      <c r="AA169" s="3" t="s">
        <v>23</v>
      </c>
      <c r="AB169" s="3">
        <f>Z169*VLOOKUP(AA169,'Ingredient costs'!$A$2:$B$536,2, FALSE)</f>
        <v>0</v>
      </c>
    </row>
    <row r="170" spans="1:28" ht="15" x14ac:dyDescent="0.25">
      <c r="A170" s="4" t="s">
        <v>279</v>
      </c>
      <c r="B170" s="4" t="s">
        <v>280</v>
      </c>
      <c r="C170" s="4">
        <v>14</v>
      </c>
      <c r="D170" s="4">
        <v>828</v>
      </c>
      <c r="E170" s="4">
        <f t="shared" si="0"/>
        <v>468</v>
      </c>
      <c r="F170" s="4">
        <f t="shared" si="1"/>
        <v>360</v>
      </c>
      <c r="G170" s="4">
        <v>10</v>
      </c>
      <c r="H170" s="4">
        <v>60</v>
      </c>
      <c r="I170" s="4">
        <v>51</v>
      </c>
      <c r="J170" s="4">
        <f t="shared" si="2"/>
        <v>36</v>
      </c>
      <c r="K170" s="4">
        <f t="shared" si="3"/>
        <v>42.352941176470587</v>
      </c>
      <c r="L170" s="4">
        <f t="shared" si="4"/>
        <v>10</v>
      </c>
      <c r="M170" s="4">
        <f t="shared" si="5"/>
        <v>11.76470588235294</v>
      </c>
      <c r="N170" s="5">
        <v>3</v>
      </c>
      <c r="O170" s="6" t="s">
        <v>80</v>
      </c>
      <c r="P170" s="3">
        <f>N170*VLOOKUP(O170,'Ingredient costs'!$A$2:$B$536,2, FALSE)</f>
        <v>216</v>
      </c>
      <c r="Q170" s="5">
        <v>1</v>
      </c>
      <c r="R170" s="6" t="s">
        <v>26</v>
      </c>
      <c r="S170" s="3">
        <f>Q170*VLOOKUP(R170,'Ingredient costs'!$A$2:$B$536,2, FALSE)</f>
        <v>180</v>
      </c>
      <c r="T170" s="5">
        <v>2</v>
      </c>
      <c r="U170" s="6" t="s">
        <v>22</v>
      </c>
      <c r="V170" s="3">
        <f>T170*VLOOKUP(U170,'Ingredient costs'!$A$2:$B$536,2, FALSE)</f>
        <v>72</v>
      </c>
      <c r="W170" s="6"/>
      <c r="X170" s="3" t="s">
        <v>23</v>
      </c>
      <c r="Y170" s="3">
        <f>W170*VLOOKUP(X170,'Ingredient costs'!$A$2:$B$536,2, FALSE)</f>
        <v>0</v>
      </c>
      <c r="AA170" s="3" t="s">
        <v>23</v>
      </c>
      <c r="AB170" s="3">
        <f>Z170*VLOOKUP(AA170,'Ingredient costs'!$A$2:$B$536,2, FALSE)</f>
        <v>0</v>
      </c>
    </row>
    <row r="171" spans="1:28" ht="15" x14ac:dyDescent="0.25">
      <c r="A171" s="4" t="s">
        <v>279</v>
      </c>
      <c r="B171" s="4" t="s">
        <v>281</v>
      </c>
      <c r="C171" s="4">
        <v>15</v>
      </c>
      <c r="D171" s="4">
        <v>1584</v>
      </c>
      <c r="E171" s="4">
        <f t="shared" si="0"/>
        <v>1224</v>
      </c>
      <c r="F171" s="4">
        <f t="shared" si="1"/>
        <v>360</v>
      </c>
      <c r="G171" s="4">
        <v>19</v>
      </c>
      <c r="H171" s="4">
        <v>120</v>
      </c>
      <c r="I171" s="4">
        <v>102</v>
      </c>
      <c r="J171" s="4">
        <f t="shared" si="2"/>
        <v>18</v>
      </c>
      <c r="K171" s="4">
        <f t="shared" si="3"/>
        <v>21.176470588235293</v>
      </c>
      <c r="L171" s="4">
        <f t="shared" si="4"/>
        <v>9.5</v>
      </c>
      <c r="M171" s="4">
        <f t="shared" si="5"/>
        <v>11.176470588235293</v>
      </c>
      <c r="N171" s="5">
        <v>3</v>
      </c>
      <c r="O171" s="6" t="s">
        <v>81</v>
      </c>
      <c r="P171" s="3">
        <f>N171*VLOOKUP(O171,'Ingredient costs'!$A$2:$B$536,2, FALSE)</f>
        <v>972</v>
      </c>
      <c r="Q171" s="5">
        <v>1</v>
      </c>
      <c r="R171" s="6" t="s">
        <v>26</v>
      </c>
      <c r="S171" s="3">
        <f>Q171*VLOOKUP(R171,'Ingredient costs'!$A$2:$B$536,2, FALSE)</f>
        <v>180</v>
      </c>
      <c r="T171" s="5">
        <v>2</v>
      </c>
      <c r="U171" s="6" t="s">
        <v>22</v>
      </c>
      <c r="V171" s="3">
        <f>T171*VLOOKUP(U171,'Ingredient costs'!$A$2:$B$536,2, FALSE)</f>
        <v>72</v>
      </c>
      <c r="W171" s="6"/>
      <c r="X171" s="3" t="s">
        <v>23</v>
      </c>
      <c r="Y171" s="3">
        <f>W171*VLOOKUP(X171,'Ingredient costs'!$A$2:$B$536,2, FALSE)</f>
        <v>0</v>
      </c>
      <c r="AA171" s="3" t="s">
        <v>23</v>
      </c>
      <c r="AB171" s="3">
        <f>Z171*VLOOKUP(AA171,'Ingredient costs'!$A$2:$B$536,2, FALSE)</f>
        <v>0</v>
      </c>
    </row>
    <row r="172" spans="1:28" ht="15" x14ac:dyDescent="0.25">
      <c r="A172" s="4" t="s">
        <v>279</v>
      </c>
      <c r="B172" s="4" t="s">
        <v>282</v>
      </c>
      <c r="C172" s="4">
        <v>18</v>
      </c>
      <c r="D172" s="4">
        <v>2196</v>
      </c>
      <c r="E172" s="4">
        <f t="shared" si="0"/>
        <v>1764</v>
      </c>
      <c r="F172" s="4">
        <f t="shared" si="1"/>
        <v>432</v>
      </c>
      <c r="G172" s="4">
        <v>26</v>
      </c>
      <c r="H172" s="4">
        <v>180</v>
      </c>
      <c r="I172" s="4">
        <v>153</v>
      </c>
      <c r="J172" s="4">
        <f t="shared" si="2"/>
        <v>14.399999999999999</v>
      </c>
      <c r="K172" s="4">
        <f t="shared" si="3"/>
        <v>16.941176470588236</v>
      </c>
      <c r="L172" s="4">
        <f t="shared" si="4"/>
        <v>8.6666666666666661</v>
      </c>
      <c r="M172" s="4">
        <f t="shared" si="5"/>
        <v>10.19607843137255</v>
      </c>
      <c r="N172" s="5">
        <v>3</v>
      </c>
      <c r="O172" s="6" t="s">
        <v>66</v>
      </c>
      <c r="P172" s="3">
        <f>N172*VLOOKUP(O172,'Ingredient costs'!$A$2:$B$536,2, FALSE)</f>
        <v>1512</v>
      </c>
      <c r="Q172" s="5">
        <v>1</v>
      </c>
      <c r="R172" s="6" t="s">
        <v>26</v>
      </c>
      <c r="S172" s="3">
        <f>Q172*VLOOKUP(R172,'Ingredient costs'!$A$2:$B$536,2, FALSE)</f>
        <v>180</v>
      </c>
      <c r="T172" s="5">
        <v>2</v>
      </c>
      <c r="U172" s="6" t="s">
        <v>22</v>
      </c>
      <c r="V172" s="3">
        <f>T172*VLOOKUP(U172,'Ingredient costs'!$A$2:$B$536,2, FALSE)</f>
        <v>72</v>
      </c>
      <c r="W172" s="6"/>
      <c r="X172" s="3" t="s">
        <v>23</v>
      </c>
      <c r="Y172" s="3">
        <f>W172*VLOOKUP(X172,'Ingredient costs'!$A$2:$B$536,2, FALSE)</f>
        <v>0</v>
      </c>
      <c r="AA172" s="3" t="s">
        <v>23</v>
      </c>
      <c r="AB172" s="3">
        <f>Z172*VLOOKUP(AA172,'Ingredient costs'!$A$2:$B$536,2, FALSE)</f>
        <v>0</v>
      </c>
    </row>
    <row r="173" spans="1:28" ht="15" x14ac:dyDescent="0.25">
      <c r="A173" s="4" t="s">
        <v>279</v>
      </c>
      <c r="B173" s="4" t="s">
        <v>283</v>
      </c>
      <c r="C173" s="4">
        <v>28</v>
      </c>
      <c r="D173" s="4">
        <v>2700</v>
      </c>
      <c r="E173" s="4">
        <f t="shared" si="0"/>
        <v>2340</v>
      </c>
      <c r="F173" s="4">
        <f t="shared" si="1"/>
        <v>360</v>
      </c>
      <c r="G173" s="4">
        <v>32</v>
      </c>
      <c r="H173" s="4">
        <v>150</v>
      </c>
      <c r="I173" s="4">
        <v>127</v>
      </c>
      <c r="J173" s="4">
        <f t="shared" si="2"/>
        <v>14.399999999999999</v>
      </c>
      <c r="K173" s="4">
        <f t="shared" si="3"/>
        <v>17.00787401574803</v>
      </c>
      <c r="L173" s="4">
        <f t="shared" si="4"/>
        <v>12.8</v>
      </c>
      <c r="M173" s="4">
        <f t="shared" si="5"/>
        <v>15.118110236220472</v>
      </c>
      <c r="N173" s="5">
        <v>3</v>
      </c>
      <c r="O173" s="6" t="s">
        <v>105</v>
      </c>
      <c r="P173" s="3">
        <f>N173*VLOOKUP(O173,'Ingredient costs'!$A$2:$B$536,2, FALSE)</f>
        <v>1188</v>
      </c>
      <c r="Q173" s="5">
        <v>1</v>
      </c>
      <c r="R173" s="6" t="s">
        <v>26</v>
      </c>
      <c r="S173" s="3">
        <f>Q173*VLOOKUP(R173,'Ingredient costs'!$A$2:$B$536,2, FALSE)</f>
        <v>180</v>
      </c>
      <c r="T173" s="5">
        <v>2</v>
      </c>
      <c r="U173" s="6" t="s">
        <v>22</v>
      </c>
      <c r="V173" s="3">
        <f>T173*VLOOKUP(U173,'Ingredient costs'!$A$2:$B$536,2, FALSE)</f>
        <v>72</v>
      </c>
      <c r="W173" s="5">
        <v>1</v>
      </c>
      <c r="X173" s="7" t="s">
        <v>47</v>
      </c>
      <c r="Y173" s="3">
        <f>W173*VLOOKUP(X173,'Ingredient costs'!$A$2:$B$536,2, FALSE)</f>
        <v>900</v>
      </c>
      <c r="AA173" s="3" t="s">
        <v>23</v>
      </c>
      <c r="AB173" s="3">
        <f>Z173*VLOOKUP(AA173,'Ingredient costs'!$A$2:$B$536,2, FALSE)</f>
        <v>0</v>
      </c>
    </row>
    <row r="174" spans="1:28" ht="15" x14ac:dyDescent="0.25">
      <c r="A174" s="4" t="s">
        <v>279</v>
      </c>
      <c r="B174" s="4" t="s">
        <v>284</v>
      </c>
      <c r="C174" s="4">
        <v>28</v>
      </c>
      <c r="D174" s="4">
        <v>2268</v>
      </c>
      <c r="E174" s="4">
        <f t="shared" si="0"/>
        <v>1872</v>
      </c>
      <c r="F174" s="4">
        <f t="shared" si="1"/>
        <v>396</v>
      </c>
      <c r="G174" s="4">
        <v>27</v>
      </c>
      <c r="H174" s="4">
        <v>120</v>
      </c>
      <c r="I174" s="4">
        <v>102</v>
      </c>
      <c r="J174" s="4">
        <f t="shared" si="2"/>
        <v>19.799999999999997</v>
      </c>
      <c r="K174" s="4">
        <f t="shared" si="3"/>
        <v>23.294117647058822</v>
      </c>
      <c r="L174" s="4">
        <f t="shared" si="4"/>
        <v>13.5</v>
      </c>
      <c r="M174" s="4">
        <f t="shared" si="5"/>
        <v>15.882352941176471</v>
      </c>
      <c r="N174" s="5">
        <v>3</v>
      </c>
      <c r="O174" s="6" t="s">
        <v>43</v>
      </c>
      <c r="P174" s="3">
        <f>N174*VLOOKUP(O174,'Ingredient costs'!$A$2:$B$536,2, FALSE)</f>
        <v>1620</v>
      </c>
      <c r="Q174" s="5">
        <v>2</v>
      </c>
      <c r="R174" s="6" t="s">
        <v>22</v>
      </c>
      <c r="S174" s="3">
        <f>Q174*VLOOKUP(R174,'Ingredient costs'!$A$2:$B$536,2, FALSE)</f>
        <v>72</v>
      </c>
      <c r="T174" s="5">
        <v>1</v>
      </c>
      <c r="U174" s="6" t="s">
        <v>26</v>
      </c>
      <c r="V174" s="3">
        <f>T174*VLOOKUP(U174,'Ingredient costs'!$A$2:$B$536,2, FALSE)</f>
        <v>180</v>
      </c>
      <c r="W174" s="6"/>
      <c r="X174" s="3" t="s">
        <v>23</v>
      </c>
      <c r="Y174" s="3">
        <f>W174*VLOOKUP(X174,'Ingredient costs'!$A$2:$B$536,2, FALSE)</f>
        <v>0</v>
      </c>
      <c r="AA174" s="3" t="s">
        <v>23</v>
      </c>
      <c r="AB174" s="3">
        <f>Z174*VLOOKUP(AA174,'Ingredient costs'!$A$2:$B$536,2, FALSE)</f>
        <v>0</v>
      </c>
    </row>
    <row r="175" spans="1:28" ht="15" x14ac:dyDescent="0.25">
      <c r="A175" s="4" t="s">
        <v>279</v>
      </c>
      <c r="B175" s="4" t="s">
        <v>285</v>
      </c>
      <c r="C175" s="4">
        <v>34</v>
      </c>
      <c r="D175" s="4">
        <v>2232</v>
      </c>
      <c r="E175" s="4">
        <f t="shared" si="0"/>
        <v>1872</v>
      </c>
      <c r="F175" s="4">
        <f t="shared" si="1"/>
        <v>360</v>
      </c>
      <c r="G175" s="4">
        <v>26</v>
      </c>
      <c r="H175" s="4">
        <v>90</v>
      </c>
      <c r="I175" s="4">
        <v>76</v>
      </c>
      <c r="J175" s="4">
        <f t="shared" si="2"/>
        <v>24</v>
      </c>
      <c r="K175" s="4">
        <f t="shared" si="3"/>
        <v>28.421052631578945</v>
      </c>
      <c r="L175" s="4">
        <f t="shared" si="4"/>
        <v>17.333333333333332</v>
      </c>
      <c r="M175" s="4">
        <f t="shared" si="5"/>
        <v>20.526315789473685</v>
      </c>
      <c r="N175" s="5">
        <v>1</v>
      </c>
      <c r="O175" s="6" t="s">
        <v>103</v>
      </c>
      <c r="P175" s="3">
        <f>N175*VLOOKUP(O175,'Ingredient costs'!$A$2:$B$536,2, FALSE)</f>
        <v>1620</v>
      </c>
      <c r="Q175" s="5">
        <v>1</v>
      </c>
      <c r="R175" s="6" t="s">
        <v>26</v>
      </c>
      <c r="S175" s="3">
        <f>Q175*VLOOKUP(R175,'Ingredient costs'!$A$2:$B$536,2, FALSE)</f>
        <v>180</v>
      </c>
      <c r="T175" s="5">
        <v>2</v>
      </c>
      <c r="U175" s="6" t="s">
        <v>22</v>
      </c>
      <c r="V175" s="3">
        <f>T175*VLOOKUP(U175,'Ingredient costs'!$A$2:$B$536,2, FALSE)</f>
        <v>72</v>
      </c>
      <c r="W175" s="6"/>
      <c r="X175" s="3" t="s">
        <v>23</v>
      </c>
      <c r="Y175" s="3">
        <f>W175*VLOOKUP(X175,'Ingredient costs'!$A$2:$B$536,2, FALSE)</f>
        <v>0</v>
      </c>
      <c r="AA175" s="3" t="s">
        <v>23</v>
      </c>
      <c r="AB175" s="3">
        <f>Z175*VLOOKUP(AA175,'Ingredient costs'!$A$2:$B$536,2, FALSE)</f>
        <v>0</v>
      </c>
    </row>
    <row r="176" spans="1:28" ht="15" x14ac:dyDescent="0.25">
      <c r="A176" s="4" t="s">
        <v>279</v>
      </c>
      <c r="B176" s="4" t="s">
        <v>286</v>
      </c>
      <c r="C176" s="4">
        <v>36</v>
      </c>
      <c r="D176" s="4">
        <v>3672</v>
      </c>
      <c r="E176" s="4">
        <f t="shared" si="0"/>
        <v>3312</v>
      </c>
      <c r="F176" s="4">
        <f t="shared" si="1"/>
        <v>360</v>
      </c>
      <c r="G176" s="4">
        <v>44</v>
      </c>
      <c r="H176" s="4">
        <v>120</v>
      </c>
      <c r="I176" s="4">
        <v>102</v>
      </c>
      <c r="J176" s="4">
        <f t="shared" si="2"/>
        <v>18</v>
      </c>
      <c r="K176" s="4">
        <f t="shared" si="3"/>
        <v>21.176470588235293</v>
      </c>
      <c r="L176" s="4">
        <f t="shared" si="4"/>
        <v>22</v>
      </c>
      <c r="M176" s="4">
        <f t="shared" si="5"/>
        <v>25.882352941176471</v>
      </c>
      <c r="N176" s="5">
        <v>2</v>
      </c>
      <c r="O176" s="6" t="s">
        <v>39</v>
      </c>
      <c r="P176" s="3">
        <f>N176*VLOOKUP(O176,'Ingredient costs'!$A$2:$B$536,2, FALSE)</f>
        <v>720</v>
      </c>
      <c r="Q176" s="5">
        <v>2</v>
      </c>
      <c r="R176" s="6" t="s">
        <v>26</v>
      </c>
      <c r="S176" s="3">
        <f>Q176*VLOOKUP(R176,'Ingredient costs'!$A$2:$B$536,2, FALSE)</f>
        <v>360</v>
      </c>
      <c r="T176" s="5">
        <v>2</v>
      </c>
      <c r="U176" s="6" t="s">
        <v>66</v>
      </c>
      <c r="V176" s="3">
        <f>T176*VLOOKUP(U176,'Ingredient costs'!$A$2:$B$536,2, FALSE)</f>
        <v>1008</v>
      </c>
      <c r="W176" s="5">
        <v>1</v>
      </c>
      <c r="X176" s="7" t="s">
        <v>35</v>
      </c>
      <c r="Y176" s="3">
        <f>W176*VLOOKUP(X176,'Ingredient costs'!$A$2:$B$536,2, FALSE)</f>
        <v>1224</v>
      </c>
      <c r="AA176" s="3" t="s">
        <v>23</v>
      </c>
      <c r="AB176" s="3">
        <f>Z176*VLOOKUP(AA176,'Ingredient costs'!$A$2:$B$536,2, FALSE)</f>
        <v>0</v>
      </c>
    </row>
    <row r="177" spans="1:28" ht="15" x14ac:dyDescent="0.25">
      <c r="A177" s="4" t="s">
        <v>279</v>
      </c>
      <c r="B177" s="4" t="s">
        <v>287</v>
      </c>
      <c r="C177" s="4">
        <v>39</v>
      </c>
      <c r="D177" s="4">
        <v>2808</v>
      </c>
      <c r="E177" s="4">
        <f t="shared" si="0"/>
        <v>2520</v>
      </c>
      <c r="F177" s="4">
        <f t="shared" si="1"/>
        <v>288</v>
      </c>
      <c r="G177" s="4">
        <v>34</v>
      </c>
      <c r="H177" s="4">
        <v>100</v>
      </c>
      <c r="I177" s="4">
        <v>85</v>
      </c>
      <c r="J177" s="4">
        <f t="shared" si="2"/>
        <v>17.279999999999998</v>
      </c>
      <c r="K177" s="4">
        <f t="shared" si="3"/>
        <v>20.329411764705881</v>
      </c>
      <c r="L177" s="4">
        <f t="shared" si="4"/>
        <v>20.400000000000002</v>
      </c>
      <c r="M177" s="4">
        <f t="shared" si="5"/>
        <v>24</v>
      </c>
      <c r="N177" s="5">
        <v>2</v>
      </c>
      <c r="O177" s="6" t="s">
        <v>39</v>
      </c>
      <c r="P177" s="3">
        <f>N177*VLOOKUP(O177,'Ingredient costs'!$A$2:$B$536,2, FALSE)</f>
        <v>720</v>
      </c>
      <c r="Q177" s="5">
        <v>2</v>
      </c>
      <c r="R177" s="6" t="s">
        <v>66</v>
      </c>
      <c r="S177" s="3">
        <f>Q177*VLOOKUP(R177,'Ingredient costs'!$A$2:$B$536,2, FALSE)</f>
        <v>1008</v>
      </c>
      <c r="T177" s="5">
        <v>2</v>
      </c>
      <c r="U177" s="6" t="s">
        <v>80</v>
      </c>
      <c r="V177" s="3">
        <f>T177*VLOOKUP(U177,'Ingredient costs'!$A$2:$B$536,2, FALSE)</f>
        <v>144</v>
      </c>
      <c r="W177" s="5">
        <v>2</v>
      </c>
      <c r="X177" s="7" t="s">
        <v>81</v>
      </c>
      <c r="Y177" s="3">
        <f>W177*VLOOKUP(X177,'Ingredient costs'!$A$2:$B$536,2, FALSE)</f>
        <v>648</v>
      </c>
      <c r="AA177" s="3" t="s">
        <v>23</v>
      </c>
      <c r="AB177" s="3">
        <f>Z177*VLOOKUP(AA177,'Ingredient costs'!$A$2:$B$536,2, FALSE)</f>
        <v>0</v>
      </c>
    </row>
    <row r="178" spans="1:28" ht="15" x14ac:dyDescent="0.25">
      <c r="A178" s="4" t="s">
        <v>279</v>
      </c>
      <c r="B178" s="4" t="s">
        <v>288</v>
      </c>
      <c r="C178" s="4">
        <v>65</v>
      </c>
      <c r="D178" s="4">
        <v>5148</v>
      </c>
      <c r="E178" s="4">
        <f t="shared" si="0"/>
        <v>4356</v>
      </c>
      <c r="F178" s="4">
        <f t="shared" si="1"/>
        <v>792</v>
      </c>
      <c r="G178" s="4">
        <v>70</v>
      </c>
      <c r="H178" s="4">
        <v>75</v>
      </c>
      <c r="I178" s="4">
        <v>63</v>
      </c>
      <c r="J178" s="4">
        <f t="shared" si="2"/>
        <v>63.36</v>
      </c>
      <c r="K178" s="4">
        <f t="shared" si="3"/>
        <v>75.428571428571431</v>
      </c>
      <c r="L178" s="4">
        <f t="shared" si="4"/>
        <v>56</v>
      </c>
      <c r="M178" s="4">
        <f t="shared" si="5"/>
        <v>66.666666666666671</v>
      </c>
      <c r="N178" s="5">
        <v>3</v>
      </c>
      <c r="O178" s="6" t="s">
        <v>22</v>
      </c>
      <c r="P178" s="3">
        <f>N178*VLOOKUP(O178,'Ingredient costs'!$A$2:$B$536,2, FALSE)</f>
        <v>108</v>
      </c>
      <c r="Q178" s="5">
        <v>2</v>
      </c>
      <c r="R178" s="6" t="s">
        <v>54</v>
      </c>
      <c r="S178" s="3">
        <f>Q178*VLOOKUP(R178,'Ingredient costs'!$A$2:$B$536,2, FALSE)</f>
        <v>1728</v>
      </c>
      <c r="T178" s="5">
        <v>1</v>
      </c>
      <c r="U178" s="6" t="s">
        <v>26</v>
      </c>
      <c r="V178" s="3">
        <f>T178*VLOOKUP(U178,'Ingredient costs'!$A$2:$B$536,2, FALSE)</f>
        <v>180</v>
      </c>
      <c r="W178" s="5">
        <v>1</v>
      </c>
      <c r="X178" s="7" t="s">
        <v>136</v>
      </c>
      <c r="Y178" s="3">
        <f>W178*VLOOKUP(X178,'Ingredient costs'!$A$2:$B$536,2, FALSE)</f>
        <v>2340</v>
      </c>
      <c r="AA178" s="3" t="s">
        <v>23</v>
      </c>
      <c r="AB178" s="3">
        <f>Z178*VLOOKUP(AA178,'Ingredient costs'!$A$2:$B$536,2, FALSE)</f>
        <v>0</v>
      </c>
    </row>
    <row r="179" spans="1:28" ht="15" x14ac:dyDescent="0.25">
      <c r="A179" s="4" t="s">
        <v>279</v>
      </c>
      <c r="B179" s="4" t="s">
        <v>289</v>
      </c>
      <c r="C179" s="4">
        <v>67</v>
      </c>
      <c r="D179" s="4">
        <v>4464</v>
      </c>
      <c r="E179" s="4">
        <f t="shared" si="0"/>
        <v>4032</v>
      </c>
      <c r="F179" s="4">
        <f t="shared" si="1"/>
        <v>432</v>
      </c>
      <c r="G179" s="4">
        <v>53</v>
      </c>
      <c r="H179" s="4">
        <v>135</v>
      </c>
      <c r="I179" s="4">
        <v>114</v>
      </c>
      <c r="J179" s="4">
        <f t="shared" si="2"/>
        <v>19.2</v>
      </c>
      <c r="K179" s="4">
        <f t="shared" si="3"/>
        <v>22.736842105263154</v>
      </c>
      <c r="L179" s="4">
        <f t="shared" si="4"/>
        <v>23.555555555555557</v>
      </c>
      <c r="M179" s="4">
        <f t="shared" si="5"/>
        <v>27.894736842105264</v>
      </c>
      <c r="N179" s="5">
        <v>1</v>
      </c>
      <c r="O179" s="6" t="s">
        <v>112</v>
      </c>
      <c r="P179" s="3">
        <f>N179*VLOOKUP(O179,'Ingredient costs'!$A$2:$B$536,2, FALSE)</f>
        <v>3780</v>
      </c>
      <c r="Q179" s="5">
        <v>1</v>
      </c>
      <c r="R179" s="6" t="s">
        <v>26</v>
      </c>
      <c r="S179" s="3">
        <f>Q179*VLOOKUP(R179,'Ingredient costs'!$A$2:$B$536,2, FALSE)</f>
        <v>180</v>
      </c>
      <c r="T179" s="5">
        <v>2</v>
      </c>
      <c r="U179" s="6" t="s">
        <v>22</v>
      </c>
      <c r="V179" s="3">
        <f>T179*VLOOKUP(U179,'Ingredient costs'!$A$2:$B$536,2, FALSE)</f>
        <v>72</v>
      </c>
      <c r="W179" s="6"/>
      <c r="X179" s="3" t="s">
        <v>23</v>
      </c>
      <c r="Y179" s="3">
        <f>W179*VLOOKUP(X179,'Ingredient costs'!$A$2:$B$536,2, FALSE)</f>
        <v>0</v>
      </c>
      <c r="AA179" s="3" t="s">
        <v>23</v>
      </c>
      <c r="AB179" s="3">
        <f>Z179*VLOOKUP(AA179,'Ingredient costs'!$A$2:$B$536,2, FALSE)</f>
        <v>0</v>
      </c>
    </row>
    <row r="180" spans="1:28" ht="15" x14ac:dyDescent="0.25">
      <c r="A180" s="4" t="s">
        <v>279</v>
      </c>
      <c r="B180" s="4" t="s">
        <v>290</v>
      </c>
      <c r="C180" s="4">
        <v>76</v>
      </c>
      <c r="D180" s="4">
        <v>4356</v>
      </c>
      <c r="E180" s="4">
        <f t="shared" si="0"/>
        <v>3960</v>
      </c>
      <c r="F180" s="4">
        <f t="shared" si="1"/>
        <v>396</v>
      </c>
      <c r="G180" s="4">
        <v>52</v>
      </c>
      <c r="H180" s="4">
        <v>150</v>
      </c>
      <c r="I180" s="4">
        <v>127</v>
      </c>
      <c r="J180" s="4">
        <f t="shared" si="2"/>
        <v>15.84</v>
      </c>
      <c r="K180" s="4">
        <f t="shared" si="3"/>
        <v>18.708661417322833</v>
      </c>
      <c r="L180" s="4">
        <f t="shared" si="4"/>
        <v>20.8</v>
      </c>
      <c r="M180" s="4">
        <f t="shared" si="5"/>
        <v>24.566929133858267</v>
      </c>
      <c r="N180" s="5">
        <v>3</v>
      </c>
      <c r="O180" s="6" t="s">
        <v>213</v>
      </c>
      <c r="P180" s="3">
        <f>N180*VLOOKUP(O180,'Ingredient costs'!$A$2:$B$536,2, FALSE)</f>
        <v>3024</v>
      </c>
      <c r="Q180" s="5">
        <v>1</v>
      </c>
      <c r="R180" s="6" t="s">
        <v>71</v>
      </c>
      <c r="S180" s="3">
        <f>Q180*VLOOKUP(R180,'Ingredient costs'!$A$2:$B$536,2, FALSE)</f>
        <v>504</v>
      </c>
      <c r="T180" s="5">
        <v>2</v>
      </c>
      <c r="U180" s="6" t="s">
        <v>26</v>
      </c>
      <c r="V180" s="3">
        <f>T180*VLOOKUP(U180,'Ingredient costs'!$A$2:$B$536,2, FALSE)</f>
        <v>360</v>
      </c>
      <c r="W180" s="5">
        <v>2</v>
      </c>
      <c r="X180" s="7" t="s">
        <v>22</v>
      </c>
      <c r="Y180" s="3">
        <f>W180*VLOOKUP(X180,'Ingredient costs'!$A$2:$B$536,2, FALSE)</f>
        <v>72</v>
      </c>
      <c r="AA180" s="3" t="s">
        <v>23</v>
      </c>
      <c r="AB180" s="3">
        <f>Z180*VLOOKUP(AA180,'Ingredient costs'!$A$2:$B$536,2, FALSE)</f>
        <v>0</v>
      </c>
    </row>
    <row r="181" spans="1:28" ht="15" x14ac:dyDescent="0.25">
      <c r="A181" s="4" t="s">
        <v>279</v>
      </c>
      <c r="B181" s="4" t="s">
        <v>291</v>
      </c>
      <c r="C181" s="4">
        <v>92</v>
      </c>
      <c r="D181" s="4">
        <v>1116</v>
      </c>
      <c r="E181" s="4">
        <f t="shared" si="0"/>
        <v>792</v>
      </c>
      <c r="F181" s="4">
        <f t="shared" si="1"/>
        <v>324</v>
      </c>
      <c r="G181" s="4">
        <v>13</v>
      </c>
      <c r="H181" s="4">
        <v>50</v>
      </c>
      <c r="I181" s="4">
        <v>42</v>
      </c>
      <c r="J181" s="4">
        <f t="shared" si="2"/>
        <v>38.880000000000003</v>
      </c>
      <c r="K181" s="4">
        <f t="shared" si="3"/>
        <v>46.285714285714285</v>
      </c>
      <c r="L181" s="4">
        <f t="shared" si="4"/>
        <v>15.600000000000001</v>
      </c>
      <c r="M181" s="4">
        <f t="shared" si="5"/>
        <v>18.571428571428573</v>
      </c>
      <c r="N181" s="5">
        <v>3</v>
      </c>
      <c r="O181" s="6" t="s">
        <v>225</v>
      </c>
      <c r="P181" s="3">
        <f>N181*VLOOKUP(O181,'Ingredient costs'!$A$2:$B$536,2, FALSE)</f>
        <v>540</v>
      </c>
      <c r="Q181" s="5">
        <v>2</v>
      </c>
      <c r="R181" s="6" t="s">
        <v>22</v>
      </c>
      <c r="S181" s="3">
        <f>Q181*VLOOKUP(R181,'Ingredient costs'!$A$2:$B$536,2, FALSE)</f>
        <v>72</v>
      </c>
      <c r="T181" s="5">
        <v>1</v>
      </c>
      <c r="U181" s="6" t="s">
        <v>26</v>
      </c>
      <c r="V181" s="3">
        <f>T181*VLOOKUP(U181,'Ingredient costs'!$A$2:$B$536,2, FALSE)</f>
        <v>180</v>
      </c>
      <c r="W181" s="6"/>
      <c r="X181" s="3" t="s">
        <v>23</v>
      </c>
      <c r="Y181" s="3">
        <f>W181*VLOOKUP(X181,'Ingredient costs'!$A$2:$B$536,2, FALSE)</f>
        <v>0</v>
      </c>
      <c r="AA181" s="3" t="s">
        <v>23</v>
      </c>
      <c r="AB181" s="3">
        <f>Z181*VLOOKUP(AA181,'Ingredient costs'!$A$2:$B$536,2, FALSE)</f>
        <v>0</v>
      </c>
    </row>
    <row r="182" spans="1:28" ht="15" x14ac:dyDescent="0.25">
      <c r="A182" s="4" t="s">
        <v>279</v>
      </c>
      <c r="B182" s="4" t="s">
        <v>292</v>
      </c>
      <c r="C182" s="4">
        <v>97</v>
      </c>
      <c r="D182" s="4">
        <v>1620</v>
      </c>
      <c r="E182" s="4">
        <f t="shared" si="0"/>
        <v>1332</v>
      </c>
      <c r="F182" s="4">
        <f t="shared" si="1"/>
        <v>288</v>
      </c>
      <c r="G182" s="4">
        <v>19</v>
      </c>
      <c r="H182" s="4">
        <v>60</v>
      </c>
      <c r="I182" s="4">
        <v>51</v>
      </c>
      <c r="J182" s="4">
        <f t="shared" si="2"/>
        <v>28.799999999999997</v>
      </c>
      <c r="K182" s="4">
        <f t="shared" si="3"/>
        <v>33.882352941176471</v>
      </c>
      <c r="L182" s="4">
        <f t="shared" si="4"/>
        <v>19</v>
      </c>
      <c r="M182" s="4">
        <f t="shared" si="5"/>
        <v>22.352941176470587</v>
      </c>
      <c r="N182" s="5">
        <v>3</v>
      </c>
      <c r="O182" s="6" t="s">
        <v>90</v>
      </c>
      <c r="P182" s="3">
        <f>N182*VLOOKUP(O182,'Ingredient costs'!$A$2:$B$536,2, FALSE)</f>
        <v>324</v>
      </c>
      <c r="Q182" s="5">
        <v>3</v>
      </c>
      <c r="R182" s="6" t="s">
        <v>293</v>
      </c>
      <c r="S182" s="3">
        <f>Q182*VLOOKUP(R182,'Ingredient costs'!$A$2:$B$536,2, FALSE)</f>
        <v>540</v>
      </c>
      <c r="T182" s="5">
        <v>3</v>
      </c>
      <c r="U182" s="6" t="s">
        <v>22</v>
      </c>
      <c r="V182" s="3">
        <f>T182*VLOOKUP(U182,'Ingredient costs'!$A$2:$B$536,2, FALSE)</f>
        <v>108</v>
      </c>
      <c r="W182" s="5">
        <v>2</v>
      </c>
      <c r="X182" s="7" t="s">
        <v>26</v>
      </c>
      <c r="Y182" s="3">
        <f>W182*VLOOKUP(X182,'Ingredient costs'!$A$2:$B$536,2, FALSE)</f>
        <v>360</v>
      </c>
      <c r="AA182" s="3" t="s">
        <v>23</v>
      </c>
      <c r="AB182" s="3">
        <f>Z182*VLOOKUP(AA182,'Ingredient costs'!$A$2:$B$536,2, FALSE)</f>
        <v>0</v>
      </c>
    </row>
    <row r="183" spans="1:28" ht="15" x14ac:dyDescent="0.25">
      <c r="A183" s="4" t="s">
        <v>279</v>
      </c>
      <c r="B183" s="4" t="s">
        <v>294</v>
      </c>
      <c r="C183" s="4">
        <v>99</v>
      </c>
      <c r="D183" s="4">
        <v>4428</v>
      </c>
      <c r="E183" s="4">
        <f t="shared" si="0"/>
        <v>4104</v>
      </c>
      <c r="F183" s="4">
        <f t="shared" si="1"/>
        <v>324</v>
      </c>
      <c r="G183" s="4">
        <v>53</v>
      </c>
      <c r="H183" s="4">
        <v>45</v>
      </c>
      <c r="I183" s="4">
        <v>38</v>
      </c>
      <c r="J183" s="4">
        <f t="shared" si="2"/>
        <v>43.199999999999996</v>
      </c>
      <c r="K183" s="4">
        <f t="shared" si="3"/>
        <v>51.15789473684211</v>
      </c>
      <c r="L183" s="4">
        <f t="shared" si="4"/>
        <v>70.666666666666671</v>
      </c>
      <c r="M183" s="4">
        <f t="shared" si="5"/>
        <v>83.68421052631578</v>
      </c>
      <c r="N183" s="8">
        <v>4</v>
      </c>
      <c r="O183" s="7" t="s">
        <v>86</v>
      </c>
      <c r="P183" s="3">
        <f>N183*VLOOKUP(O183,'Ingredient costs'!$A$2:$B$536,2, FALSE)</f>
        <v>576</v>
      </c>
      <c r="Q183" s="8">
        <v>1</v>
      </c>
      <c r="R183" s="7" t="s">
        <v>35</v>
      </c>
      <c r="S183" s="3">
        <f>Q183*VLOOKUP(R183,'Ingredient costs'!$A$2:$B$536,2, FALSE)</f>
        <v>1224</v>
      </c>
      <c r="T183" s="8">
        <v>1</v>
      </c>
      <c r="U183" s="7" t="s">
        <v>198</v>
      </c>
      <c r="V183" s="3">
        <f>T183*VLOOKUP(U183,'Ingredient costs'!$A$2:$B$536,2, FALSE)</f>
        <v>2304</v>
      </c>
      <c r="W183" s="7"/>
      <c r="X183" s="3" t="s">
        <v>23</v>
      </c>
      <c r="Y183" s="3">
        <f>W183*VLOOKUP(X183,'Ingredient costs'!$A$2:$B$536,2, FALSE)</f>
        <v>0</v>
      </c>
      <c r="AA183" s="3" t="s">
        <v>23</v>
      </c>
      <c r="AB183" s="3">
        <f>Z183*VLOOKUP(AA183,'Ingredient costs'!$A$2:$B$536,2, FALSE)</f>
        <v>0</v>
      </c>
    </row>
    <row r="184" spans="1:28" ht="15" x14ac:dyDescent="0.25">
      <c r="A184" s="4" t="s">
        <v>295</v>
      </c>
      <c r="B184" s="4" t="s">
        <v>296</v>
      </c>
      <c r="C184" s="4">
        <v>8</v>
      </c>
      <c r="D184" s="4">
        <v>324</v>
      </c>
      <c r="E184" s="4">
        <f t="shared" si="0"/>
        <v>144</v>
      </c>
      <c r="F184" s="4">
        <f t="shared" si="1"/>
        <v>180</v>
      </c>
      <c r="G184" s="4">
        <v>4</v>
      </c>
      <c r="H184" s="4">
        <v>30</v>
      </c>
      <c r="I184" s="4">
        <v>25</v>
      </c>
      <c r="J184" s="4">
        <f t="shared" si="2"/>
        <v>36</v>
      </c>
      <c r="K184" s="4">
        <f t="shared" si="3"/>
        <v>43.199999999999996</v>
      </c>
      <c r="L184" s="4">
        <f t="shared" si="4"/>
        <v>8</v>
      </c>
      <c r="M184" s="4">
        <f t="shared" si="5"/>
        <v>9.6</v>
      </c>
      <c r="N184" s="5">
        <v>2</v>
      </c>
      <c r="O184" s="6" t="s">
        <v>25</v>
      </c>
      <c r="P184" s="3">
        <f>N184*VLOOKUP(O184,'Ingredient costs'!$A$2:$B$536,2, FALSE)</f>
        <v>144</v>
      </c>
      <c r="Q184" s="6"/>
      <c r="R184" s="3" t="s">
        <v>23</v>
      </c>
      <c r="S184" s="3">
        <f>Q184*VLOOKUP(R184,'Ingredient costs'!$A$2:$B$536,2, FALSE)</f>
        <v>0</v>
      </c>
      <c r="T184" s="6"/>
      <c r="U184" s="3" t="s">
        <v>23</v>
      </c>
      <c r="V184" s="3">
        <f>T184*VLOOKUP(U184,'Ingredient costs'!$A$2:$B$536,2, FALSE)</f>
        <v>0</v>
      </c>
      <c r="W184" s="6"/>
      <c r="X184" s="3" t="s">
        <v>23</v>
      </c>
      <c r="Y184" s="3">
        <f>W184*VLOOKUP(X184,'Ingredient costs'!$A$2:$B$536,2, FALSE)</f>
        <v>0</v>
      </c>
      <c r="AA184" s="3" t="s">
        <v>23</v>
      </c>
      <c r="AB184" s="3">
        <f>Z184*VLOOKUP(AA184,'Ingredient costs'!$A$2:$B$536,2, FALSE)</f>
        <v>0</v>
      </c>
    </row>
    <row r="185" spans="1:28" ht="15" x14ac:dyDescent="0.25">
      <c r="A185" s="4" t="s">
        <v>295</v>
      </c>
      <c r="B185" s="4" t="s">
        <v>297</v>
      </c>
      <c r="C185" s="4">
        <v>16</v>
      </c>
      <c r="D185" s="4">
        <v>1260</v>
      </c>
      <c r="E185" s="4">
        <f t="shared" si="0"/>
        <v>972</v>
      </c>
      <c r="F185" s="4">
        <f t="shared" si="1"/>
        <v>288</v>
      </c>
      <c r="G185" s="4">
        <v>15</v>
      </c>
      <c r="H185" s="4">
        <v>60</v>
      </c>
      <c r="I185" s="4">
        <v>51</v>
      </c>
      <c r="J185" s="4">
        <f t="shared" si="2"/>
        <v>28.799999999999997</v>
      </c>
      <c r="K185" s="4">
        <f t="shared" si="3"/>
        <v>33.882352941176471</v>
      </c>
      <c r="L185" s="4">
        <f t="shared" si="4"/>
        <v>15</v>
      </c>
      <c r="M185" s="4">
        <f t="shared" si="5"/>
        <v>17.647058823529413</v>
      </c>
      <c r="N185" s="5">
        <v>2</v>
      </c>
      <c r="O185" s="6" t="s">
        <v>25</v>
      </c>
      <c r="P185" s="3">
        <f>N185*VLOOKUP(O185,'Ingredient costs'!$A$2:$B$536,2, FALSE)</f>
        <v>144</v>
      </c>
      <c r="Q185" s="5">
        <v>1</v>
      </c>
      <c r="R185" s="6" t="s">
        <v>41</v>
      </c>
      <c r="S185" s="3">
        <f>Q185*VLOOKUP(R185,'Ingredient costs'!$A$2:$B$536,2, FALSE)</f>
        <v>828</v>
      </c>
      <c r="T185" s="6"/>
      <c r="U185" s="3" t="s">
        <v>23</v>
      </c>
      <c r="V185" s="3">
        <f>T185*VLOOKUP(U185,'Ingredient costs'!$A$2:$B$536,2, FALSE)</f>
        <v>0</v>
      </c>
      <c r="W185" s="6"/>
      <c r="X185" s="3" t="s">
        <v>23</v>
      </c>
      <c r="Y185" s="3">
        <f>W185*VLOOKUP(X185,'Ingredient costs'!$A$2:$B$536,2, FALSE)</f>
        <v>0</v>
      </c>
      <c r="AA185" s="3" t="s">
        <v>23</v>
      </c>
      <c r="AB185" s="3">
        <f>Z185*VLOOKUP(AA185,'Ingredient costs'!$A$2:$B$536,2, FALSE)</f>
        <v>0</v>
      </c>
    </row>
    <row r="186" spans="1:28" ht="15" x14ac:dyDescent="0.25">
      <c r="A186" s="4" t="s">
        <v>295</v>
      </c>
      <c r="B186" s="4" t="s">
        <v>298</v>
      </c>
      <c r="C186" s="4">
        <v>25</v>
      </c>
      <c r="D186" s="4">
        <v>1224</v>
      </c>
      <c r="E186" s="4">
        <f t="shared" si="0"/>
        <v>864</v>
      </c>
      <c r="F186" s="4">
        <f t="shared" si="1"/>
        <v>360</v>
      </c>
      <c r="G186" s="4">
        <v>15</v>
      </c>
      <c r="H186" s="4">
        <v>120</v>
      </c>
      <c r="I186" s="4">
        <v>102</v>
      </c>
      <c r="J186" s="4">
        <f t="shared" si="2"/>
        <v>18</v>
      </c>
      <c r="K186" s="4">
        <f t="shared" si="3"/>
        <v>21.176470588235293</v>
      </c>
      <c r="L186" s="4">
        <f t="shared" si="4"/>
        <v>7.5</v>
      </c>
      <c r="M186" s="4">
        <f t="shared" si="5"/>
        <v>8.8235294117647065</v>
      </c>
      <c r="N186" s="5">
        <v>2</v>
      </c>
      <c r="O186" s="6" t="s">
        <v>25</v>
      </c>
      <c r="P186" s="3">
        <f>N186*VLOOKUP(O186,'Ingredient costs'!$A$2:$B$536,2, FALSE)</f>
        <v>144</v>
      </c>
      <c r="Q186" s="5">
        <v>2</v>
      </c>
      <c r="R186" s="6" t="s">
        <v>37</v>
      </c>
      <c r="S186" s="3">
        <f>Q186*VLOOKUP(R186,'Ingredient costs'!$A$2:$B$536,2, FALSE)</f>
        <v>720</v>
      </c>
      <c r="T186" s="6"/>
      <c r="U186" s="3" t="s">
        <v>23</v>
      </c>
      <c r="V186" s="3">
        <f>T186*VLOOKUP(U186,'Ingredient costs'!$A$2:$B$536,2, FALSE)</f>
        <v>0</v>
      </c>
      <c r="W186" s="6"/>
      <c r="X186" s="3" t="s">
        <v>23</v>
      </c>
      <c r="Y186" s="3">
        <f>W186*VLOOKUP(X186,'Ingredient costs'!$A$2:$B$536,2, FALSE)</f>
        <v>0</v>
      </c>
      <c r="AA186" s="3" t="s">
        <v>23</v>
      </c>
      <c r="AB186" s="3">
        <f>Z186*VLOOKUP(AA186,'Ingredient costs'!$A$2:$B$536,2, FALSE)</f>
        <v>0</v>
      </c>
    </row>
    <row r="187" spans="1:28" ht="15" x14ac:dyDescent="0.25">
      <c r="A187" s="4" t="s">
        <v>295</v>
      </c>
      <c r="B187" s="4" t="s">
        <v>299</v>
      </c>
      <c r="C187" s="4">
        <v>40</v>
      </c>
      <c r="D187" s="4">
        <v>3600</v>
      </c>
      <c r="E187" s="4">
        <f t="shared" si="0"/>
        <v>3240</v>
      </c>
      <c r="F187" s="4">
        <f t="shared" si="1"/>
        <v>360</v>
      </c>
      <c r="G187" s="4">
        <v>43</v>
      </c>
      <c r="H187" s="4">
        <v>90</v>
      </c>
      <c r="I187" s="4">
        <v>76</v>
      </c>
      <c r="J187" s="4">
        <f t="shared" si="2"/>
        <v>24</v>
      </c>
      <c r="K187" s="4">
        <f t="shared" si="3"/>
        <v>28.421052631578945</v>
      </c>
      <c r="L187" s="4">
        <f t="shared" si="4"/>
        <v>28.666666666666668</v>
      </c>
      <c r="M187" s="4">
        <f t="shared" si="5"/>
        <v>33.94736842105263</v>
      </c>
      <c r="N187" s="5">
        <v>2</v>
      </c>
      <c r="O187" s="6" t="s">
        <v>25</v>
      </c>
      <c r="P187" s="3">
        <f>N187*VLOOKUP(O187,'Ingredient costs'!$A$2:$B$536,2, FALSE)</f>
        <v>144</v>
      </c>
      <c r="Q187" s="5">
        <v>2</v>
      </c>
      <c r="R187" s="6" t="s">
        <v>62</v>
      </c>
      <c r="S187" s="3">
        <f>Q187*VLOOKUP(R187,'Ingredient costs'!$A$2:$B$536,2, FALSE)</f>
        <v>3096</v>
      </c>
      <c r="T187" s="6"/>
      <c r="U187" s="3" t="s">
        <v>23</v>
      </c>
      <c r="V187" s="3">
        <f>T187*VLOOKUP(U187,'Ingredient costs'!$A$2:$B$536,2, FALSE)</f>
        <v>0</v>
      </c>
      <c r="W187" s="6"/>
      <c r="X187" s="3" t="s">
        <v>23</v>
      </c>
      <c r="Y187" s="3">
        <f>W187*VLOOKUP(X187,'Ingredient costs'!$A$2:$B$536,2, FALSE)</f>
        <v>0</v>
      </c>
      <c r="AA187" s="3" t="s">
        <v>23</v>
      </c>
      <c r="AB187" s="3">
        <f>Z187*VLOOKUP(AA187,'Ingredient costs'!$A$2:$B$536,2, FALSE)</f>
        <v>0</v>
      </c>
    </row>
    <row r="188" spans="1:28" ht="15" x14ac:dyDescent="0.25">
      <c r="A188" s="4" t="s">
        <v>295</v>
      </c>
      <c r="B188" s="4" t="s">
        <v>300</v>
      </c>
      <c r="C188" s="4">
        <v>44</v>
      </c>
      <c r="D188" s="4">
        <v>2484</v>
      </c>
      <c r="E188" s="4">
        <f t="shared" si="0"/>
        <v>1872</v>
      </c>
      <c r="F188" s="4">
        <f t="shared" si="1"/>
        <v>612</v>
      </c>
      <c r="G188" s="4">
        <v>29</v>
      </c>
      <c r="H188" s="4">
        <v>150</v>
      </c>
      <c r="I188" s="4">
        <v>127</v>
      </c>
      <c r="J188" s="4">
        <f t="shared" si="2"/>
        <v>24.48</v>
      </c>
      <c r="K188" s="4">
        <f t="shared" si="3"/>
        <v>28.913385826771655</v>
      </c>
      <c r="L188" s="4">
        <f t="shared" si="4"/>
        <v>11.6</v>
      </c>
      <c r="M188" s="4">
        <f t="shared" si="5"/>
        <v>13.700787401574804</v>
      </c>
      <c r="N188" s="5">
        <v>2</v>
      </c>
      <c r="O188" s="6" t="s">
        <v>25</v>
      </c>
      <c r="P188" s="3">
        <f>N188*VLOOKUP(O188,'Ingredient costs'!$A$2:$B$536,2, FALSE)</f>
        <v>144</v>
      </c>
      <c r="Q188" s="5">
        <v>2</v>
      </c>
      <c r="R188" s="6" t="s">
        <v>54</v>
      </c>
      <c r="S188" s="3">
        <f>Q188*VLOOKUP(R188,'Ingredient costs'!$A$2:$B$536,2, FALSE)</f>
        <v>1728</v>
      </c>
      <c r="T188" s="6"/>
      <c r="U188" s="3" t="s">
        <v>23</v>
      </c>
      <c r="V188" s="3">
        <f>T188*VLOOKUP(U188,'Ingredient costs'!$A$2:$B$536,2, FALSE)</f>
        <v>0</v>
      </c>
      <c r="W188" s="6"/>
      <c r="X188" s="3" t="s">
        <v>23</v>
      </c>
      <c r="Y188" s="3">
        <f>W188*VLOOKUP(X188,'Ingredient costs'!$A$2:$B$536,2, FALSE)</f>
        <v>0</v>
      </c>
      <c r="AA188" s="3" t="s">
        <v>23</v>
      </c>
      <c r="AB188" s="3">
        <f>Z188*VLOOKUP(AA188,'Ingredient costs'!$A$2:$B$536,2, FALSE)</f>
        <v>0</v>
      </c>
    </row>
    <row r="189" spans="1:28" ht="15" x14ac:dyDescent="0.25">
      <c r="A189" s="4" t="s">
        <v>295</v>
      </c>
      <c r="B189" s="4" t="s">
        <v>301</v>
      </c>
      <c r="C189" s="4">
        <v>64</v>
      </c>
      <c r="D189" s="4">
        <v>3096</v>
      </c>
      <c r="E189" s="4">
        <f t="shared" si="0"/>
        <v>2664</v>
      </c>
      <c r="F189" s="4">
        <f t="shared" si="1"/>
        <v>432</v>
      </c>
      <c r="G189" s="4">
        <v>50</v>
      </c>
      <c r="H189" s="4">
        <v>45</v>
      </c>
      <c r="I189" s="4">
        <v>38</v>
      </c>
      <c r="J189" s="4">
        <f t="shared" si="2"/>
        <v>57.599999999999994</v>
      </c>
      <c r="K189" s="4">
        <f t="shared" si="3"/>
        <v>68.21052631578948</v>
      </c>
      <c r="L189" s="4">
        <f t="shared" si="4"/>
        <v>66.666666666666671</v>
      </c>
      <c r="M189" s="4">
        <f t="shared" si="5"/>
        <v>78.94736842105263</v>
      </c>
      <c r="N189" s="8">
        <v>2</v>
      </c>
      <c r="O189" s="7" t="s">
        <v>25</v>
      </c>
      <c r="P189" s="3">
        <f>N189*VLOOKUP(O189,'Ingredient costs'!$A$2:$B$536,2, FALSE)</f>
        <v>144</v>
      </c>
      <c r="Q189" s="8">
        <v>1</v>
      </c>
      <c r="R189" s="7" t="s">
        <v>91</v>
      </c>
      <c r="S189" s="3">
        <f>Q189*VLOOKUP(R189,'Ingredient costs'!$A$2:$B$536,2, FALSE)</f>
        <v>180</v>
      </c>
      <c r="T189" s="8">
        <v>1</v>
      </c>
      <c r="U189" s="7" t="s">
        <v>136</v>
      </c>
      <c r="V189" s="3">
        <f>T189*VLOOKUP(U189,'Ingredient costs'!$A$2:$B$536,2, FALSE)</f>
        <v>2340</v>
      </c>
      <c r="X189" s="3" t="s">
        <v>23</v>
      </c>
      <c r="Y189" s="3">
        <f>W189*VLOOKUP(X189,'Ingredient costs'!$A$2:$B$536,2, FALSE)</f>
        <v>0</v>
      </c>
      <c r="AA189" s="3" t="s">
        <v>23</v>
      </c>
      <c r="AB189" s="3">
        <f>Z189*VLOOKUP(AA189,'Ingredient costs'!$A$2:$B$536,2, FALSE)</f>
        <v>0</v>
      </c>
    </row>
    <row r="190" spans="1:28" ht="15" x14ac:dyDescent="0.25">
      <c r="A190" s="4" t="s">
        <v>302</v>
      </c>
      <c r="B190" s="4" t="s">
        <v>303</v>
      </c>
      <c r="C190" s="4">
        <v>94</v>
      </c>
      <c r="D190" s="4">
        <v>2196</v>
      </c>
      <c r="E190" s="4">
        <f t="shared" si="0"/>
        <v>1404</v>
      </c>
      <c r="F190" s="4">
        <f t="shared" si="1"/>
        <v>792</v>
      </c>
      <c r="G190" s="4" t="s">
        <v>304</v>
      </c>
      <c r="H190" s="4">
        <v>220</v>
      </c>
      <c r="I190" s="4">
        <v>187</v>
      </c>
      <c r="J190" s="4">
        <f t="shared" si="2"/>
        <v>21.599999999999998</v>
      </c>
      <c r="K190" s="4">
        <f t="shared" si="3"/>
        <v>25.411764705882351</v>
      </c>
      <c r="L190" s="4" t="e">
        <f t="shared" si="4"/>
        <v>#VALUE!</v>
      </c>
      <c r="M190" s="4" t="e">
        <f t="shared" si="5"/>
        <v>#VALUE!</v>
      </c>
      <c r="N190" s="5">
        <v>3</v>
      </c>
      <c r="O190" s="6" t="s">
        <v>305</v>
      </c>
      <c r="P190" s="3">
        <f>N190*VLOOKUP(O190,'Ingredient costs'!$A$2:$B$536,2, FALSE)</f>
        <v>540</v>
      </c>
      <c r="Q190" s="5">
        <v>1</v>
      </c>
      <c r="R190" s="6" t="s">
        <v>60</v>
      </c>
      <c r="S190" s="3">
        <f>Q190*VLOOKUP(R190,'Ingredient costs'!$A$2:$B$536,2, FALSE)</f>
        <v>648</v>
      </c>
      <c r="T190" s="5">
        <v>1</v>
      </c>
      <c r="U190" s="6" t="s">
        <v>108</v>
      </c>
      <c r="V190" s="3">
        <f>T190*VLOOKUP(U190,'Ingredient costs'!$A$2:$B$536,2, FALSE)</f>
        <v>216</v>
      </c>
      <c r="W190" s="6"/>
      <c r="X190" s="7" t="s">
        <v>23</v>
      </c>
      <c r="Y190" s="3">
        <f>W190*VLOOKUP(X190,'Ingredient costs'!$A$2:$B$536,2, FALSE)</f>
        <v>0</v>
      </c>
      <c r="AA190" s="3" t="s">
        <v>23</v>
      </c>
      <c r="AB190" s="3">
        <f>Z190*VLOOKUP(AA190,'Ingredient costs'!$A$2:$B$536,2, FALSE)</f>
        <v>0</v>
      </c>
    </row>
    <row r="191" spans="1:28" ht="15" x14ac:dyDescent="0.25">
      <c r="A191" s="4" t="s">
        <v>302</v>
      </c>
      <c r="B191" s="4" t="s">
        <v>306</v>
      </c>
      <c r="C191" s="4">
        <v>96</v>
      </c>
      <c r="D191" s="4">
        <v>1512</v>
      </c>
      <c r="E191" s="4">
        <f t="shared" si="0"/>
        <v>756</v>
      </c>
      <c r="F191" s="4">
        <f t="shared" si="1"/>
        <v>756</v>
      </c>
      <c r="G191" s="4">
        <v>26</v>
      </c>
      <c r="H191" s="4">
        <v>220</v>
      </c>
      <c r="I191" s="4">
        <v>191</v>
      </c>
      <c r="J191" s="4">
        <f t="shared" si="2"/>
        <v>20.618181818181817</v>
      </c>
      <c r="K191" s="4">
        <f t="shared" si="3"/>
        <v>23.748691099476439</v>
      </c>
      <c r="L191" s="4">
        <f t="shared" si="4"/>
        <v>7.0909090909090908</v>
      </c>
      <c r="M191" s="4">
        <f t="shared" si="5"/>
        <v>8.167539267015707</v>
      </c>
      <c r="N191" s="5">
        <v>3</v>
      </c>
      <c r="O191" s="6" t="s">
        <v>305</v>
      </c>
      <c r="P191" s="3">
        <f>N191*VLOOKUP(O191,'Ingredient costs'!$A$2:$B$536,2, FALSE)</f>
        <v>540</v>
      </c>
      <c r="Q191" s="5">
        <v>1</v>
      </c>
      <c r="R191" s="6" t="s">
        <v>126</v>
      </c>
      <c r="S191" s="3">
        <f>Q191*VLOOKUP(R191,'Ingredient costs'!$A$2:$B$536,2, FALSE)</f>
        <v>216</v>
      </c>
      <c r="T191" s="6"/>
      <c r="U191" s="6" t="s">
        <v>23</v>
      </c>
      <c r="V191" s="3">
        <f>T191*VLOOKUP(U191,'Ingredient costs'!$A$2:$B$536,2, FALSE)</f>
        <v>0</v>
      </c>
      <c r="W191" s="6"/>
      <c r="X191" s="7" t="s">
        <v>23</v>
      </c>
      <c r="Y191" s="3">
        <f>W191*VLOOKUP(X191,'Ingredient costs'!$A$2:$B$536,2, FALSE)</f>
        <v>0</v>
      </c>
      <c r="AA191" s="3" t="s">
        <v>23</v>
      </c>
      <c r="AB191" s="3">
        <f>Z191*VLOOKUP(AA191,'Ingredient costs'!$A$2:$B$536,2, FALSE)</f>
        <v>0</v>
      </c>
    </row>
    <row r="192" spans="1:28" ht="15" x14ac:dyDescent="0.25">
      <c r="A192" s="4" t="s">
        <v>302</v>
      </c>
      <c r="B192" s="4" t="s">
        <v>307</v>
      </c>
      <c r="C192" s="4">
        <v>99</v>
      </c>
      <c r="D192" s="4">
        <v>2124</v>
      </c>
      <c r="E192" s="4">
        <f t="shared" si="0"/>
        <v>1404</v>
      </c>
      <c r="F192" s="4">
        <f t="shared" si="1"/>
        <v>720</v>
      </c>
      <c r="G192" s="4" t="s">
        <v>304</v>
      </c>
      <c r="H192" s="4">
        <v>140</v>
      </c>
      <c r="I192" s="4">
        <v>119</v>
      </c>
      <c r="J192" s="4">
        <f t="shared" si="2"/>
        <v>30.857142857142861</v>
      </c>
      <c r="K192" s="4">
        <f t="shared" si="3"/>
        <v>36.30252100840336</v>
      </c>
      <c r="L192" s="4" t="e">
        <f t="shared" si="4"/>
        <v>#VALUE!</v>
      </c>
      <c r="M192" s="4" t="e">
        <f t="shared" si="5"/>
        <v>#VALUE!</v>
      </c>
      <c r="N192" s="8">
        <v>3</v>
      </c>
      <c r="O192" s="7" t="s">
        <v>305</v>
      </c>
      <c r="P192" s="3">
        <f>N192*VLOOKUP(O192,'Ingredient costs'!$A$2:$B$536,2, FALSE)</f>
        <v>540</v>
      </c>
      <c r="Q192" s="8">
        <v>2</v>
      </c>
      <c r="R192" s="7" t="s">
        <v>124</v>
      </c>
      <c r="S192" s="3">
        <f>Q192*VLOOKUP(R192,'Ingredient costs'!$A$2:$B$536,2, FALSE)</f>
        <v>504</v>
      </c>
      <c r="T192" s="8">
        <v>1</v>
      </c>
      <c r="U192" s="7" t="s">
        <v>125</v>
      </c>
      <c r="V192" s="3">
        <f>T192*VLOOKUP(U192,'Ingredient costs'!$A$2:$B$536,2, FALSE)</f>
        <v>360</v>
      </c>
      <c r="W192" s="7"/>
      <c r="X192" s="7" t="s">
        <v>23</v>
      </c>
      <c r="Y192" s="3">
        <f>W192*VLOOKUP(X192,'Ingredient costs'!$A$2:$B$536,2, FALSE)</f>
        <v>0</v>
      </c>
      <c r="AA192" s="3" t="s">
        <v>23</v>
      </c>
      <c r="AB192" s="3">
        <f>Z192*VLOOKUP(AA192,'Ingredient costs'!$A$2:$B$536,2, FALSE)</f>
        <v>0</v>
      </c>
    </row>
    <row r="193" spans="1:28" ht="15" x14ac:dyDescent="0.25">
      <c r="A193" s="4" t="s">
        <v>308</v>
      </c>
      <c r="B193" s="4" t="s">
        <v>309</v>
      </c>
      <c r="C193" s="4">
        <v>91</v>
      </c>
      <c r="D193" s="4">
        <v>2700</v>
      </c>
      <c r="E193" s="4">
        <f t="shared" si="0"/>
        <v>2160</v>
      </c>
      <c r="F193" s="4">
        <f t="shared" si="1"/>
        <v>540</v>
      </c>
      <c r="G193" s="4">
        <v>32</v>
      </c>
      <c r="H193" s="4">
        <v>240</v>
      </c>
      <c r="I193" s="4">
        <v>225</v>
      </c>
      <c r="J193" s="4">
        <f t="shared" si="2"/>
        <v>13.5</v>
      </c>
      <c r="K193" s="4">
        <f t="shared" si="3"/>
        <v>14.399999999999999</v>
      </c>
      <c r="L193" s="4">
        <f t="shared" si="4"/>
        <v>8</v>
      </c>
      <c r="M193" s="4">
        <f t="shared" si="5"/>
        <v>8.5333333333333332</v>
      </c>
      <c r="N193" s="5">
        <v>3</v>
      </c>
      <c r="O193" s="6" t="s">
        <v>310</v>
      </c>
      <c r="P193" s="3">
        <f>N193*VLOOKUP(O193,'Ingredient costs'!$A$2:$B$536,2, FALSE)</f>
        <v>432</v>
      </c>
      <c r="Q193" s="5">
        <v>2</v>
      </c>
      <c r="R193" s="6" t="s">
        <v>77</v>
      </c>
      <c r="S193" s="3">
        <f>Q193*VLOOKUP(R193,'Ingredient costs'!$A$2:$B$536,2, FALSE)</f>
        <v>792</v>
      </c>
      <c r="T193" s="5">
        <v>1</v>
      </c>
      <c r="U193" s="6" t="s">
        <v>58</v>
      </c>
      <c r="V193" s="3">
        <f>T193*VLOOKUP(U193,'Ingredient costs'!$A$2:$B$536,2, FALSE)</f>
        <v>936</v>
      </c>
      <c r="W193" s="6"/>
      <c r="X193" s="7" t="s">
        <v>23</v>
      </c>
      <c r="Y193" s="3">
        <f>W193*VLOOKUP(X193,'Ingredient costs'!$A$2:$B$536,2, FALSE)</f>
        <v>0</v>
      </c>
      <c r="AA193" s="3" t="s">
        <v>23</v>
      </c>
      <c r="AB193" s="3">
        <f>Z193*VLOOKUP(AA193,'Ingredient costs'!$A$2:$B$536,2, FALSE)</f>
        <v>0</v>
      </c>
    </row>
    <row r="194" spans="1:28" ht="15" x14ac:dyDescent="0.25">
      <c r="A194" s="4" t="s">
        <v>308</v>
      </c>
      <c r="B194" s="4" t="s">
        <v>311</v>
      </c>
      <c r="C194" s="4">
        <v>95</v>
      </c>
      <c r="D194" s="4">
        <v>4716</v>
      </c>
      <c r="E194" s="4">
        <f t="shared" si="0"/>
        <v>4212</v>
      </c>
      <c r="F194" s="4">
        <f t="shared" si="1"/>
        <v>504</v>
      </c>
      <c r="G194" s="4">
        <v>56</v>
      </c>
      <c r="H194" s="4">
        <v>220</v>
      </c>
      <c r="I194" s="4">
        <v>187</v>
      </c>
      <c r="J194" s="4">
        <f t="shared" si="2"/>
        <v>13.745454545454546</v>
      </c>
      <c r="K194" s="4">
        <f t="shared" si="3"/>
        <v>16.171122994652407</v>
      </c>
      <c r="L194" s="4">
        <f t="shared" si="4"/>
        <v>15.272727272727272</v>
      </c>
      <c r="M194" s="4">
        <f t="shared" si="5"/>
        <v>17.967914438502671</v>
      </c>
      <c r="N194" s="5">
        <v>2</v>
      </c>
      <c r="O194" s="6" t="s">
        <v>43</v>
      </c>
      <c r="P194" s="3">
        <f>N194*VLOOKUP(O194,'Ingredient costs'!$A$2:$B$536,2, FALSE)</f>
        <v>1080</v>
      </c>
      <c r="Q194" s="5">
        <v>1</v>
      </c>
      <c r="R194" s="6" t="s">
        <v>37</v>
      </c>
      <c r="S194" s="3">
        <f>Q194*VLOOKUP(R194,'Ingredient costs'!$A$2:$B$536,2, FALSE)</f>
        <v>360</v>
      </c>
      <c r="T194" s="5">
        <v>1</v>
      </c>
      <c r="U194" s="6" t="s">
        <v>57</v>
      </c>
      <c r="V194" s="3">
        <f>T194*VLOOKUP(U194,'Ingredient costs'!$A$2:$B$536,2, FALSE)</f>
        <v>2772</v>
      </c>
      <c r="W194" s="6"/>
      <c r="X194" s="7" t="s">
        <v>23</v>
      </c>
      <c r="Y194" s="3">
        <f>W194*VLOOKUP(X194,'Ingredient costs'!$A$2:$B$536,2, FALSE)</f>
        <v>0</v>
      </c>
      <c r="AA194" s="3" t="s">
        <v>23</v>
      </c>
      <c r="AB194" s="3">
        <f>Z194*VLOOKUP(AA194,'Ingredient costs'!$A$2:$B$536,2, FALSE)</f>
        <v>0</v>
      </c>
    </row>
    <row r="195" spans="1:28" ht="15" x14ac:dyDescent="0.25">
      <c r="A195" s="4" t="s">
        <v>308</v>
      </c>
      <c r="B195" s="4" t="s">
        <v>312</v>
      </c>
      <c r="C195" s="4">
        <v>98</v>
      </c>
      <c r="D195" s="4">
        <v>2196</v>
      </c>
      <c r="E195" s="4">
        <f t="shared" si="0"/>
        <v>1681</v>
      </c>
      <c r="F195" s="4">
        <f t="shared" si="1"/>
        <v>515</v>
      </c>
      <c r="G195" s="4">
        <v>26</v>
      </c>
      <c r="H195" s="4">
        <v>300</v>
      </c>
      <c r="I195" s="4">
        <v>255</v>
      </c>
      <c r="J195" s="4">
        <f t="shared" si="2"/>
        <v>10.299999999999999</v>
      </c>
      <c r="K195" s="4">
        <f t="shared" si="3"/>
        <v>12.117647058823529</v>
      </c>
      <c r="L195" s="4">
        <f t="shared" si="4"/>
        <v>5.2</v>
      </c>
      <c r="M195" s="4">
        <f t="shared" si="5"/>
        <v>6.117647058823529</v>
      </c>
      <c r="N195" s="5">
        <v>5</v>
      </c>
      <c r="O195" s="6" t="s">
        <v>293</v>
      </c>
      <c r="P195" s="3">
        <f>N195*VLOOKUP(O195,'Ingredient costs'!$A$2:$B$536,2, FALSE)</f>
        <v>900</v>
      </c>
      <c r="Q195" s="5">
        <v>1</v>
      </c>
      <c r="R195" s="6" t="s">
        <v>46</v>
      </c>
      <c r="S195" s="3">
        <f>Q195*VLOOKUP(R195,'Ingredient costs'!$A$2:$B$536,2, FALSE)</f>
        <v>288</v>
      </c>
      <c r="T195" s="5">
        <v>1</v>
      </c>
      <c r="U195" s="6" t="s">
        <v>37</v>
      </c>
      <c r="V195" s="3">
        <f>T195*VLOOKUP(U195,'Ingredient costs'!$A$2:$B$536,2, FALSE)</f>
        <v>360</v>
      </c>
      <c r="W195" s="5">
        <v>1</v>
      </c>
      <c r="X195" s="7" t="s">
        <v>75</v>
      </c>
      <c r="Y195" s="3">
        <f>W195*VLOOKUP(X195,'Ingredient costs'!$A$2:$B$536,2, FALSE)</f>
        <v>133</v>
      </c>
      <c r="AA195" s="3" t="s">
        <v>23</v>
      </c>
      <c r="AB195" s="3">
        <f>Z195*VLOOKUP(AA195,'Ingredient costs'!$A$2:$B$536,2, FALSE)</f>
        <v>0</v>
      </c>
    </row>
    <row r="196" spans="1:28" ht="15" x14ac:dyDescent="0.25">
      <c r="A196" s="4" t="s">
        <v>308</v>
      </c>
      <c r="B196" s="4" t="s">
        <v>313</v>
      </c>
      <c r="C196" s="4">
        <v>102</v>
      </c>
      <c r="D196" s="4">
        <v>2664</v>
      </c>
      <c r="E196" s="4">
        <f t="shared" si="0"/>
        <v>2268</v>
      </c>
      <c r="F196" s="4">
        <f t="shared" si="1"/>
        <v>396</v>
      </c>
      <c r="G196" s="4">
        <v>32</v>
      </c>
      <c r="H196" s="4">
        <v>180</v>
      </c>
      <c r="I196" s="4">
        <v>120</v>
      </c>
      <c r="J196" s="4">
        <f t="shared" si="2"/>
        <v>13.200000000000001</v>
      </c>
      <c r="K196" s="4">
        <f t="shared" si="3"/>
        <v>19.799999999999997</v>
      </c>
      <c r="L196" s="4">
        <f t="shared" si="4"/>
        <v>10.666666666666668</v>
      </c>
      <c r="M196" s="4">
        <f t="shared" si="5"/>
        <v>16</v>
      </c>
      <c r="N196" s="8">
        <v>1</v>
      </c>
      <c r="O196" s="7" t="s">
        <v>49</v>
      </c>
      <c r="P196" s="3">
        <f>N196*VLOOKUP(O196,'Ingredient costs'!$A$2:$B$536,2, FALSE)</f>
        <v>324</v>
      </c>
      <c r="Q196" s="8">
        <v>1</v>
      </c>
      <c r="R196" s="3" t="s">
        <v>30</v>
      </c>
      <c r="S196" s="3">
        <f>Q196*VLOOKUP(R196,'Ingredient costs'!$A$2:$B$536,2, FALSE)</f>
        <v>468</v>
      </c>
      <c r="T196" s="8">
        <v>1</v>
      </c>
      <c r="U196" s="7" t="s">
        <v>100</v>
      </c>
      <c r="V196" s="3">
        <f>T196*VLOOKUP(U196,'Ingredient costs'!$A$2:$B$536,2, FALSE)</f>
        <v>504</v>
      </c>
      <c r="W196" s="8">
        <v>1</v>
      </c>
      <c r="X196" s="7" t="s">
        <v>114</v>
      </c>
      <c r="Y196" s="3">
        <f>W196*VLOOKUP(X196,'Ingredient costs'!$A$2:$B$536,2, FALSE)</f>
        <v>972</v>
      </c>
      <c r="AA196" s="3" t="s">
        <v>23</v>
      </c>
      <c r="AB196" s="3">
        <f>Z196*VLOOKUP(AA196,'Ingredient costs'!$A$2:$B$536,2, FALSE)</f>
        <v>0</v>
      </c>
    </row>
    <row r="197" spans="1:28" ht="15" x14ac:dyDescent="0.25">
      <c r="A197" s="4" t="s">
        <v>314</v>
      </c>
      <c r="B197" s="4" t="s">
        <v>315</v>
      </c>
      <c r="C197" s="4">
        <v>58</v>
      </c>
      <c r="D197" s="4">
        <v>7452</v>
      </c>
      <c r="E197" s="4">
        <f t="shared" si="0"/>
        <v>7056</v>
      </c>
      <c r="F197" s="4">
        <f t="shared" si="1"/>
        <v>396</v>
      </c>
      <c r="G197" s="4">
        <v>89</v>
      </c>
      <c r="H197" s="4">
        <v>90</v>
      </c>
      <c r="I197" s="4">
        <v>76</v>
      </c>
      <c r="J197" s="4">
        <f t="shared" si="2"/>
        <v>26.400000000000002</v>
      </c>
      <c r="K197" s="4">
        <f t="shared" si="3"/>
        <v>31.263157894736839</v>
      </c>
      <c r="L197" s="4">
        <f t="shared" si="4"/>
        <v>59.333333333333336</v>
      </c>
      <c r="M197" s="4">
        <f t="shared" si="5"/>
        <v>70.263157894736835</v>
      </c>
      <c r="N197" s="5">
        <v>3</v>
      </c>
      <c r="O197" s="6" t="s">
        <v>200</v>
      </c>
      <c r="P197" s="3">
        <f>N197*VLOOKUP(O197,'Ingredient costs'!$A$2:$B$536,2, FALSE)</f>
        <v>972</v>
      </c>
      <c r="Q197" s="5">
        <v>1</v>
      </c>
      <c r="R197" s="6" t="s">
        <v>69</v>
      </c>
      <c r="S197" s="3">
        <f>Q197*VLOOKUP(R197,'Ingredient costs'!$A$2:$B$536,2, FALSE)</f>
        <v>1188</v>
      </c>
      <c r="T197" s="5">
        <v>2</v>
      </c>
      <c r="U197" s="6" t="s">
        <v>103</v>
      </c>
      <c r="V197" s="3">
        <f>T197*VLOOKUP(U197,'Ingredient costs'!$A$2:$B$536,2, FALSE)</f>
        <v>3240</v>
      </c>
      <c r="W197" s="5">
        <v>2</v>
      </c>
      <c r="X197" s="7" t="s">
        <v>316</v>
      </c>
      <c r="Y197" s="3">
        <f>W197*VLOOKUP(X197,'Ingredient costs'!$A$2:$B$536,2, FALSE)</f>
        <v>1656</v>
      </c>
      <c r="AA197" s="3" t="s">
        <v>23</v>
      </c>
      <c r="AB197" s="3">
        <f>Z197*VLOOKUP(AA197,'Ingredient costs'!$A$2:$B$536,2, FALSE)</f>
        <v>0</v>
      </c>
    </row>
    <row r="198" spans="1:28" ht="15" x14ac:dyDescent="0.25">
      <c r="A198" s="4" t="s">
        <v>314</v>
      </c>
      <c r="B198" s="4" t="s">
        <v>317</v>
      </c>
      <c r="C198" s="4">
        <v>62</v>
      </c>
      <c r="D198" s="4">
        <v>7236</v>
      </c>
      <c r="E198" s="4">
        <f t="shared" si="0"/>
        <v>6840</v>
      </c>
      <c r="F198" s="4">
        <f t="shared" si="1"/>
        <v>396</v>
      </c>
      <c r="G198" s="4">
        <v>86</v>
      </c>
      <c r="H198" s="4">
        <v>105</v>
      </c>
      <c r="I198" s="4">
        <v>89</v>
      </c>
      <c r="J198" s="4">
        <f t="shared" si="2"/>
        <v>22.628571428571426</v>
      </c>
      <c r="K198" s="4">
        <f t="shared" si="3"/>
        <v>26.696629213483149</v>
      </c>
      <c r="L198" s="4">
        <f t="shared" si="4"/>
        <v>49.142857142857139</v>
      </c>
      <c r="M198" s="4">
        <f t="shared" si="5"/>
        <v>57.977528089887642</v>
      </c>
      <c r="N198" s="5">
        <v>3</v>
      </c>
      <c r="O198" s="6" t="s">
        <v>200</v>
      </c>
      <c r="P198" s="3">
        <f>N198*VLOOKUP(O198,'Ingredient costs'!$A$2:$B$536,2, FALSE)</f>
        <v>972</v>
      </c>
      <c r="Q198" s="5">
        <v>1</v>
      </c>
      <c r="R198" s="6" t="s">
        <v>69</v>
      </c>
      <c r="S198" s="3">
        <f>Q198*VLOOKUP(R198,'Ingredient costs'!$A$2:$B$536,2, FALSE)</f>
        <v>1188</v>
      </c>
      <c r="T198" s="5">
        <v>2</v>
      </c>
      <c r="U198" s="6" t="s">
        <v>66</v>
      </c>
      <c r="V198" s="3">
        <f>T198*VLOOKUP(U198,'Ingredient costs'!$A$2:$B$536,2, FALSE)</f>
        <v>1008</v>
      </c>
      <c r="W198" s="5">
        <v>1</v>
      </c>
      <c r="X198" s="7" t="s">
        <v>318</v>
      </c>
      <c r="Y198" s="3">
        <f>W198*VLOOKUP(X198,'Ingredient costs'!$A$2:$B$536,2, FALSE)</f>
        <v>3672</v>
      </c>
      <c r="AA198" s="3" t="s">
        <v>23</v>
      </c>
      <c r="AB198" s="3">
        <f>Z198*VLOOKUP(AA198,'Ingredient costs'!$A$2:$B$536,2, FALSE)</f>
        <v>0</v>
      </c>
    </row>
    <row r="199" spans="1:28" ht="15" x14ac:dyDescent="0.25">
      <c r="A199" s="4" t="s">
        <v>314</v>
      </c>
      <c r="B199" s="4" t="s">
        <v>319</v>
      </c>
      <c r="C199" s="4">
        <v>64</v>
      </c>
      <c r="D199" s="4">
        <v>7632</v>
      </c>
      <c r="E199" s="4">
        <f t="shared" si="0"/>
        <v>7194</v>
      </c>
      <c r="F199" s="4">
        <f t="shared" si="1"/>
        <v>438</v>
      </c>
      <c r="G199" s="4">
        <v>91</v>
      </c>
      <c r="H199" s="4">
        <v>120</v>
      </c>
      <c r="I199" s="4">
        <v>102</v>
      </c>
      <c r="J199" s="4">
        <f t="shared" si="2"/>
        <v>21.9</v>
      </c>
      <c r="K199" s="4">
        <f t="shared" si="3"/>
        <v>25.764705882352938</v>
      </c>
      <c r="L199" s="4">
        <f t="shared" si="4"/>
        <v>45.5</v>
      </c>
      <c r="M199" s="4">
        <f t="shared" si="5"/>
        <v>53.529411764705884</v>
      </c>
      <c r="N199" s="5">
        <v>3</v>
      </c>
      <c r="O199" s="6" t="s">
        <v>200</v>
      </c>
      <c r="P199" s="3">
        <f>N199*VLOOKUP(O199,'Ingredient costs'!$A$2:$B$536,2, FALSE)</f>
        <v>972</v>
      </c>
      <c r="Q199" s="5">
        <v>1</v>
      </c>
      <c r="R199" s="6" t="s">
        <v>43</v>
      </c>
      <c r="S199" s="3">
        <f>Q199*VLOOKUP(R199,'Ingredient costs'!$A$2:$B$536,2, FALSE)</f>
        <v>540</v>
      </c>
      <c r="T199" s="5">
        <v>1</v>
      </c>
      <c r="U199" s="6" t="s">
        <v>44</v>
      </c>
      <c r="V199" s="3">
        <f>T199*VLOOKUP(U199,'Ingredient costs'!$A$2:$B$536,2, FALSE)</f>
        <v>2010</v>
      </c>
      <c r="W199" s="5">
        <v>1</v>
      </c>
      <c r="X199" s="7" t="s">
        <v>318</v>
      </c>
      <c r="Y199" s="3">
        <f>W199*VLOOKUP(X199,'Ingredient costs'!$A$2:$B$536,2, FALSE)</f>
        <v>3672</v>
      </c>
      <c r="AA199" s="3" t="s">
        <v>23</v>
      </c>
      <c r="AB199" s="3">
        <f>Z199*VLOOKUP(AA199,'Ingredient costs'!$A$2:$B$536,2, FALSE)</f>
        <v>0</v>
      </c>
    </row>
    <row r="200" spans="1:28" ht="15" x14ac:dyDescent="0.25">
      <c r="A200" s="4" t="s">
        <v>314</v>
      </c>
      <c r="B200" s="4" t="s">
        <v>320</v>
      </c>
      <c r="C200" s="4">
        <v>67</v>
      </c>
      <c r="D200" s="4">
        <v>7596</v>
      </c>
      <c r="E200" s="4">
        <f t="shared" si="0"/>
        <v>7236</v>
      </c>
      <c r="F200" s="4">
        <f t="shared" si="1"/>
        <v>360</v>
      </c>
      <c r="G200" s="4">
        <v>90</v>
      </c>
      <c r="H200" s="4">
        <v>150</v>
      </c>
      <c r="I200" s="4">
        <v>127</v>
      </c>
      <c r="J200" s="4">
        <f t="shared" si="2"/>
        <v>14.399999999999999</v>
      </c>
      <c r="K200" s="4">
        <f t="shared" si="3"/>
        <v>17.00787401574803</v>
      </c>
      <c r="L200" s="4">
        <f t="shared" si="4"/>
        <v>36</v>
      </c>
      <c r="M200" s="4">
        <f t="shared" si="5"/>
        <v>42.519685039370074</v>
      </c>
      <c r="N200" s="5">
        <v>4</v>
      </c>
      <c r="O200" s="6" t="s">
        <v>271</v>
      </c>
      <c r="P200" s="3">
        <f>N200*VLOOKUP(O200,'Ingredient costs'!$A$2:$B$536,2, FALSE)</f>
        <v>1728</v>
      </c>
      <c r="Q200" s="5">
        <v>2</v>
      </c>
      <c r="R200" s="6" t="s">
        <v>58</v>
      </c>
      <c r="S200" s="3">
        <f>Q200*VLOOKUP(R200,'Ingredient costs'!$A$2:$B$536,2, FALSE)</f>
        <v>1872</v>
      </c>
      <c r="T200" s="5">
        <v>1</v>
      </c>
      <c r="U200" s="6" t="s">
        <v>57</v>
      </c>
      <c r="V200" s="3">
        <f>T200*VLOOKUP(U200,'Ingredient costs'!$A$2:$B$536,2, FALSE)</f>
        <v>2772</v>
      </c>
      <c r="W200" s="5">
        <v>2</v>
      </c>
      <c r="X200" s="7" t="s">
        <v>34</v>
      </c>
      <c r="Y200" s="3">
        <f>W200*VLOOKUP(X200,'Ingredient costs'!$A$2:$B$536,2, FALSE)</f>
        <v>864</v>
      </c>
      <c r="AA200" s="3" t="s">
        <v>23</v>
      </c>
      <c r="AB200" s="3">
        <f>Z200*VLOOKUP(AA200,'Ingredient costs'!$A$2:$B$536,2, FALSE)</f>
        <v>0</v>
      </c>
    </row>
    <row r="201" spans="1:28" ht="15" x14ac:dyDescent="0.25">
      <c r="A201" s="4" t="s">
        <v>314</v>
      </c>
      <c r="B201" s="4" t="s">
        <v>321</v>
      </c>
      <c r="C201" s="4">
        <v>74</v>
      </c>
      <c r="D201" s="4">
        <v>2664</v>
      </c>
      <c r="E201" s="4">
        <f t="shared" si="0"/>
        <v>2232</v>
      </c>
      <c r="F201" s="4">
        <f t="shared" si="1"/>
        <v>432</v>
      </c>
      <c r="G201" s="4">
        <v>32</v>
      </c>
      <c r="H201" s="4">
        <v>120</v>
      </c>
      <c r="I201" s="4">
        <v>102</v>
      </c>
      <c r="J201" s="4">
        <f t="shared" si="2"/>
        <v>21.599999999999998</v>
      </c>
      <c r="K201" s="4">
        <f t="shared" si="3"/>
        <v>25.411764705882351</v>
      </c>
      <c r="L201" s="4">
        <f t="shared" si="4"/>
        <v>16</v>
      </c>
      <c r="M201" s="4">
        <f t="shared" si="5"/>
        <v>18.823529411764707</v>
      </c>
      <c r="N201" s="5">
        <v>2</v>
      </c>
      <c r="O201" s="6" t="s">
        <v>83</v>
      </c>
      <c r="P201" s="3">
        <f>N201*VLOOKUP(O201,'Ingredient costs'!$A$2:$B$536,2, FALSE)</f>
        <v>720</v>
      </c>
      <c r="Q201" s="5">
        <v>2</v>
      </c>
      <c r="R201" s="6" t="s">
        <v>80</v>
      </c>
      <c r="S201" s="3">
        <f>Q201*VLOOKUP(R201,'Ingredient costs'!$A$2:$B$536,2, FALSE)</f>
        <v>144</v>
      </c>
      <c r="T201" s="5">
        <v>2</v>
      </c>
      <c r="U201" s="6" t="s">
        <v>34</v>
      </c>
      <c r="V201" s="3">
        <f>T201*VLOOKUP(U201,'Ingredient costs'!$A$2:$B$536,2, FALSE)</f>
        <v>864</v>
      </c>
      <c r="W201" s="5">
        <v>1</v>
      </c>
      <c r="X201" s="7" t="s">
        <v>71</v>
      </c>
      <c r="Y201" s="3">
        <f>W201*VLOOKUP(X201,'Ingredient costs'!$A$2:$B$536,2, FALSE)</f>
        <v>504</v>
      </c>
      <c r="AA201" s="3" t="s">
        <v>23</v>
      </c>
      <c r="AB201" s="3">
        <f>Z201*VLOOKUP(AA201,'Ingredient costs'!$A$2:$B$536,2, FALSE)</f>
        <v>0</v>
      </c>
    </row>
    <row r="202" spans="1:28" ht="15" x14ac:dyDescent="0.25">
      <c r="A202" s="4" t="s">
        <v>314</v>
      </c>
      <c r="B202" s="4" t="s">
        <v>322</v>
      </c>
      <c r="C202" s="4">
        <v>75</v>
      </c>
      <c r="D202" s="4">
        <v>4680</v>
      </c>
      <c r="E202" s="4">
        <f t="shared" si="0"/>
        <v>4356</v>
      </c>
      <c r="F202" s="4">
        <f t="shared" si="1"/>
        <v>324</v>
      </c>
      <c r="G202" s="4">
        <v>56</v>
      </c>
      <c r="H202" s="4">
        <v>75</v>
      </c>
      <c r="I202" s="4">
        <v>63</v>
      </c>
      <c r="J202" s="4">
        <f t="shared" si="2"/>
        <v>25.92</v>
      </c>
      <c r="K202" s="4">
        <f t="shared" si="3"/>
        <v>30.857142857142861</v>
      </c>
      <c r="L202" s="4">
        <f t="shared" si="4"/>
        <v>44.800000000000004</v>
      </c>
      <c r="M202" s="4">
        <f t="shared" si="5"/>
        <v>53.333333333333329</v>
      </c>
      <c r="N202" s="5">
        <v>3</v>
      </c>
      <c r="O202" s="6" t="s">
        <v>293</v>
      </c>
      <c r="P202" s="3">
        <f>N202*VLOOKUP(O202,'Ingredient costs'!$A$2:$B$536,2, FALSE)</f>
        <v>540</v>
      </c>
      <c r="Q202" s="5">
        <v>2</v>
      </c>
      <c r="R202" s="6" t="s">
        <v>80</v>
      </c>
      <c r="S202" s="3">
        <f>Q202*VLOOKUP(R202,'Ingredient costs'!$A$2:$B$536,2, FALSE)</f>
        <v>144</v>
      </c>
      <c r="T202" s="5">
        <v>1</v>
      </c>
      <c r="U202" s="6" t="s">
        <v>318</v>
      </c>
      <c r="V202" s="3">
        <f>T202*VLOOKUP(U202,'Ingredient costs'!$A$2:$B$536,2, FALSE)</f>
        <v>3672</v>
      </c>
      <c r="W202" s="6"/>
      <c r="X202" s="7" t="s">
        <v>23</v>
      </c>
      <c r="Y202" s="3">
        <f>W202*VLOOKUP(X202,'Ingredient costs'!$A$2:$B$536,2, FALSE)</f>
        <v>0</v>
      </c>
      <c r="AA202" s="3" t="s">
        <v>23</v>
      </c>
      <c r="AB202" s="3">
        <f>Z202*VLOOKUP(AA202,'Ingredient costs'!$A$2:$B$536,2, FALSE)</f>
        <v>0</v>
      </c>
    </row>
    <row r="203" spans="1:28" ht="15" x14ac:dyDescent="0.25">
      <c r="A203" s="4" t="s">
        <v>314</v>
      </c>
      <c r="B203" s="4" t="s">
        <v>323</v>
      </c>
      <c r="C203" s="4">
        <v>76</v>
      </c>
      <c r="D203" s="4">
        <v>2340</v>
      </c>
      <c r="E203" s="4">
        <f t="shared" si="0"/>
        <v>2052</v>
      </c>
      <c r="F203" s="4">
        <f t="shared" si="1"/>
        <v>288</v>
      </c>
      <c r="G203" s="4">
        <v>28</v>
      </c>
      <c r="H203" s="4">
        <v>45</v>
      </c>
      <c r="I203" s="4">
        <v>38</v>
      </c>
      <c r="J203" s="4">
        <f t="shared" si="2"/>
        <v>38.4</v>
      </c>
      <c r="K203" s="4">
        <f t="shared" si="3"/>
        <v>45.473684210526308</v>
      </c>
      <c r="L203" s="4">
        <f t="shared" si="4"/>
        <v>37.333333333333336</v>
      </c>
      <c r="M203" s="4">
        <f t="shared" si="5"/>
        <v>44.210526315789473</v>
      </c>
      <c r="N203" s="5">
        <v>3</v>
      </c>
      <c r="O203" s="6" t="s">
        <v>79</v>
      </c>
      <c r="P203" s="3">
        <f>N203*VLOOKUP(O203,'Ingredient costs'!$A$2:$B$536,2, FALSE)</f>
        <v>432</v>
      </c>
      <c r="Q203" s="5">
        <v>1</v>
      </c>
      <c r="R203" s="6" t="s">
        <v>103</v>
      </c>
      <c r="S203" s="3">
        <f>Q203*VLOOKUP(R203,'Ingredient costs'!$A$2:$B$536,2, FALSE)</f>
        <v>1620</v>
      </c>
      <c r="T203" s="6"/>
      <c r="U203" s="6" t="s">
        <v>23</v>
      </c>
      <c r="V203" s="3">
        <f>T203*VLOOKUP(U203,'Ingredient costs'!$A$2:$B$536,2, FALSE)</f>
        <v>0</v>
      </c>
      <c r="W203" s="6"/>
      <c r="X203" s="7" t="s">
        <v>23</v>
      </c>
      <c r="Y203" s="3">
        <f>W203*VLOOKUP(X203,'Ingredient costs'!$A$2:$B$536,2, FALSE)</f>
        <v>0</v>
      </c>
      <c r="AA203" s="3" t="s">
        <v>23</v>
      </c>
      <c r="AB203" s="3">
        <f>Z203*VLOOKUP(AA203,'Ingredient costs'!$A$2:$B$536,2, FALSE)</f>
        <v>0</v>
      </c>
    </row>
    <row r="204" spans="1:28" ht="15" x14ac:dyDescent="0.25">
      <c r="A204" s="4" t="s">
        <v>314</v>
      </c>
      <c r="B204" s="4" t="s">
        <v>324</v>
      </c>
      <c r="C204" s="4">
        <v>78</v>
      </c>
      <c r="D204" s="4">
        <v>3168</v>
      </c>
      <c r="E204" s="4">
        <f t="shared" si="0"/>
        <v>2844</v>
      </c>
      <c r="F204" s="4">
        <f t="shared" si="1"/>
        <v>324</v>
      </c>
      <c r="G204" s="4">
        <v>38</v>
      </c>
      <c r="H204" s="4">
        <v>60</v>
      </c>
      <c r="I204" s="4">
        <v>51</v>
      </c>
      <c r="J204" s="4">
        <f t="shared" si="2"/>
        <v>32.400000000000006</v>
      </c>
      <c r="K204" s="4">
        <f t="shared" si="3"/>
        <v>38.117647058823529</v>
      </c>
      <c r="L204" s="4">
        <f t="shared" si="4"/>
        <v>38</v>
      </c>
      <c r="M204" s="4">
        <f t="shared" si="5"/>
        <v>44.705882352941174</v>
      </c>
      <c r="N204" s="5">
        <v>2</v>
      </c>
      <c r="O204" s="6" t="s">
        <v>278</v>
      </c>
      <c r="P204" s="3">
        <f>N204*VLOOKUP(O204,'Ingredient costs'!$A$2:$B$536,2, FALSE)</f>
        <v>2016</v>
      </c>
      <c r="Q204" s="5">
        <v>2</v>
      </c>
      <c r="R204" s="6" t="s">
        <v>80</v>
      </c>
      <c r="S204" s="3">
        <f>Q204*VLOOKUP(R204,'Ingredient costs'!$A$2:$B$536,2, FALSE)</f>
        <v>144</v>
      </c>
      <c r="T204" s="5">
        <v>1</v>
      </c>
      <c r="U204" s="6" t="s">
        <v>200</v>
      </c>
      <c r="V204" s="3">
        <f>T204*VLOOKUP(U204,'Ingredient costs'!$A$2:$B$536,2, FALSE)</f>
        <v>324</v>
      </c>
      <c r="W204" s="5">
        <v>1</v>
      </c>
      <c r="X204" s="7" t="s">
        <v>37</v>
      </c>
      <c r="Y204" s="3">
        <f>W204*VLOOKUP(X204,'Ingredient costs'!$A$2:$B$536,2, FALSE)</f>
        <v>360</v>
      </c>
      <c r="AA204" s="3" t="s">
        <v>23</v>
      </c>
      <c r="AB204" s="3">
        <f>Z204*VLOOKUP(AA204,'Ingredient costs'!$A$2:$B$536,2, FALSE)</f>
        <v>0</v>
      </c>
    </row>
    <row r="205" spans="1:28" ht="15" x14ac:dyDescent="0.25">
      <c r="A205" s="4" t="s">
        <v>314</v>
      </c>
      <c r="B205" s="4" t="s">
        <v>325</v>
      </c>
      <c r="C205" s="4">
        <v>82</v>
      </c>
      <c r="D205" s="4">
        <v>5976</v>
      </c>
      <c r="E205" s="4">
        <f t="shared" si="0"/>
        <v>5688</v>
      </c>
      <c r="F205" s="4">
        <f t="shared" si="1"/>
        <v>288</v>
      </c>
      <c r="G205" s="4">
        <v>71</v>
      </c>
      <c r="H205" s="4">
        <v>120</v>
      </c>
      <c r="I205" s="4">
        <v>102</v>
      </c>
      <c r="J205" s="4">
        <f t="shared" si="2"/>
        <v>14.399999999999999</v>
      </c>
      <c r="K205" s="4">
        <f t="shared" si="3"/>
        <v>16.941176470588236</v>
      </c>
      <c r="L205" s="4">
        <f t="shared" si="4"/>
        <v>35.5</v>
      </c>
      <c r="M205" s="4">
        <f t="shared" si="5"/>
        <v>41.764705882352942</v>
      </c>
      <c r="N205" s="5">
        <v>2</v>
      </c>
      <c r="O205" s="6" t="s">
        <v>32</v>
      </c>
      <c r="P205" s="3">
        <f>N205*VLOOKUP(O205,'Ingredient costs'!$A$2:$B$536,2, FALSE)</f>
        <v>1656</v>
      </c>
      <c r="Q205" s="5">
        <v>1</v>
      </c>
      <c r="R205" s="6" t="s">
        <v>62</v>
      </c>
      <c r="S205" s="3">
        <f>Q205*VLOOKUP(R205,'Ingredient costs'!$A$2:$B$536,2, FALSE)</f>
        <v>1548</v>
      </c>
      <c r="T205" s="5">
        <v>1</v>
      </c>
      <c r="U205" s="6" t="s">
        <v>114</v>
      </c>
      <c r="V205" s="3">
        <f>T205*VLOOKUP(U205,'Ingredient costs'!$A$2:$B$536,2, FALSE)</f>
        <v>972</v>
      </c>
      <c r="W205" s="5">
        <v>3</v>
      </c>
      <c r="X205" s="7" t="s">
        <v>100</v>
      </c>
      <c r="Y205" s="3">
        <f>W205*VLOOKUP(X205,'Ingredient costs'!$A$2:$B$536,2, FALSE)</f>
        <v>1512</v>
      </c>
      <c r="AA205" s="3" t="s">
        <v>23</v>
      </c>
      <c r="AB205" s="3">
        <f>Z205*VLOOKUP(AA205,'Ingredient costs'!$A$2:$B$536,2, FALSE)</f>
        <v>0</v>
      </c>
    </row>
    <row r="206" spans="1:28" ht="15" x14ac:dyDescent="0.25">
      <c r="A206" s="4" t="s">
        <v>314</v>
      </c>
      <c r="B206" s="4" t="s">
        <v>326</v>
      </c>
      <c r="C206" s="4">
        <v>84</v>
      </c>
      <c r="D206" s="4">
        <v>5544</v>
      </c>
      <c r="E206" s="4">
        <f t="shared" si="0"/>
        <v>5112</v>
      </c>
      <c r="F206" s="4">
        <f t="shared" si="1"/>
        <v>432</v>
      </c>
      <c r="G206" s="4">
        <v>66</v>
      </c>
      <c r="H206" s="4">
        <v>180</v>
      </c>
      <c r="I206" s="4">
        <v>153</v>
      </c>
      <c r="J206" s="4">
        <f t="shared" si="2"/>
        <v>14.399999999999999</v>
      </c>
      <c r="K206" s="4">
        <f t="shared" si="3"/>
        <v>16.941176470588236</v>
      </c>
      <c r="L206" s="4">
        <f t="shared" si="4"/>
        <v>22</v>
      </c>
      <c r="M206" s="4">
        <f t="shared" si="5"/>
        <v>25.882352941176471</v>
      </c>
      <c r="N206" s="5">
        <v>1</v>
      </c>
      <c r="O206" s="6" t="s">
        <v>103</v>
      </c>
      <c r="P206" s="3">
        <f>N206*VLOOKUP(O206,'Ingredient costs'!$A$2:$B$536,2, FALSE)</f>
        <v>1620</v>
      </c>
      <c r="Q206" s="5">
        <v>3</v>
      </c>
      <c r="R206" s="6" t="s">
        <v>77</v>
      </c>
      <c r="S206" s="3">
        <f>Q206*VLOOKUP(R206,'Ingredient costs'!$A$2:$B$536,2, FALSE)</f>
        <v>1188</v>
      </c>
      <c r="T206" s="5">
        <v>1</v>
      </c>
      <c r="U206" s="6" t="s">
        <v>213</v>
      </c>
      <c r="V206" s="3">
        <f>T206*VLOOKUP(U206,'Ingredient costs'!$A$2:$B$536,2, FALSE)</f>
        <v>1008</v>
      </c>
      <c r="W206" s="5">
        <v>3</v>
      </c>
      <c r="X206" s="7" t="s">
        <v>34</v>
      </c>
      <c r="Y206" s="3">
        <f>W206*VLOOKUP(X206,'Ingredient costs'!$A$2:$B$536,2, FALSE)</f>
        <v>1296</v>
      </c>
      <c r="AA206" s="3" t="s">
        <v>23</v>
      </c>
      <c r="AB206" s="3">
        <f>Z206*VLOOKUP(AA206,'Ingredient costs'!$A$2:$B$536,2, FALSE)</f>
        <v>0</v>
      </c>
    </row>
    <row r="207" spans="1:28" ht="15" x14ac:dyDescent="0.25">
      <c r="A207" s="4" t="s">
        <v>314</v>
      </c>
      <c r="B207" s="4" t="s">
        <v>327</v>
      </c>
      <c r="C207" s="4">
        <v>89</v>
      </c>
      <c r="D207" s="4">
        <v>2160</v>
      </c>
      <c r="E207" s="4">
        <f t="shared" si="0"/>
        <v>1872</v>
      </c>
      <c r="F207" s="4">
        <f t="shared" si="1"/>
        <v>288</v>
      </c>
      <c r="G207" s="4">
        <v>26</v>
      </c>
      <c r="H207" s="4">
        <v>60</v>
      </c>
      <c r="I207" s="4">
        <v>51</v>
      </c>
      <c r="J207" s="4">
        <f t="shared" si="2"/>
        <v>28.799999999999997</v>
      </c>
      <c r="K207" s="4">
        <f t="shared" si="3"/>
        <v>33.882352941176471</v>
      </c>
      <c r="L207" s="4">
        <f t="shared" si="4"/>
        <v>26</v>
      </c>
      <c r="M207" s="4">
        <f t="shared" si="5"/>
        <v>30.588235294117645</v>
      </c>
      <c r="N207" s="8">
        <v>3</v>
      </c>
      <c r="O207" s="7" t="s">
        <v>90</v>
      </c>
      <c r="P207" s="3">
        <f>N207*VLOOKUP(O207,'Ingredient costs'!$A$2:$B$536,2, FALSE)</f>
        <v>324</v>
      </c>
      <c r="Q207" s="8">
        <v>1</v>
      </c>
      <c r="R207" s="7" t="s">
        <v>200</v>
      </c>
      <c r="S207" s="3">
        <f>Q207*VLOOKUP(R207,'Ingredient costs'!$A$2:$B$536,2, FALSE)</f>
        <v>324</v>
      </c>
      <c r="T207" s="8">
        <v>2</v>
      </c>
      <c r="U207" s="7" t="s">
        <v>39</v>
      </c>
      <c r="V207" s="3">
        <f>T207*VLOOKUP(U207,'Ingredient costs'!$A$2:$B$536,2, FALSE)</f>
        <v>720</v>
      </c>
      <c r="W207" s="8">
        <v>1</v>
      </c>
      <c r="X207" s="7" t="s">
        <v>66</v>
      </c>
      <c r="Y207" s="3">
        <f>W207*VLOOKUP(X207,'Ingredient costs'!$A$2:$B$536,2, FALSE)</f>
        <v>504</v>
      </c>
      <c r="AA207" s="3" t="s">
        <v>23</v>
      </c>
      <c r="AB207" s="3">
        <f>Z207*VLOOKUP(AA207,'Ingredient costs'!$A$2:$B$536,2, FALSE)</f>
        <v>0</v>
      </c>
    </row>
    <row r="208" spans="1:28" ht="15" x14ac:dyDescent="0.25">
      <c r="A208" s="4" t="s">
        <v>328</v>
      </c>
      <c r="B208" s="4" t="s">
        <v>329</v>
      </c>
      <c r="C208" s="4">
        <v>61</v>
      </c>
      <c r="D208" s="4">
        <v>5328</v>
      </c>
      <c r="E208" s="4">
        <f t="shared" si="0"/>
        <v>5040</v>
      </c>
      <c r="F208" s="4">
        <f t="shared" si="1"/>
        <v>288</v>
      </c>
      <c r="G208" s="4">
        <v>63</v>
      </c>
      <c r="H208" s="4">
        <v>40</v>
      </c>
      <c r="I208" s="4">
        <v>34</v>
      </c>
      <c r="J208" s="4">
        <f t="shared" si="2"/>
        <v>43.199999999999996</v>
      </c>
      <c r="K208" s="4">
        <f t="shared" si="3"/>
        <v>50.823529411764703</v>
      </c>
      <c r="L208" s="4">
        <f t="shared" si="4"/>
        <v>94.5</v>
      </c>
      <c r="M208" s="4">
        <f t="shared" si="5"/>
        <v>111.1764705882353</v>
      </c>
      <c r="N208" s="5">
        <v>2</v>
      </c>
      <c r="O208" s="6" t="s">
        <v>21</v>
      </c>
      <c r="P208" s="3">
        <f>N208*VLOOKUP(O208,'Ingredient costs'!$A$2:$B$536,2, FALSE)</f>
        <v>432</v>
      </c>
      <c r="Q208" s="5">
        <v>2</v>
      </c>
      <c r="R208" s="6" t="s">
        <v>34</v>
      </c>
      <c r="S208" s="3">
        <f>Q208*VLOOKUP(R208,'Ingredient costs'!$A$2:$B$536,2, FALSE)</f>
        <v>864</v>
      </c>
      <c r="T208" s="5">
        <v>3</v>
      </c>
      <c r="U208" s="6" t="s">
        <v>200</v>
      </c>
      <c r="V208" s="3">
        <f>T208*VLOOKUP(U208,'Ingredient costs'!$A$2:$B$536,2, FALSE)</f>
        <v>972</v>
      </c>
      <c r="W208" s="5">
        <v>1</v>
      </c>
      <c r="X208" s="7" t="s">
        <v>57</v>
      </c>
      <c r="Y208" s="3">
        <f>W208*VLOOKUP(X208,'Ingredient costs'!$A$2:$B$536,2, FALSE)</f>
        <v>2772</v>
      </c>
      <c r="AA208" s="3" t="s">
        <v>23</v>
      </c>
      <c r="AB208" s="3">
        <f>Z208*VLOOKUP(AA208,'Ingredient costs'!$A$2:$B$536,2, FALSE)</f>
        <v>0</v>
      </c>
    </row>
    <row r="209" spans="1:28" ht="15" x14ac:dyDescent="0.25">
      <c r="A209" s="4" t="s">
        <v>328</v>
      </c>
      <c r="B209" s="4" t="s">
        <v>330</v>
      </c>
      <c r="C209" s="4">
        <v>65</v>
      </c>
      <c r="D209" s="4">
        <v>6480</v>
      </c>
      <c r="E209" s="4">
        <f t="shared" si="0"/>
        <v>6084</v>
      </c>
      <c r="F209" s="4">
        <f t="shared" si="1"/>
        <v>396</v>
      </c>
      <c r="G209" s="4">
        <v>77</v>
      </c>
      <c r="H209" s="4">
        <v>100</v>
      </c>
      <c r="I209" s="4">
        <v>85</v>
      </c>
      <c r="J209" s="4">
        <f t="shared" si="2"/>
        <v>23.76</v>
      </c>
      <c r="K209" s="4">
        <f t="shared" si="3"/>
        <v>27.952941176470592</v>
      </c>
      <c r="L209" s="4">
        <f t="shared" si="4"/>
        <v>46.2</v>
      </c>
      <c r="M209" s="4">
        <f t="shared" si="5"/>
        <v>54.352941176470587</v>
      </c>
      <c r="N209" s="5">
        <v>2</v>
      </c>
      <c r="O209" s="6" t="s">
        <v>21</v>
      </c>
      <c r="P209" s="3">
        <f>N209*VLOOKUP(O209,'Ingredient costs'!$A$2:$B$536,2, FALSE)</f>
        <v>432</v>
      </c>
      <c r="Q209" s="5">
        <v>2</v>
      </c>
      <c r="R209" s="6" t="s">
        <v>66</v>
      </c>
      <c r="S209" s="3">
        <f>Q209*VLOOKUP(R209,'Ingredient costs'!$A$2:$B$536,2, FALSE)</f>
        <v>1008</v>
      </c>
      <c r="T209" s="5">
        <v>3</v>
      </c>
      <c r="U209" s="6" t="s">
        <v>200</v>
      </c>
      <c r="V209" s="3">
        <f>T209*VLOOKUP(U209,'Ingredient costs'!$A$2:$B$536,2, FALSE)</f>
        <v>972</v>
      </c>
      <c r="W209" s="5">
        <v>1</v>
      </c>
      <c r="X209" s="7" t="s">
        <v>318</v>
      </c>
      <c r="Y209" s="3">
        <f>W209*VLOOKUP(X209,'Ingredient costs'!$A$2:$B$536,2, FALSE)</f>
        <v>3672</v>
      </c>
      <c r="AA209" s="3" t="s">
        <v>23</v>
      </c>
      <c r="AB209" s="3">
        <f>Z209*VLOOKUP(AA209,'Ingredient costs'!$A$2:$B$536,2, FALSE)</f>
        <v>0</v>
      </c>
    </row>
    <row r="210" spans="1:28" ht="15" x14ac:dyDescent="0.25">
      <c r="A210" s="4" t="s">
        <v>328</v>
      </c>
      <c r="B210" s="4" t="s">
        <v>331</v>
      </c>
      <c r="C210" s="4">
        <v>66</v>
      </c>
      <c r="D210" s="4">
        <v>5832</v>
      </c>
      <c r="E210" s="4">
        <f t="shared" si="0"/>
        <v>5436</v>
      </c>
      <c r="F210" s="4">
        <f t="shared" si="1"/>
        <v>396</v>
      </c>
      <c r="G210" s="4">
        <v>69</v>
      </c>
      <c r="H210" s="4">
        <v>80</v>
      </c>
      <c r="I210" s="4">
        <v>68</v>
      </c>
      <c r="J210" s="4">
        <f t="shared" si="2"/>
        <v>29.7</v>
      </c>
      <c r="K210" s="4">
        <f t="shared" si="3"/>
        <v>34.941176470588232</v>
      </c>
      <c r="L210" s="4">
        <f t="shared" si="4"/>
        <v>51.75</v>
      </c>
      <c r="M210" s="4">
        <f t="shared" si="5"/>
        <v>60.882352941176464</v>
      </c>
      <c r="N210" s="5">
        <v>2</v>
      </c>
      <c r="O210" s="6" t="s">
        <v>21</v>
      </c>
      <c r="P210" s="3">
        <f>N210*VLOOKUP(O210,'Ingredient costs'!$A$2:$B$536,2, FALSE)</f>
        <v>432</v>
      </c>
      <c r="Q210" s="5">
        <v>2</v>
      </c>
      <c r="R210" s="6" t="s">
        <v>26</v>
      </c>
      <c r="S210" s="3">
        <f>Q210*VLOOKUP(R210,'Ingredient costs'!$A$2:$B$536,2, FALSE)</f>
        <v>360</v>
      </c>
      <c r="T210" s="5">
        <v>3</v>
      </c>
      <c r="U210" s="6" t="s">
        <v>200</v>
      </c>
      <c r="V210" s="3">
        <f>T210*VLOOKUP(U210,'Ingredient costs'!$A$2:$B$536,2, FALSE)</f>
        <v>972</v>
      </c>
      <c r="W210" s="5">
        <v>1</v>
      </c>
      <c r="X210" s="7" t="s">
        <v>318</v>
      </c>
      <c r="Y210" s="3">
        <f>W210*VLOOKUP(X210,'Ingredient costs'!$A$2:$B$536,2, FALSE)</f>
        <v>3672</v>
      </c>
      <c r="AA210" s="3" t="s">
        <v>23</v>
      </c>
      <c r="AB210" s="3">
        <f>Z210*VLOOKUP(AA210,'Ingredient costs'!$A$2:$B$536,2, FALSE)</f>
        <v>0</v>
      </c>
    </row>
    <row r="211" spans="1:28" ht="15" x14ac:dyDescent="0.25">
      <c r="A211" s="4" t="s">
        <v>328</v>
      </c>
      <c r="B211" s="4" t="s">
        <v>332</v>
      </c>
      <c r="C211" s="4">
        <v>69</v>
      </c>
      <c r="D211" s="4">
        <v>2556</v>
      </c>
      <c r="E211" s="4">
        <f t="shared" si="0"/>
        <v>2268</v>
      </c>
      <c r="F211" s="4">
        <f t="shared" si="1"/>
        <v>288</v>
      </c>
      <c r="G211" s="4">
        <v>31</v>
      </c>
      <c r="H211" s="4">
        <v>60</v>
      </c>
      <c r="I211" s="4">
        <v>51</v>
      </c>
      <c r="J211" s="4">
        <f t="shared" si="2"/>
        <v>28.799999999999997</v>
      </c>
      <c r="K211" s="4">
        <f t="shared" si="3"/>
        <v>33.882352941176471</v>
      </c>
      <c r="L211" s="4">
        <f t="shared" si="4"/>
        <v>31.000000000000004</v>
      </c>
      <c r="M211" s="4">
        <f t="shared" si="5"/>
        <v>36.470588235294116</v>
      </c>
      <c r="N211" s="5">
        <v>1</v>
      </c>
      <c r="O211" s="6" t="s">
        <v>21</v>
      </c>
      <c r="P211" s="3">
        <f>N211*VLOOKUP(O211,'Ingredient costs'!$A$2:$B$536,2, FALSE)</f>
        <v>216</v>
      </c>
      <c r="Q211" s="5">
        <v>1</v>
      </c>
      <c r="R211" s="6" t="s">
        <v>26</v>
      </c>
      <c r="S211" s="3">
        <f>Q211*VLOOKUP(R211,'Ingredient costs'!$A$2:$B$536,2, FALSE)</f>
        <v>180</v>
      </c>
      <c r="T211" s="5">
        <v>1</v>
      </c>
      <c r="U211" s="6" t="s">
        <v>95</v>
      </c>
      <c r="V211" s="3">
        <f>T211*VLOOKUP(U211,'Ingredient costs'!$A$2:$B$536,2, FALSE)</f>
        <v>324</v>
      </c>
      <c r="W211" s="5">
        <v>1</v>
      </c>
      <c r="X211" s="7" t="s">
        <v>62</v>
      </c>
      <c r="Y211" s="3">
        <f>W211*VLOOKUP(X211,'Ingredient costs'!$A$2:$B$536,2, FALSE)</f>
        <v>1548</v>
      </c>
      <c r="AA211" s="3" t="s">
        <v>23</v>
      </c>
      <c r="AB211" s="3">
        <f>Z211*VLOOKUP(AA211,'Ingredient costs'!$A$2:$B$536,2, FALSE)</f>
        <v>0</v>
      </c>
    </row>
    <row r="212" spans="1:28" ht="15" x14ac:dyDescent="0.25">
      <c r="A212" s="4" t="s">
        <v>328</v>
      </c>
      <c r="B212" s="4" t="s">
        <v>333</v>
      </c>
      <c r="C212" s="4">
        <v>71</v>
      </c>
      <c r="D212" s="4">
        <v>6012</v>
      </c>
      <c r="E212" s="4">
        <f t="shared" si="0"/>
        <v>5292</v>
      </c>
      <c r="F212" s="4">
        <f t="shared" si="1"/>
        <v>720</v>
      </c>
      <c r="G212" s="4">
        <v>80</v>
      </c>
      <c r="H212" s="4">
        <v>25</v>
      </c>
      <c r="I212" s="4">
        <v>21</v>
      </c>
      <c r="J212" s="4">
        <f t="shared" si="2"/>
        <v>172.79999999999998</v>
      </c>
      <c r="K212" s="4">
        <f t="shared" si="3"/>
        <v>205.71428571428569</v>
      </c>
      <c r="L212" s="4">
        <f t="shared" si="4"/>
        <v>192</v>
      </c>
      <c r="M212" s="4">
        <f t="shared" si="5"/>
        <v>228.57142857142856</v>
      </c>
      <c r="N212" s="5">
        <v>2</v>
      </c>
      <c r="O212" s="6" t="s">
        <v>21</v>
      </c>
      <c r="P212" s="3">
        <f>N212*VLOOKUP(O212,'Ingredient costs'!$A$2:$B$536,2, FALSE)</f>
        <v>432</v>
      </c>
      <c r="Q212" s="5">
        <v>1</v>
      </c>
      <c r="R212" s="6" t="s">
        <v>133</v>
      </c>
      <c r="S212" s="3">
        <f>Q212*VLOOKUP(R212,'Ingredient costs'!$A$2:$B$536,2, FALSE)</f>
        <v>2520</v>
      </c>
      <c r="T212" s="5">
        <v>1</v>
      </c>
      <c r="U212" s="6" t="s">
        <v>136</v>
      </c>
      <c r="V212" s="3">
        <f>T212*VLOOKUP(U212,'Ingredient costs'!$A$2:$B$536,2, FALSE)</f>
        <v>2340</v>
      </c>
      <c r="W212" s="6"/>
      <c r="X212" s="7" t="s">
        <v>23</v>
      </c>
      <c r="Y212" s="3">
        <f>W212*VLOOKUP(X212,'Ingredient costs'!$A$2:$B$536,2, FALSE)</f>
        <v>0</v>
      </c>
      <c r="AA212" s="3" t="s">
        <v>23</v>
      </c>
      <c r="AB212" s="3">
        <f>Z212*VLOOKUP(AA212,'Ingredient costs'!$A$2:$B$536,2, FALSE)</f>
        <v>0</v>
      </c>
    </row>
    <row r="213" spans="1:28" ht="15" x14ac:dyDescent="0.25">
      <c r="A213" s="4" t="s">
        <v>328</v>
      </c>
      <c r="B213" s="4" t="s">
        <v>334</v>
      </c>
      <c r="C213" s="4">
        <v>79</v>
      </c>
      <c r="D213" s="4">
        <v>4644</v>
      </c>
      <c r="E213" s="4">
        <f t="shared" si="0"/>
        <v>4392</v>
      </c>
      <c r="F213" s="4">
        <f t="shared" si="1"/>
        <v>252</v>
      </c>
      <c r="G213" s="4">
        <v>55</v>
      </c>
      <c r="H213" s="4">
        <v>35</v>
      </c>
      <c r="I213" s="4">
        <v>29</v>
      </c>
      <c r="J213" s="4">
        <f t="shared" si="2"/>
        <v>43.199999999999996</v>
      </c>
      <c r="K213" s="4">
        <f t="shared" si="3"/>
        <v>52.137931034482762</v>
      </c>
      <c r="L213" s="4">
        <f t="shared" si="4"/>
        <v>94.285714285714278</v>
      </c>
      <c r="M213" s="4">
        <f t="shared" si="5"/>
        <v>113.79310344827586</v>
      </c>
      <c r="N213" s="5">
        <v>2</v>
      </c>
      <c r="O213" s="6" t="s">
        <v>21</v>
      </c>
      <c r="P213" s="3">
        <f>N213*VLOOKUP(O213,'Ingredient costs'!$A$2:$B$536,2, FALSE)</f>
        <v>432</v>
      </c>
      <c r="Q213" s="5">
        <v>2</v>
      </c>
      <c r="R213" s="6" t="s">
        <v>310</v>
      </c>
      <c r="S213" s="3">
        <f>Q213*VLOOKUP(R213,'Ingredient costs'!$A$2:$B$536,2, FALSE)</f>
        <v>288</v>
      </c>
      <c r="T213" s="5">
        <v>1</v>
      </c>
      <c r="U213" s="6" t="s">
        <v>318</v>
      </c>
      <c r="V213" s="3">
        <f>T213*VLOOKUP(U213,'Ingredient costs'!$A$2:$B$536,2, FALSE)</f>
        <v>3672</v>
      </c>
      <c r="W213" s="6"/>
      <c r="X213" s="7" t="s">
        <v>23</v>
      </c>
      <c r="Y213" s="3">
        <f>W213*VLOOKUP(X213,'Ingredient costs'!$A$2:$B$536,2, FALSE)</f>
        <v>0</v>
      </c>
      <c r="AA213" s="3" t="s">
        <v>23</v>
      </c>
      <c r="AB213" s="3">
        <f>Z213*VLOOKUP(AA213,'Ingredient costs'!$A$2:$B$536,2, FALSE)</f>
        <v>0</v>
      </c>
    </row>
    <row r="214" spans="1:28" ht="15" x14ac:dyDescent="0.25">
      <c r="A214" s="4" t="s">
        <v>328</v>
      </c>
      <c r="B214" s="4" t="s">
        <v>335</v>
      </c>
      <c r="C214" s="4">
        <v>84</v>
      </c>
      <c r="D214" s="4">
        <v>4176</v>
      </c>
      <c r="E214" s="4">
        <f t="shared" si="0"/>
        <v>3852</v>
      </c>
      <c r="F214" s="4">
        <f t="shared" si="1"/>
        <v>324</v>
      </c>
      <c r="G214" s="4">
        <v>50</v>
      </c>
      <c r="H214" s="4">
        <v>90</v>
      </c>
      <c r="I214" s="4">
        <v>76</v>
      </c>
      <c r="J214" s="4">
        <f t="shared" si="2"/>
        <v>21.599999999999998</v>
      </c>
      <c r="K214" s="4">
        <f t="shared" si="3"/>
        <v>25.578947368421055</v>
      </c>
      <c r="L214" s="4">
        <f t="shared" si="4"/>
        <v>33.333333333333336</v>
      </c>
      <c r="M214" s="4">
        <f t="shared" si="5"/>
        <v>39.473684210526315</v>
      </c>
      <c r="N214" s="5">
        <v>2</v>
      </c>
      <c r="O214" s="6" t="s">
        <v>24</v>
      </c>
      <c r="P214" s="3">
        <f>N214*VLOOKUP(O214,'Ingredient costs'!$A$2:$B$536,2, FALSE)</f>
        <v>1440</v>
      </c>
      <c r="Q214" s="5">
        <v>3</v>
      </c>
      <c r="R214" s="6" t="s">
        <v>77</v>
      </c>
      <c r="S214" s="3">
        <f>Q214*VLOOKUP(R214,'Ingredient costs'!$A$2:$B$536,2, FALSE)</f>
        <v>1188</v>
      </c>
      <c r="T214" s="5">
        <v>1</v>
      </c>
      <c r="U214" s="6" t="s">
        <v>35</v>
      </c>
      <c r="V214" s="3">
        <f>T214*VLOOKUP(U214,'Ingredient costs'!$A$2:$B$536,2, FALSE)</f>
        <v>1224</v>
      </c>
      <c r="W214" s="6"/>
      <c r="X214" s="7" t="s">
        <v>23</v>
      </c>
      <c r="Y214" s="3">
        <f>W214*VLOOKUP(X214,'Ingredient costs'!$A$2:$B$536,2, FALSE)</f>
        <v>0</v>
      </c>
      <c r="AA214" s="3" t="s">
        <v>23</v>
      </c>
      <c r="AB214" s="3">
        <f>Z214*VLOOKUP(AA214,'Ingredient costs'!$A$2:$B$536,2, FALSE)</f>
        <v>0</v>
      </c>
    </row>
    <row r="215" spans="1:28" ht="15" x14ac:dyDescent="0.25">
      <c r="A215" s="4" t="s">
        <v>328</v>
      </c>
      <c r="B215" s="4" t="s">
        <v>336</v>
      </c>
      <c r="C215" s="4">
        <v>92</v>
      </c>
      <c r="D215" s="4">
        <v>3024</v>
      </c>
      <c r="E215" s="4">
        <f t="shared" si="0"/>
        <v>2808</v>
      </c>
      <c r="F215" s="4">
        <f t="shared" si="1"/>
        <v>216</v>
      </c>
      <c r="G215" s="4">
        <v>36</v>
      </c>
      <c r="H215" s="4">
        <v>50</v>
      </c>
      <c r="I215" s="4">
        <v>42</v>
      </c>
      <c r="J215" s="4">
        <f t="shared" si="2"/>
        <v>25.92</v>
      </c>
      <c r="K215" s="4">
        <f t="shared" si="3"/>
        <v>30.857142857142861</v>
      </c>
      <c r="L215" s="4">
        <f t="shared" si="4"/>
        <v>43.199999999999996</v>
      </c>
      <c r="M215" s="4">
        <f t="shared" si="5"/>
        <v>51.428571428571423</v>
      </c>
      <c r="N215" s="8">
        <v>1</v>
      </c>
      <c r="O215" s="7" t="s">
        <v>21</v>
      </c>
      <c r="P215" s="3">
        <f>N215*VLOOKUP(O215,'Ingredient costs'!$A$2:$B$536,2, FALSE)</f>
        <v>216</v>
      </c>
      <c r="Q215" s="8">
        <v>1</v>
      </c>
      <c r="R215" s="7" t="s">
        <v>103</v>
      </c>
      <c r="S215" s="3">
        <f>Q215*VLOOKUP(R215,'Ingredient costs'!$A$2:$B$536,2, FALSE)</f>
        <v>1620</v>
      </c>
      <c r="T215" s="8">
        <v>3</v>
      </c>
      <c r="U215" s="7" t="s">
        <v>49</v>
      </c>
      <c r="V215" s="3">
        <f>T215*VLOOKUP(U215,'Ingredient costs'!$A$2:$B$536,2, FALSE)</f>
        <v>972</v>
      </c>
      <c r="W215" s="7"/>
      <c r="X215" s="7" t="s">
        <v>23</v>
      </c>
      <c r="Y215" s="3">
        <f>W215*VLOOKUP(X215,'Ingredient costs'!$A$2:$B$536,2, FALSE)</f>
        <v>0</v>
      </c>
      <c r="AA215" s="3" t="s">
        <v>23</v>
      </c>
      <c r="AB215" s="3">
        <f>Z215*VLOOKUP(AA215,'Ingredient costs'!$A$2:$B$536,2, FALSE)</f>
        <v>0</v>
      </c>
    </row>
    <row r="216" spans="1:28" ht="15" x14ac:dyDescent="0.25">
      <c r="A216" s="4" t="s">
        <v>337</v>
      </c>
      <c r="B216" s="4" t="s">
        <v>338</v>
      </c>
      <c r="C216" s="4">
        <v>54</v>
      </c>
      <c r="D216" s="4">
        <v>1548</v>
      </c>
      <c r="E216" s="4">
        <f t="shared" si="0"/>
        <v>1008</v>
      </c>
      <c r="F216" s="4">
        <f t="shared" si="1"/>
        <v>540</v>
      </c>
      <c r="G216" s="4">
        <v>19</v>
      </c>
      <c r="H216" s="4">
        <v>180</v>
      </c>
      <c r="I216" s="4">
        <v>153</v>
      </c>
      <c r="J216" s="4">
        <f t="shared" si="2"/>
        <v>18</v>
      </c>
      <c r="K216" s="4">
        <f t="shared" si="3"/>
        <v>21.176470588235293</v>
      </c>
      <c r="L216" s="4">
        <f t="shared" si="4"/>
        <v>6.333333333333333</v>
      </c>
      <c r="M216" s="4">
        <f t="shared" si="5"/>
        <v>7.4509803921568629</v>
      </c>
      <c r="N216" s="5">
        <v>9</v>
      </c>
      <c r="O216" s="6" t="s">
        <v>164</v>
      </c>
      <c r="P216" s="3">
        <f>N216*VLOOKUP(O216,'Ingredient costs'!$A$2:$B$536,2, FALSE)</f>
        <v>972</v>
      </c>
      <c r="Q216" s="5">
        <v>1</v>
      </c>
      <c r="R216" s="6" t="s">
        <v>22</v>
      </c>
      <c r="S216" s="3">
        <f>Q216*VLOOKUP(R216,'Ingredient costs'!$A$2:$B$536,2, FALSE)</f>
        <v>36</v>
      </c>
      <c r="T216" s="6"/>
      <c r="U216" s="6" t="s">
        <v>23</v>
      </c>
      <c r="V216" s="3">
        <f>T216*VLOOKUP(U216,'Ingredient costs'!$A$2:$B$536,2, FALSE)</f>
        <v>0</v>
      </c>
      <c r="W216" s="6"/>
      <c r="X216" s="7" t="s">
        <v>23</v>
      </c>
      <c r="Y216" s="3">
        <f>W216*VLOOKUP(X216,'Ingredient costs'!$A$2:$B$536,2, FALSE)</f>
        <v>0</v>
      </c>
      <c r="AA216" s="3" t="s">
        <v>23</v>
      </c>
      <c r="AB216" s="3">
        <f>Z216*VLOOKUP(AA216,'Ingredient costs'!$A$2:$B$536,2, FALSE)</f>
        <v>0</v>
      </c>
    </row>
    <row r="217" spans="1:28" ht="15" x14ac:dyDescent="0.25">
      <c r="A217" s="4" t="s">
        <v>337</v>
      </c>
      <c r="B217" s="4" t="s">
        <v>57</v>
      </c>
      <c r="C217" s="4">
        <v>60</v>
      </c>
      <c r="D217" s="4">
        <v>2772</v>
      </c>
      <c r="E217" s="4">
        <f t="shared" si="0"/>
        <v>2484</v>
      </c>
      <c r="F217" s="4">
        <f t="shared" si="1"/>
        <v>288</v>
      </c>
      <c r="G217" s="4">
        <v>33</v>
      </c>
      <c r="H217" s="4">
        <v>45</v>
      </c>
      <c r="I217" s="4">
        <v>38</v>
      </c>
      <c r="J217" s="4">
        <f t="shared" si="2"/>
        <v>38.4</v>
      </c>
      <c r="K217" s="4">
        <f t="shared" si="3"/>
        <v>45.473684210526308</v>
      </c>
      <c r="L217" s="4">
        <f t="shared" si="4"/>
        <v>44</v>
      </c>
      <c r="M217" s="4">
        <f t="shared" si="5"/>
        <v>52.10526315789474</v>
      </c>
      <c r="N217" s="5">
        <v>3</v>
      </c>
      <c r="O217" s="6" t="s">
        <v>316</v>
      </c>
      <c r="P217" s="3">
        <f>N217*VLOOKUP(O217,'Ingredient costs'!$A$2:$B$536,2, FALSE)</f>
        <v>2484</v>
      </c>
      <c r="Q217" s="6"/>
      <c r="R217" s="6" t="s">
        <v>23</v>
      </c>
      <c r="S217" s="3">
        <f>Q217*VLOOKUP(R217,'Ingredient costs'!$A$2:$B$536,2, FALSE)</f>
        <v>0</v>
      </c>
      <c r="T217" s="6"/>
      <c r="U217" s="6" t="s">
        <v>23</v>
      </c>
      <c r="V217" s="3">
        <f>T217*VLOOKUP(U217,'Ingredient costs'!$A$2:$B$536,2, FALSE)</f>
        <v>0</v>
      </c>
      <c r="W217" s="6"/>
      <c r="X217" s="7" t="s">
        <v>23</v>
      </c>
      <c r="Y217" s="3">
        <f>W217*VLOOKUP(X217,'Ingredient costs'!$A$2:$B$536,2, FALSE)</f>
        <v>0</v>
      </c>
      <c r="AA217" s="3" t="s">
        <v>23</v>
      </c>
      <c r="AB217" s="3">
        <f>Z217*VLOOKUP(AA217,'Ingredient costs'!$A$2:$B$536,2, FALSE)</f>
        <v>0</v>
      </c>
    </row>
    <row r="218" spans="1:28" ht="15" x14ac:dyDescent="0.25">
      <c r="A218" s="4" t="s">
        <v>337</v>
      </c>
      <c r="B218" s="4" t="s">
        <v>318</v>
      </c>
      <c r="C218" s="4">
        <v>62</v>
      </c>
      <c r="D218" s="4">
        <v>3672</v>
      </c>
      <c r="E218" s="4">
        <f t="shared" si="0"/>
        <v>3492</v>
      </c>
      <c r="F218" s="4">
        <f t="shared" si="1"/>
        <v>180</v>
      </c>
      <c r="G218" s="4">
        <v>44</v>
      </c>
      <c r="H218" s="4">
        <v>15</v>
      </c>
      <c r="I218" s="4">
        <v>12</v>
      </c>
      <c r="J218" s="4">
        <f t="shared" si="2"/>
        <v>72</v>
      </c>
      <c r="K218" s="4">
        <f t="shared" si="3"/>
        <v>90</v>
      </c>
      <c r="L218" s="4">
        <f t="shared" si="4"/>
        <v>176</v>
      </c>
      <c r="M218" s="4">
        <f t="shared" si="5"/>
        <v>220</v>
      </c>
      <c r="N218" s="5">
        <v>4</v>
      </c>
      <c r="O218" s="6" t="s">
        <v>26</v>
      </c>
      <c r="P218" s="3">
        <f>N218*VLOOKUP(O218,'Ingredient costs'!$A$2:$B$536,2, FALSE)</f>
        <v>720</v>
      </c>
      <c r="Q218" s="5">
        <v>1</v>
      </c>
      <c r="R218" s="6" t="s">
        <v>57</v>
      </c>
      <c r="S218" s="3">
        <f>Q218*VLOOKUP(R218,'Ingredient costs'!$A$2:$B$536,2, FALSE)</f>
        <v>2772</v>
      </c>
      <c r="T218" s="6"/>
      <c r="U218" s="6" t="s">
        <v>23</v>
      </c>
      <c r="V218" s="3">
        <f>T218*VLOOKUP(U218,'Ingredient costs'!$A$2:$B$536,2, FALSE)</f>
        <v>0</v>
      </c>
      <c r="W218" s="6"/>
      <c r="X218" s="7" t="s">
        <v>23</v>
      </c>
      <c r="Y218" s="3">
        <f>W218*VLOOKUP(X218,'Ingredient costs'!$A$2:$B$536,2, FALSE)</f>
        <v>0</v>
      </c>
      <c r="AA218" s="3" t="s">
        <v>23</v>
      </c>
      <c r="AB218" s="3">
        <f>Z218*VLOOKUP(AA218,'Ingredient costs'!$A$2:$B$536,2, FALSE)</f>
        <v>0</v>
      </c>
    </row>
    <row r="219" spans="1:28" ht="15" x14ac:dyDescent="0.25">
      <c r="A219" s="4" t="s">
        <v>337</v>
      </c>
      <c r="B219" s="4" t="s">
        <v>112</v>
      </c>
      <c r="C219" s="4">
        <v>66</v>
      </c>
      <c r="D219" s="4">
        <v>3780</v>
      </c>
      <c r="E219" s="4">
        <f t="shared" si="0"/>
        <v>3564</v>
      </c>
      <c r="F219" s="4">
        <f t="shared" si="1"/>
        <v>216</v>
      </c>
      <c r="G219" s="4">
        <v>45</v>
      </c>
      <c r="H219" s="4">
        <v>25</v>
      </c>
      <c r="I219" s="4">
        <v>21</v>
      </c>
      <c r="J219" s="4">
        <f t="shared" si="2"/>
        <v>51.84</v>
      </c>
      <c r="K219" s="4">
        <f t="shared" si="3"/>
        <v>61.714285714285722</v>
      </c>
      <c r="L219" s="4">
        <f t="shared" si="4"/>
        <v>108</v>
      </c>
      <c r="M219" s="4">
        <f t="shared" si="5"/>
        <v>128.57142857142856</v>
      </c>
      <c r="N219" s="5">
        <v>2</v>
      </c>
      <c r="O219" s="6" t="s">
        <v>58</v>
      </c>
      <c r="P219" s="3">
        <f>N219*VLOOKUP(O219,'Ingredient costs'!$A$2:$B$536,2, FALSE)</f>
        <v>1872</v>
      </c>
      <c r="Q219" s="5">
        <v>2</v>
      </c>
      <c r="R219" s="6" t="s">
        <v>26</v>
      </c>
      <c r="S219" s="3">
        <f>Q219*VLOOKUP(R219,'Ingredient costs'!$A$2:$B$536,2, FALSE)</f>
        <v>360</v>
      </c>
      <c r="T219" s="5">
        <v>1</v>
      </c>
      <c r="U219" s="6" t="s">
        <v>41</v>
      </c>
      <c r="V219" s="3">
        <f>T219*VLOOKUP(U219,'Ingredient costs'!$A$2:$B$536,2, FALSE)</f>
        <v>828</v>
      </c>
      <c r="W219" s="5">
        <v>1</v>
      </c>
      <c r="X219" s="7" t="s">
        <v>40</v>
      </c>
      <c r="Y219" s="3">
        <f>W219*VLOOKUP(X219,'Ingredient costs'!$A$2:$B$536,2, FALSE)</f>
        <v>504</v>
      </c>
      <c r="AA219" s="3" t="s">
        <v>23</v>
      </c>
      <c r="AB219" s="3">
        <f>Z219*VLOOKUP(AA219,'Ingredient costs'!$A$2:$B$536,2, FALSE)</f>
        <v>0</v>
      </c>
    </row>
    <row r="220" spans="1:28" ht="15" x14ac:dyDescent="0.25">
      <c r="A220" s="4" t="s">
        <v>337</v>
      </c>
      <c r="B220" s="4" t="s">
        <v>339</v>
      </c>
      <c r="C220" s="4">
        <v>66</v>
      </c>
      <c r="D220" s="4">
        <v>4680</v>
      </c>
      <c r="E220" s="4">
        <f t="shared" si="0"/>
        <v>4392</v>
      </c>
      <c r="F220" s="4">
        <f t="shared" si="1"/>
        <v>288</v>
      </c>
      <c r="G220" s="4">
        <v>56</v>
      </c>
      <c r="H220" s="4">
        <v>45</v>
      </c>
      <c r="I220" s="4">
        <v>38</v>
      </c>
      <c r="J220" s="4">
        <f t="shared" si="2"/>
        <v>38.4</v>
      </c>
      <c r="K220" s="4">
        <f t="shared" si="3"/>
        <v>45.473684210526308</v>
      </c>
      <c r="L220" s="4">
        <f t="shared" si="4"/>
        <v>74.666666666666671</v>
      </c>
      <c r="M220" s="4">
        <f t="shared" si="5"/>
        <v>88.421052631578945</v>
      </c>
      <c r="N220" s="5">
        <v>3</v>
      </c>
      <c r="O220" s="6" t="s">
        <v>316</v>
      </c>
      <c r="P220" s="3">
        <f>N220*VLOOKUP(O220,'Ingredient costs'!$A$2:$B$536,2, FALSE)</f>
        <v>2484</v>
      </c>
      <c r="Q220" s="5">
        <v>2</v>
      </c>
      <c r="R220" s="6" t="s">
        <v>21</v>
      </c>
      <c r="S220" s="3">
        <f>Q220*VLOOKUP(R220,'Ingredient costs'!$A$2:$B$536,2, FALSE)</f>
        <v>432</v>
      </c>
      <c r="T220" s="5">
        <v>1</v>
      </c>
      <c r="U220" s="6" t="s">
        <v>43</v>
      </c>
      <c r="V220" s="3">
        <f>T220*VLOOKUP(U220,'Ingredient costs'!$A$2:$B$536,2, FALSE)</f>
        <v>540</v>
      </c>
      <c r="W220" s="5">
        <v>1</v>
      </c>
      <c r="X220" s="7" t="s">
        <v>58</v>
      </c>
      <c r="Y220" s="3">
        <f>W220*VLOOKUP(X220,'Ingredient costs'!$A$2:$B$536,2, FALSE)</f>
        <v>936</v>
      </c>
      <c r="AA220" s="3" t="s">
        <v>23</v>
      </c>
      <c r="AB220" s="3">
        <f>Z220*VLOOKUP(AA220,'Ingredient costs'!$A$2:$B$536,2, FALSE)</f>
        <v>0</v>
      </c>
    </row>
    <row r="221" spans="1:28" ht="15" x14ac:dyDescent="0.25">
      <c r="A221" s="4" t="s">
        <v>337</v>
      </c>
      <c r="B221" s="4" t="s">
        <v>198</v>
      </c>
      <c r="C221" s="4">
        <v>69</v>
      </c>
      <c r="D221" s="4">
        <v>2304</v>
      </c>
      <c r="E221" s="4">
        <f t="shared" si="0"/>
        <v>2124</v>
      </c>
      <c r="F221" s="4">
        <f t="shared" si="1"/>
        <v>180</v>
      </c>
      <c r="G221" s="4">
        <v>27</v>
      </c>
      <c r="H221" s="4">
        <v>30</v>
      </c>
      <c r="I221" s="4">
        <v>25</v>
      </c>
      <c r="J221" s="4">
        <f t="shared" si="2"/>
        <v>36</v>
      </c>
      <c r="K221" s="4">
        <f t="shared" si="3"/>
        <v>43.199999999999996</v>
      </c>
      <c r="L221" s="4">
        <f t="shared" si="4"/>
        <v>54</v>
      </c>
      <c r="M221" s="4">
        <f t="shared" si="5"/>
        <v>64.800000000000011</v>
      </c>
      <c r="N221" s="5">
        <v>2</v>
      </c>
      <c r="O221" s="6" t="s">
        <v>34</v>
      </c>
      <c r="P221" s="3">
        <f>N221*VLOOKUP(O221,'Ingredient costs'!$A$2:$B$536,2, FALSE)</f>
        <v>864</v>
      </c>
      <c r="Q221" s="5">
        <v>1</v>
      </c>
      <c r="R221" s="6" t="s">
        <v>28</v>
      </c>
      <c r="S221" s="3">
        <f>Q221*VLOOKUP(R221,'Ingredient costs'!$A$2:$B$536,2, FALSE)</f>
        <v>324</v>
      </c>
      <c r="T221" s="5">
        <v>1</v>
      </c>
      <c r="U221" s="6" t="s">
        <v>58</v>
      </c>
      <c r="V221" s="3">
        <f>T221*VLOOKUP(U221,'Ingredient costs'!$A$2:$B$536,2, FALSE)</f>
        <v>936</v>
      </c>
      <c r="W221" s="6"/>
      <c r="X221" s="7" t="s">
        <v>23</v>
      </c>
      <c r="Y221" s="3">
        <f>W221*VLOOKUP(X221,'Ingredient costs'!$A$2:$B$536,2, FALSE)</f>
        <v>0</v>
      </c>
      <c r="AA221" s="3" t="s">
        <v>23</v>
      </c>
      <c r="AB221" s="3">
        <f>Z221*VLOOKUP(AA221,'Ingredient costs'!$A$2:$B$536,2, FALSE)</f>
        <v>0</v>
      </c>
    </row>
    <row r="222" spans="1:28" ht="15" x14ac:dyDescent="0.25">
      <c r="A222" s="4" t="s">
        <v>337</v>
      </c>
      <c r="B222" s="4" t="s">
        <v>87</v>
      </c>
      <c r="C222" s="4">
        <v>77</v>
      </c>
      <c r="D222" s="4">
        <v>2520</v>
      </c>
      <c r="E222" s="4">
        <f t="shared" si="0"/>
        <v>2376</v>
      </c>
      <c r="F222" s="4">
        <f t="shared" si="1"/>
        <v>144</v>
      </c>
      <c r="G222" s="4">
        <v>30</v>
      </c>
      <c r="H222" s="4">
        <v>20</v>
      </c>
      <c r="I222" s="4">
        <v>17</v>
      </c>
      <c r="J222" s="4">
        <f t="shared" si="2"/>
        <v>43.199999999999996</v>
      </c>
      <c r="K222" s="4">
        <f t="shared" si="3"/>
        <v>50.823529411764703</v>
      </c>
      <c r="L222" s="4">
        <f t="shared" si="4"/>
        <v>90</v>
      </c>
      <c r="M222" s="4">
        <f t="shared" si="5"/>
        <v>105.88235294117646</v>
      </c>
      <c r="N222" s="5">
        <v>2</v>
      </c>
      <c r="O222" s="6" t="s">
        <v>37</v>
      </c>
      <c r="P222" s="3">
        <f>N222*VLOOKUP(O222,'Ingredient costs'!$A$2:$B$536,2, FALSE)</f>
        <v>720</v>
      </c>
      <c r="Q222" s="5">
        <v>2</v>
      </c>
      <c r="R222" s="6" t="s">
        <v>77</v>
      </c>
      <c r="S222" s="3">
        <f>Q222*VLOOKUP(R222,'Ingredient costs'!$A$2:$B$536,2, FALSE)</f>
        <v>792</v>
      </c>
      <c r="T222" s="5">
        <v>2</v>
      </c>
      <c r="U222" s="6" t="s">
        <v>34</v>
      </c>
      <c r="V222" s="3">
        <f>T222*VLOOKUP(U222,'Ingredient costs'!$A$2:$B$536,2, FALSE)</f>
        <v>864</v>
      </c>
      <c r="W222" s="6"/>
      <c r="X222" s="7" t="s">
        <v>23</v>
      </c>
      <c r="Y222" s="3">
        <f>W222*VLOOKUP(X222,'Ingredient costs'!$A$2:$B$536,2, FALSE)</f>
        <v>0</v>
      </c>
      <c r="AA222" s="3" t="s">
        <v>23</v>
      </c>
      <c r="AB222" s="3">
        <f>Z222*VLOOKUP(AA222,'Ingredient costs'!$A$2:$B$536,2, FALSE)</f>
        <v>0</v>
      </c>
    </row>
    <row r="223" spans="1:28" ht="15" x14ac:dyDescent="0.25">
      <c r="A223" s="4" t="s">
        <v>337</v>
      </c>
      <c r="B223" s="4" t="s">
        <v>340</v>
      </c>
      <c r="C223" s="4">
        <v>100</v>
      </c>
      <c r="D223" s="4">
        <v>2880</v>
      </c>
      <c r="E223" s="4">
        <f t="shared" si="0"/>
        <v>2628</v>
      </c>
      <c r="F223" s="4">
        <f t="shared" si="1"/>
        <v>252</v>
      </c>
      <c r="G223" s="4">
        <v>34</v>
      </c>
      <c r="H223" s="4">
        <v>30</v>
      </c>
      <c r="I223" s="4">
        <v>25</v>
      </c>
      <c r="J223" s="4">
        <f t="shared" si="2"/>
        <v>50.400000000000006</v>
      </c>
      <c r="K223" s="4">
        <f t="shared" si="3"/>
        <v>60.480000000000004</v>
      </c>
      <c r="L223" s="4">
        <f t="shared" si="4"/>
        <v>68</v>
      </c>
      <c r="M223" s="4">
        <f t="shared" si="5"/>
        <v>81.600000000000009</v>
      </c>
      <c r="N223" s="8">
        <v>2</v>
      </c>
      <c r="O223" s="7" t="s">
        <v>225</v>
      </c>
      <c r="P223" s="3">
        <f>N223*VLOOKUP(O223,'Ingredient costs'!$A$2:$B$536,2, FALSE)</f>
        <v>360</v>
      </c>
      <c r="Q223" s="8">
        <v>2</v>
      </c>
      <c r="R223" s="7" t="s">
        <v>37</v>
      </c>
      <c r="S223" s="3">
        <f>Q223*VLOOKUP(R223,'Ingredient costs'!$A$2:$B$536,2, FALSE)</f>
        <v>720</v>
      </c>
      <c r="T223" s="8">
        <v>1</v>
      </c>
      <c r="U223" s="7" t="s">
        <v>62</v>
      </c>
      <c r="V223" s="3">
        <f>T223*VLOOKUP(U223,'Ingredient costs'!$A$2:$B$536,2, FALSE)</f>
        <v>1548</v>
      </c>
      <c r="W223" s="7"/>
      <c r="X223" s="7" t="s">
        <v>23</v>
      </c>
      <c r="Y223" s="3">
        <f>W223*VLOOKUP(X223,'Ingredient costs'!$A$2:$B$536,2, FALSE)</f>
        <v>0</v>
      </c>
      <c r="AA223" s="3" t="s">
        <v>23</v>
      </c>
      <c r="AB223" s="3">
        <f>Z223*VLOOKUP(AA223,'Ingredient costs'!$A$2:$B$536,2, FALSE)</f>
        <v>0</v>
      </c>
    </row>
    <row r="224" spans="1:28" ht="15" x14ac:dyDescent="0.25">
      <c r="A224" s="4" t="s">
        <v>341</v>
      </c>
      <c r="B224" s="4" t="s">
        <v>342</v>
      </c>
      <c r="C224" s="4">
        <v>19</v>
      </c>
      <c r="D224" s="4">
        <v>2412</v>
      </c>
      <c r="E224" s="4">
        <f t="shared" si="0"/>
        <v>2160</v>
      </c>
      <c r="F224" s="4">
        <f t="shared" si="1"/>
        <v>252</v>
      </c>
      <c r="G224" s="4">
        <v>29</v>
      </c>
      <c r="H224" s="4">
        <v>45</v>
      </c>
      <c r="I224" s="4">
        <v>38</v>
      </c>
      <c r="J224" s="4">
        <f t="shared" si="2"/>
        <v>33.599999999999994</v>
      </c>
      <c r="K224" s="4">
        <f t="shared" si="3"/>
        <v>39.789473684210527</v>
      </c>
      <c r="L224" s="4">
        <f t="shared" si="4"/>
        <v>38.666666666666671</v>
      </c>
      <c r="M224" s="4">
        <f t="shared" si="5"/>
        <v>45.789473684210527</v>
      </c>
      <c r="N224" s="3">
        <v>2</v>
      </c>
      <c r="O224" s="3" t="s">
        <v>175</v>
      </c>
      <c r="P224" s="3">
        <f>N224*VLOOKUP(O224,'Ingredient costs'!$A$2:$B$536,2, FALSE)</f>
        <v>2160</v>
      </c>
      <c r="R224" s="3" t="s">
        <v>23</v>
      </c>
      <c r="S224" s="3">
        <f>Q224*VLOOKUP(R224,'Ingredient costs'!$A$2:$B$536,2, FALSE)</f>
        <v>0</v>
      </c>
      <c r="U224" s="3" t="s">
        <v>23</v>
      </c>
      <c r="V224" s="3">
        <f>T224*VLOOKUP(U224,'Ingredient costs'!$A$2:$B$536,2, FALSE)</f>
        <v>0</v>
      </c>
      <c r="X224" s="3" t="s">
        <v>23</v>
      </c>
      <c r="Y224" s="3">
        <f>W224*VLOOKUP(X224,'Ingredient costs'!$A$2:$B$536,2, FALSE)</f>
        <v>0</v>
      </c>
      <c r="AA224" s="3" t="s">
        <v>23</v>
      </c>
      <c r="AB224" s="3">
        <f>Z224*VLOOKUP(AA224,'Ingredient costs'!$A$2:$B$536,2, FALSE)</f>
        <v>0</v>
      </c>
    </row>
    <row r="225" spans="1:28" ht="15" x14ac:dyDescent="0.25">
      <c r="A225" s="4" t="s">
        <v>341</v>
      </c>
      <c r="B225" s="4" t="s">
        <v>343</v>
      </c>
      <c r="C225" s="4">
        <v>21</v>
      </c>
      <c r="D225" s="4">
        <v>3096</v>
      </c>
      <c r="E225" s="4">
        <f t="shared" si="0"/>
        <v>2700</v>
      </c>
      <c r="F225" s="4">
        <f t="shared" si="1"/>
        <v>396</v>
      </c>
      <c r="G225" s="4">
        <v>37</v>
      </c>
      <c r="H225" s="4">
        <v>90</v>
      </c>
      <c r="I225" s="4">
        <v>76</v>
      </c>
      <c r="J225" s="4">
        <f t="shared" si="2"/>
        <v>26.400000000000002</v>
      </c>
      <c r="K225" s="4">
        <f t="shared" si="3"/>
        <v>31.263157894736839</v>
      </c>
      <c r="L225" s="4">
        <f t="shared" si="4"/>
        <v>24.666666666666664</v>
      </c>
      <c r="M225" s="4">
        <f t="shared" si="5"/>
        <v>29.210526315789476</v>
      </c>
      <c r="N225" s="3">
        <v>1</v>
      </c>
      <c r="O225" s="3" t="s">
        <v>175</v>
      </c>
      <c r="P225" s="3">
        <f>N225*VLOOKUP(O225,'Ingredient costs'!$A$2:$B$536,2, FALSE)</f>
        <v>1080</v>
      </c>
      <c r="Q225" s="3">
        <v>3</v>
      </c>
      <c r="R225" s="3" t="s">
        <v>189</v>
      </c>
      <c r="S225" s="3">
        <f>Q225*VLOOKUP(R225,'Ingredient costs'!$A$2:$B$536,2, FALSE)</f>
        <v>1620</v>
      </c>
      <c r="U225" s="3" t="s">
        <v>23</v>
      </c>
      <c r="V225" s="3">
        <f>T225*VLOOKUP(U225,'Ingredient costs'!$A$2:$B$536,2, FALSE)</f>
        <v>0</v>
      </c>
      <c r="X225" s="3" t="s">
        <v>23</v>
      </c>
      <c r="Y225" s="3">
        <f>W225*VLOOKUP(X225,'Ingredient costs'!$A$2:$B$536,2, FALSE)</f>
        <v>0</v>
      </c>
      <c r="AA225" s="3" t="s">
        <v>23</v>
      </c>
      <c r="AB225" s="3">
        <f>Z225*VLOOKUP(AA225,'Ingredient costs'!$A$2:$B$536,2, FALSE)</f>
        <v>0</v>
      </c>
    </row>
    <row r="226" spans="1:28" ht="15" x14ac:dyDescent="0.25">
      <c r="A226" s="4" t="s">
        <v>341</v>
      </c>
      <c r="B226" s="4" t="s">
        <v>344</v>
      </c>
      <c r="C226" s="4">
        <v>25</v>
      </c>
      <c r="D226" s="4">
        <v>3276</v>
      </c>
      <c r="E226" s="4">
        <f t="shared" si="0"/>
        <v>2880</v>
      </c>
      <c r="F226" s="4">
        <f t="shared" si="1"/>
        <v>396</v>
      </c>
      <c r="G226" s="4">
        <v>39</v>
      </c>
      <c r="H226" s="4">
        <v>135</v>
      </c>
      <c r="I226" s="4">
        <v>114</v>
      </c>
      <c r="J226" s="4">
        <f t="shared" si="2"/>
        <v>17.600000000000001</v>
      </c>
      <c r="K226" s="4">
        <f t="shared" si="3"/>
        <v>20.842105263157897</v>
      </c>
      <c r="L226" s="4">
        <f t="shared" si="4"/>
        <v>17.333333333333332</v>
      </c>
      <c r="M226" s="4">
        <f t="shared" si="5"/>
        <v>20.526315789473685</v>
      </c>
      <c r="N226" s="3">
        <v>2</v>
      </c>
      <c r="O226" s="3" t="s">
        <v>175</v>
      </c>
      <c r="P226" s="3">
        <f>N226*VLOOKUP(O226,'Ingredient costs'!$A$2:$B$536,2, FALSE)</f>
        <v>2160</v>
      </c>
      <c r="Q226" s="3">
        <v>1</v>
      </c>
      <c r="R226" s="3" t="s">
        <v>124</v>
      </c>
      <c r="S226" s="3">
        <f>Q226*VLOOKUP(R226,'Ingredient costs'!$A$2:$B$536,2, FALSE)</f>
        <v>252</v>
      </c>
      <c r="T226" s="3">
        <v>1</v>
      </c>
      <c r="U226" s="3" t="s">
        <v>30</v>
      </c>
      <c r="V226" s="3">
        <f>T226*VLOOKUP(U226,'Ingredient costs'!$A$2:$B$536,2, FALSE)</f>
        <v>468</v>
      </c>
      <c r="X226" s="3" t="s">
        <v>23</v>
      </c>
      <c r="Y226" s="3">
        <f>W226*VLOOKUP(X226,'Ingredient costs'!$A$2:$B$536,2, FALSE)</f>
        <v>0</v>
      </c>
      <c r="AA226" s="3" t="s">
        <v>23</v>
      </c>
      <c r="AB226" s="3">
        <f>Z226*VLOOKUP(AA226,'Ingredient costs'!$A$2:$B$536,2, FALSE)</f>
        <v>0</v>
      </c>
    </row>
    <row r="227" spans="1:28" ht="15" x14ac:dyDescent="0.25">
      <c r="A227" s="4" t="s">
        <v>341</v>
      </c>
      <c r="B227" s="4" t="s">
        <v>345</v>
      </c>
      <c r="C227" s="4">
        <v>51</v>
      </c>
      <c r="D227" s="4">
        <v>6768</v>
      </c>
      <c r="E227" s="4">
        <f t="shared" si="0"/>
        <v>6372</v>
      </c>
      <c r="F227" s="4">
        <f t="shared" si="1"/>
        <v>396</v>
      </c>
      <c r="G227" s="4">
        <v>81</v>
      </c>
      <c r="H227" s="4">
        <v>180</v>
      </c>
      <c r="I227" s="4">
        <v>153</v>
      </c>
      <c r="J227" s="4">
        <f t="shared" si="2"/>
        <v>13.200000000000001</v>
      </c>
      <c r="K227" s="4">
        <f t="shared" si="3"/>
        <v>15.529411764705884</v>
      </c>
      <c r="L227" s="4">
        <f t="shared" si="4"/>
        <v>27</v>
      </c>
      <c r="M227" s="4">
        <f t="shared" si="5"/>
        <v>31.764705882352942</v>
      </c>
      <c r="N227" s="5">
        <v>2</v>
      </c>
      <c r="O227" s="6" t="s">
        <v>175</v>
      </c>
      <c r="P227" s="3">
        <f>N227*VLOOKUP(O227,'Ingredient costs'!$A$2:$B$536,2, FALSE)</f>
        <v>2160</v>
      </c>
      <c r="Q227" s="5">
        <v>3</v>
      </c>
      <c r="R227" s="6" t="s">
        <v>192</v>
      </c>
      <c r="S227" s="3">
        <f>Q227*VLOOKUP(R227,'Ingredient costs'!$A$2:$B$536,2, FALSE)</f>
        <v>4212</v>
      </c>
      <c r="T227" s="6"/>
      <c r="U227" s="6" t="s">
        <v>23</v>
      </c>
      <c r="V227" s="3">
        <f>T227*VLOOKUP(U227,'Ingredient costs'!$A$2:$B$536,2, FALSE)</f>
        <v>0</v>
      </c>
      <c r="X227" s="3" t="s">
        <v>23</v>
      </c>
      <c r="Y227" s="3">
        <f>W227*VLOOKUP(X227,'Ingredient costs'!$A$2:$B$536,2, FALSE)</f>
        <v>0</v>
      </c>
      <c r="AA227" s="3" t="s">
        <v>23</v>
      </c>
      <c r="AB227" s="3">
        <f>Z227*VLOOKUP(AA227,'Ingredient costs'!$A$2:$B$536,2, FALSE)</f>
        <v>0</v>
      </c>
    </row>
    <row r="228" spans="1:28" ht="15" x14ac:dyDescent="0.25">
      <c r="A228" s="4" t="s">
        <v>341</v>
      </c>
      <c r="B228" s="4" t="s">
        <v>346</v>
      </c>
      <c r="C228" s="4">
        <v>59</v>
      </c>
      <c r="D228" s="4">
        <v>10980</v>
      </c>
      <c r="E228" s="4">
        <f t="shared" si="0"/>
        <v>10584</v>
      </c>
      <c r="F228" s="4">
        <f t="shared" si="1"/>
        <v>396</v>
      </c>
      <c r="G228" s="4">
        <v>131</v>
      </c>
      <c r="H228" s="4">
        <v>210</v>
      </c>
      <c r="I228" s="4">
        <v>178</v>
      </c>
      <c r="J228" s="4">
        <f t="shared" si="2"/>
        <v>11.314285714285713</v>
      </c>
      <c r="K228" s="4">
        <f t="shared" si="3"/>
        <v>13.348314606741575</v>
      </c>
      <c r="L228" s="4">
        <f t="shared" si="4"/>
        <v>37.428571428571431</v>
      </c>
      <c r="M228" s="4">
        <f t="shared" si="5"/>
        <v>44.157303370786515</v>
      </c>
      <c r="N228" s="8">
        <v>3</v>
      </c>
      <c r="O228" s="7" t="s">
        <v>175</v>
      </c>
      <c r="P228" s="3">
        <f>N228*VLOOKUP(O228,'Ingredient costs'!$A$2:$B$536,2, FALSE)</f>
        <v>3240</v>
      </c>
      <c r="Q228" s="8">
        <v>5</v>
      </c>
      <c r="R228" s="7" t="s">
        <v>192</v>
      </c>
      <c r="S228" s="3">
        <f>Q228*VLOOKUP(R228,'Ingredient costs'!$A$2:$B$536,2, FALSE)</f>
        <v>7020</v>
      </c>
      <c r="T228" s="8">
        <v>1</v>
      </c>
      <c r="U228" s="7" t="s">
        <v>81</v>
      </c>
      <c r="V228" s="3">
        <f>T228*VLOOKUP(U228,'Ingredient costs'!$A$2:$B$536,2, FALSE)</f>
        <v>324</v>
      </c>
      <c r="X228" s="3" t="s">
        <v>23</v>
      </c>
      <c r="Y228" s="3">
        <f>W228*VLOOKUP(X228,'Ingredient costs'!$A$2:$B$536,2, FALSE)</f>
        <v>0</v>
      </c>
      <c r="AA228" s="3" t="s">
        <v>23</v>
      </c>
      <c r="AB228" s="3">
        <f>Z228*VLOOKUP(AA228,'Ingredient costs'!$A$2:$B$536,2, FALSE)</f>
        <v>0</v>
      </c>
    </row>
    <row r="229" spans="1:28" ht="15" x14ac:dyDescent="0.25">
      <c r="A229" s="4" t="s">
        <v>347</v>
      </c>
      <c r="B229" s="4" t="s">
        <v>228</v>
      </c>
      <c r="C229" s="4">
        <v>24</v>
      </c>
      <c r="D229" s="4">
        <v>1476</v>
      </c>
      <c r="E229" s="4">
        <f t="shared" si="0"/>
        <v>540</v>
      </c>
      <c r="F229" s="4">
        <f t="shared" si="1"/>
        <v>936</v>
      </c>
      <c r="G229" s="4">
        <v>18</v>
      </c>
      <c r="H229" s="4">
        <v>480</v>
      </c>
      <c r="I229" s="4">
        <v>408</v>
      </c>
      <c r="J229" s="4">
        <f t="shared" si="2"/>
        <v>11.700000000000001</v>
      </c>
      <c r="K229" s="4">
        <f t="shared" si="3"/>
        <v>13.76470588235294</v>
      </c>
      <c r="L229" s="4">
        <f t="shared" si="4"/>
        <v>2.25</v>
      </c>
      <c r="M229" s="4">
        <f t="shared" si="5"/>
        <v>2.6470588235294121</v>
      </c>
      <c r="N229" s="3">
        <v>3</v>
      </c>
      <c r="O229" s="3" t="s">
        <v>260</v>
      </c>
      <c r="P229" s="3">
        <f>N229*VLOOKUP(O229,'Ingredient costs'!$A$2:$B$536,2, FALSE)</f>
        <v>540</v>
      </c>
      <c r="R229" s="3" t="s">
        <v>23</v>
      </c>
      <c r="S229" s="3">
        <f>Q229*VLOOKUP(R229,'Ingredient costs'!$A$2:$B$536,2, FALSE)</f>
        <v>0</v>
      </c>
      <c r="U229" s="3" t="s">
        <v>23</v>
      </c>
      <c r="V229" s="3">
        <f>T229*VLOOKUP(U229,'Ingredient costs'!$A$2:$B$536,2, FALSE)</f>
        <v>0</v>
      </c>
      <c r="X229" s="3" t="s">
        <v>23</v>
      </c>
      <c r="Y229" s="3">
        <f>W229*VLOOKUP(X229,'Ingredient costs'!$A$2:$B$536,2, FALSE)</f>
        <v>0</v>
      </c>
      <c r="AA229" s="3" t="s">
        <v>23</v>
      </c>
      <c r="AB229" s="3">
        <f>Z229*VLOOKUP(AA229,'Ingredient costs'!$A$2:$B$536,2, FALSE)</f>
        <v>0</v>
      </c>
    </row>
    <row r="230" spans="1:28" ht="15" x14ac:dyDescent="0.25">
      <c r="A230" s="4" t="s">
        <v>347</v>
      </c>
      <c r="B230" s="4" t="s">
        <v>229</v>
      </c>
      <c r="C230" s="4">
        <v>25</v>
      </c>
      <c r="D230" s="4">
        <v>1800</v>
      </c>
      <c r="E230" s="4">
        <f t="shared" si="0"/>
        <v>648</v>
      </c>
      <c r="F230" s="4">
        <f t="shared" si="1"/>
        <v>1152</v>
      </c>
      <c r="G230" s="4">
        <v>21</v>
      </c>
      <c r="H230" s="4">
        <v>720</v>
      </c>
      <c r="I230" s="4">
        <v>612</v>
      </c>
      <c r="J230" s="4">
        <f t="shared" si="2"/>
        <v>9.6</v>
      </c>
      <c r="K230" s="4">
        <f t="shared" si="3"/>
        <v>11.294117647058822</v>
      </c>
      <c r="L230" s="4">
        <f t="shared" si="4"/>
        <v>1.75</v>
      </c>
      <c r="M230" s="4">
        <f t="shared" si="5"/>
        <v>2.0588235294117649</v>
      </c>
      <c r="N230" s="3">
        <v>3</v>
      </c>
      <c r="O230" s="3" t="s">
        <v>108</v>
      </c>
      <c r="P230" s="3">
        <f>N230*VLOOKUP(O230,'Ingredient costs'!$A$2:$B$536,2, FALSE)</f>
        <v>648</v>
      </c>
      <c r="R230" s="3" t="s">
        <v>23</v>
      </c>
      <c r="S230" s="3">
        <f>Q230*VLOOKUP(R230,'Ingredient costs'!$A$2:$B$536,2, FALSE)</f>
        <v>0</v>
      </c>
      <c r="U230" s="3" t="s">
        <v>23</v>
      </c>
      <c r="V230" s="3">
        <f>T230*VLOOKUP(U230,'Ingredient costs'!$A$2:$B$536,2, FALSE)</f>
        <v>0</v>
      </c>
      <c r="X230" s="3" t="s">
        <v>23</v>
      </c>
      <c r="Y230" s="3">
        <f>W230*VLOOKUP(X230,'Ingredient costs'!$A$2:$B$536,2, FALSE)</f>
        <v>0</v>
      </c>
      <c r="AA230" s="3" t="s">
        <v>23</v>
      </c>
      <c r="AB230" s="3">
        <f>Z230*VLOOKUP(AA230,'Ingredient costs'!$A$2:$B$536,2, FALSE)</f>
        <v>0</v>
      </c>
    </row>
    <row r="231" spans="1:28" ht="15" x14ac:dyDescent="0.25">
      <c r="A231" s="4" t="s">
        <v>347</v>
      </c>
      <c r="B231" s="4" t="s">
        <v>231</v>
      </c>
      <c r="C231" s="4">
        <v>25</v>
      </c>
      <c r="D231" s="4">
        <v>2052</v>
      </c>
      <c r="E231" s="4">
        <f t="shared" si="0"/>
        <v>972</v>
      </c>
      <c r="F231" s="4">
        <f t="shared" si="1"/>
        <v>1080</v>
      </c>
      <c r="G231" s="4">
        <v>24</v>
      </c>
      <c r="H231" s="4">
        <v>960</v>
      </c>
      <c r="I231" s="4">
        <v>816</v>
      </c>
      <c r="J231" s="4">
        <f t="shared" si="2"/>
        <v>6.75</v>
      </c>
      <c r="K231" s="4">
        <f t="shared" si="3"/>
        <v>7.9411764705882355</v>
      </c>
      <c r="L231" s="4">
        <f t="shared" si="4"/>
        <v>1.5</v>
      </c>
      <c r="M231" s="4">
        <f t="shared" si="5"/>
        <v>1.7647058823529411</v>
      </c>
      <c r="N231" s="3">
        <v>3</v>
      </c>
      <c r="O231" s="3" t="s">
        <v>261</v>
      </c>
      <c r="P231" s="3">
        <f>N231*VLOOKUP(O231,'Ingredient costs'!$A$2:$B$536,2, FALSE)</f>
        <v>972</v>
      </c>
      <c r="R231" s="3" t="s">
        <v>23</v>
      </c>
      <c r="S231" s="3">
        <f>Q231*VLOOKUP(R231,'Ingredient costs'!$A$2:$B$536,2, FALSE)</f>
        <v>0</v>
      </c>
      <c r="U231" s="3" t="s">
        <v>23</v>
      </c>
      <c r="V231" s="3">
        <f>T231*VLOOKUP(U231,'Ingredient costs'!$A$2:$B$536,2, FALSE)</f>
        <v>0</v>
      </c>
      <c r="X231" s="3" t="s">
        <v>23</v>
      </c>
      <c r="Y231" s="3">
        <f>W231*VLOOKUP(X231,'Ingredient costs'!$A$2:$B$536,2, FALSE)</f>
        <v>0</v>
      </c>
      <c r="AA231" s="3" t="s">
        <v>23</v>
      </c>
      <c r="AB231" s="3">
        <f>Z231*VLOOKUP(AA231,'Ingredient costs'!$A$2:$B$536,2, FALSE)</f>
        <v>0</v>
      </c>
    </row>
    <row r="232" spans="1:28" ht="15" x14ac:dyDescent="0.25">
      <c r="A232" s="4" t="s">
        <v>347</v>
      </c>
      <c r="B232" s="4" t="s">
        <v>191</v>
      </c>
      <c r="C232" s="4">
        <v>33</v>
      </c>
      <c r="D232" s="4">
        <v>1080</v>
      </c>
      <c r="E232" s="4">
        <f t="shared" si="0"/>
        <v>324</v>
      </c>
      <c r="F232" s="4">
        <f t="shared" si="1"/>
        <v>756</v>
      </c>
      <c r="G232" s="4">
        <v>13</v>
      </c>
      <c r="H232" s="4">
        <v>360</v>
      </c>
      <c r="I232" s="4">
        <v>306</v>
      </c>
      <c r="J232" s="4">
        <f t="shared" si="2"/>
        <v>12.600000000000001</v>
      </c>
      <c r="K232" s="4">
        <f t="shared" si="3"/>
        <v>14.823529411764707</v>
      </c>
      <c r="L232" s="4">
        <f t="shared" si="4"/>
        <v>2.1666666666666665</v>
      </c>
      <c r="M232" s="4">
        <f t="shared" si="5"/>
        <v>2.5490196078431375</v>
      </c>
      <c r="N232" s="5">
        <v>3</v>
      </c>
      <c r="O232" s="6" t="s">
        <v>262</v>
      </c>
      <c r="P232" s="3">
        <f>N232*VLOOKUP(O232,'Ingredient costs'!$A$2:$B$536,2, FALSE)</f>
        <v>324</v>
      </c>
      <c r="R232" s="3" t="s">
        <v>23</v>
      </c>
      <c r="S232" s="3">
        <f>Q232*VLOOKUP(R232,'Ingredient costs'!$A$2:$B$536,2, FALSE)</f>
        <v>0</v>
      </c>
      <c r="U232" s="3" t="s">
        <v>23</v>
      </c>
      <c r="V232" s="3">
        <f>T232*VLOOKUP(U232,'Ingredient costs'!$A$2:$B$536,2, FALSE)</f>
        <v>0</v>
      </c>
      <c r="X232" s="3" t="s">
        <v>23</v>
      </c>
      <c r="Y232" s="3">
        <f>W232*VLOOKUP(X232,'Ingredient costs'!$A$2:$B$536,2, FALSE)</f>
        <v>0</v>
      </c>
      <c r="AA232" s="3" t="s">
        <v>23</v>
      </c>
      <c r="AB232" s="3">
        <f>Z232*VLOOKUP(AA232,'Ingredient costs'!$A$2:$B$536,2, FALSE)</f>
        <v>0</v>
      </c>
    </row>
    <row r="233" spans="1:28" ht="15" x14ac:dyDescent="0.25">
      <c r="A233" s="4" t="s">
        <v>347</v>
      </c>
      <c r="B233" s="4" t="s">
        <v>234</v>
      </c>
      <c r="C233" s="4">
        <v>34</v>
      </c>
      <c r="D233" s="4">
        <v>1296</v>
      </c>
      <c r="E233" s="4">
        <f t="shared" si="0"/>
        <v>432</v>
      </c>
      <c r="F233" s="4">
        <f t="shared" si="1"/>
        <v>864</v>
      </c>
      <c r="G233" s="4">
        <v>15</v>
      </c>
      <c r="H233" s="4">
        <v>420</v>
      </c>
      <c r="I233" s="4">
        <v>357</v>
      </c>
      <c r="J233" s="4">
        <f t="shared" si="2"/>
        <v>12.342857142857142</v>
      </c>
      <c r="K233" s="4">
        <f t="shared" si="3"/>
        <v>14.521008403361343</v>
      </c>
      <c r="L233" s="4">
        <f t="shared" si="4"/>
        <v>2.1428571428571428</v>
      </c>
      <c r="M233" s="4">
        <f t="shared" si="5"/>
        <v>2.5210084033613449</v>
      </c>
      <c r="N233" s="8">
        <v>3</v>
      </c>
      <c r="O233" s="7" t="s">
        <v>173</v>
      </c>
      <c r="P233" s="3">
        <f>N233*VLOOKUP(O233,'Ingredient costs'!$A$2:$B$536,2, FALSE)</f>
        <v>432</v>
      </c>
      <c r="R233" s="3" t="s">
        <v>23</v>
      </c>
      <c r="S233" s="3">
        <f>Q233*VLOOKUP(R233,'Ingredient costs'!$A$2:$B$536,2, FALSE)</f>
        <v>0</v>
      </c>
      <c r="U233" s="3" t="s">
        <v>23</v>
      </c>
      <c r="V233" s="3">
        <f>T233*VLOOKUP(U233,'Ingredient costs'!$A$2:$B$536,2, FALSE)</f>
        <v>0</v>
      </c>
      <c r="X233" s="3" t="s">
        <v>23</v>
      </c>
      <c r="Y233" s="3">
        <f>W233*VLOOKUP(X233,'Ingredient costs'!$A$2:$B$536,2, FALSE)</f>
        <v>0</v>
      </c>
      <c r="AA233" s="3" t="s">
        <v>23</v>
      </c>
      <c r="AB233" s="3">
        <f>Z233*VLOOKUP(AA233,'Ingredient costs'!$A$2:$B$536,2, FALSE)</f>
        <v>0</v>
      </c>
    </row>
    <row r="234" spans="1:28" ht="15" x14ac:dyDescent="0.25">
      <c r="A234" s="4" t="s">
        <v>348</v>
      </c>
      <c r="B234" s="4" t="s">
        <v>349</v>
      </c>
      <c r="C234" s="4">
        <v>64</v>
      </c>
      <c r="D234" s="4">
        <v>5472</v>
      </c>
      <c r="E234" s="4">
        <f t="shared" si="0"/>
        <v>5400</v>
      </c>
      <c r="F234" s="4">
        <f t="shared" si="1"/>
        <v>72</v>
      </c>
      <c r="G234" s="4">
        <v>65</v>
      </c>
      <c r="H234" s="4">
        <v>75</v>
      </c>
      <c r="I234" s="4">
        <v>63</v>
      </c>
      <c r="J234" s="4">
        <f t="shared" si="2"/>
        <v>5.76</v>
      </c>
      <c r="K234" s="4">
        <f t="shared" si="3"/>
        <v>6.8571428571428568</v>
      </c>
      <c r="L234" s="4">
        <f t="shared" si="4"/>
        <v>52</v>
      </c>
      <c r="M234" s="4">
        <f t="shared" si="5"/>
        <v>61.904761904761912</v>
      </c>
      <c r="N234" s="5">
        <v>3</v>
      </c>
      <c r="O234" s="6" t="s">
        <v>30</v>
      </c>
      <c r="P234" s="3">
        <f>N234*VLOOKUP(O234,'Ingredient costs'!$A$2:$B$536,2, FALSE)</f>
        <v>1404</v>
      </c>
      <c r="Q234" s="5">
        <v>3</v>
      </c>
      <c r="R234" s="6" t="s">
        <v>32</v>
      </c>
      <c r="S234" s="3">
        <f>Q234*VLOOKUP(R234,'Ingredient costs'!$A$2:$B$536,2, FALSE)</f>
        <v>2484</v>
      </c>
      <c r="T234" s="5">
        <v>3</v>
      </c>
      <c r="U234" s="6" t="s">
        <v>100</v>
      </c>
      <c r="V234" s="3">
        <f>T234*VLOOKUP(U234,'Ingredient costs'!$A$2:$B$536,2, FALSE)</f>
        <v>1512</v>
      </c>
      <c r="X234" s="3" t="s">
        <v>23</v>
      </c>
      <c r="Y234" s="3">
        <f>W234*VLOOKUP(X234,'Ingredient costs'!$A$2:$B$536,2, FALSE)</f>
        <v>0</v>
      </c>
      <c r="AA234" s="3" t="s">
        <v>23</v>
      </c>
      <c r="AB234" s="3">
        <f>Z234*VLOOKUP(AA234,'Ingredient costs'!$A$2:$B$536,2, FALSE)</f>
        <v>0</v>
      </c>
    </row>
    <row r="235" spans="1:28" ht="15" x14ac:dyDescent="0.25">
      <c r="A235" s="4" t="s">
        <v>348</v>
      </c>
      <c r="B235" s="4" t="s">
        <v>350</v>
      </c>
      <c r="C235" s="4">
        <v>66</v>
      </c>
      <c r="D235" s="4">
        <v>3204</v>
      </c>
      <c r="E235" s="4">
        <f t="shared" si="0"/>
        <v>2952</v>
      </c>
      <c r="F235" s="4">
        <f t="shared" si="1"/>
        <v>252</v>
      </c>
      <c r="G235" s="4">
        <v>38</v>
      </c>
      <c r="H235" s="4">
        <v>45</v>
      </c>
      <c r="I235" s="4">
        <v>38</v>
      </c>
      <c r="J235" s="4">
        <f t="shared" si="2"/>
        <v>33.599999999999994</v>
      </c>
      <c r="K235" s="4">
        <f t="shared" si="3"/>
        <v>39.789473684210527</v>
      </c>
      <c r="L235" s="4">
        <f t="shared" si="4"/>
        <v>50.666666666666664</v>
      </c>
      <c r="M235" s="4">
        <f t="shared" si="5"/>
        <v>60</v>
      </c>
      <c r="N235" s="5">
        <v>5</v>
      </c>
      <c r="O235" s="6" t="s">
        <v>200</v>
      </c>
      <c r="P235" s="3">
        <f>N235*VLOOKUP(O235,'Ingredient costs'!$A$2:$B$536,2, FALSE)</f>
        <v>1620</v>
      </c>
      <c r="Q235" s="5">
        <v>1</v>
      </c>
      <c r="R235" s="6" t="s">
        <v>105</v>
      </c>
      <c r="S235" s="3">
        <f>Q235*VLOOKUP(R235,'Ingredient costs'!$A$2:$B$536,2, FALSE)</f>
        <v>396</v>
      </c>
      <c r="T235" s="5">
        <v>1</v>
      </c>
      <c r="U235" s="6" t="s">
        <v>58</v>
      </c>
      <c r="V235" s="3">
        <f>T235*VLOOKUP(U235,'Ingredient costs'!$A$2:$B$536,2, FALSE)</f>
        <v>936</v>
      </c>
      <c r="X235" s="3" t="s">
        <v>23</v>
      </c>
      <c r="Y235" s="3">
        <f>W235*VLOOKUP(X235,'Ingredient costs'!$A$2:$B$536,2, FALSE)</f>
        <v>0</v>
      </c>
      <c r="AA235" s="3" t="s">
        <v>23</v>
      </c>
      <c r="AB235" s="3">
        <f>Z235*VLOOKUP(AA235,'Ingredient costs'!$A$2:$B$536,2, FALSE)</f>
        <v>0</v>
      </c>
    </row>
    <row r="236" spans="1:28" ht="15" x14ac:dyDescent="0.25">
      <c r="A236" s="4" t="s">
        <v>348</v>
      </c>
      <c r="B236" s="4" t="s">
        <v>351</v>
      </c>
      <c r="C236" s="4">
        <v>70</v>
      </c>
      <c r="D236" s="4">
        <v>3492</v>
      </c>
      <c r="E236" s="4">
        <f t="shared" si="0"/>
        <v>3096</v>
      </c>
      <c r="F236" s="4">
        <f t="shared" si="1"/>
        <v>396</v>
      </c>
      <c r="G236" s="4">
        <v>42</v>
      </c>
      <c r="H236" s="4">
        <v>60</v>
      </c>
      <c r="I236" s="4">
        <v>51</v>
      </c>
      <c r="J236" s="4">
        <f t="shared" si="2"/>
        <v>39.599999999999994</v>
      </c>
      <c r="K236" s="4">
        <f t="shared" si="3"/>
        <v>46.588235294117645</v>
      </c>
      <c r="L236" s="4">
        <f t="shared" si="4"/>
        <v>42</v>
      </c>
      <c r="M236" s="4">
        <f t="shared" si="5"/>
        <v>49.411764705882348</v>
      </c>
      <c r="N236" s="5">
        <v>3</v>
      </c>
      <c r="O236" s="6" t="s">
        <v>310</v>
      </c>
      <c r="P236" s="3">
        <f>N236*VLOOKUP(O236,'Ingredient costs'!$A$2:$B$536,2, FALSE)</f>
        <v>432</v>
      </c>
      <c r="Q236" s="5">
        <v>3</v>
      </c>
      <c r="R236" s="6" t="s">
        <v>110</v>
      </c>
      <c r="S236" s="3">
        <f>Q236*VLOOKUP(R236,'Ingredient costs'!$A$2:$B$536,2, FALSE)</f>
        <v>432</v>
      </c>
      <c r="T236" s="5">
        <v>1</v>
      </c>
      <c r="U236" s="6" t="s">
        <v>62</v>
      </c>
      <c r="V236" s="3">
        <f>T236*VLOOKUP(U236,'Ingredient costs'!$A$2:$B$536,2, FALSE)</f>
        <v>1548</v>
      </c>
      <c r="W236" s="3">
        <v>1</v>
      </c>
      <c r="X236" s="3" t="s">
        <v>96</v>
      </c>
      <c r="Y236" s="3">
        <f>W236*VLOOKUP(X236,'Ingredient costs'!$A$2:$B$536,2, FALSE)</f>
        <v>684</v>
      </c>
      <c r="AA236" s="3" t="s">
        <v>23</v>
      </c>
      <c r="AB236" s="3">
        <f>Z236*VLOOKUP(AA236,'Ingredient costs'!$A$2:$B$536,2, FALSE)</f>
        <v>0</v>
      </c>
    </row>
    <row r="237" spans="1:28" ht="15" x14ac:dyDescent="0.25">
      <c r="A237" s="4" t="s">
        <v>348</v>
      </c>
      <c r="B237" s="4" t="s">
        <v>352</v>
      </c>
      <c r="C237" s="4">
        <v>70</v>
      </c>
      <c r="D237" s="4">
        <v>2664</v>
      </c>
      <c r="E237" s="4">
        <f t="shared" si="0"/>
        <v>1944</v>
      </c>
      <c r="F237" s="4">
        <f t="shared" si="1"/>
        <v>720</v>
      </c>
      <c r="G237" s="4">
        <v>32</v>
      </c>
      <c r="H237" s="4">
        <v>40</v>
      </c>
      <c r="I237" s="4">
        <v>34</v>
      </c>
      <c r="J237" s="4">
        <f t="shared" si="2"/>
        <v>108</v>
      </c>
      <c r="K237" s="4">
        <f t="shared" si="3"/>
        <v>127.05882352941177</v>
      </c>
      <c r="L237" s="4">
        <f t="shared" si="4"/>
        <v>48</v>
      </c>
      <c r="M237" s="4">
        <f t="shared" si="5"/>
        <v>56.470588235294116</v>
      </c>
      <c r="N237" s="5">
        <v>1</v>
      </c>
      <c r="O237" s="6" t="s">
        <v>71</v>
      </c>
      <c r="P237" s="3">
        <f>N237*VLOOKUP(O237,'Ingredient costs'!$A$2:$B$536,2, FALSE)</f>
        <v>504</v>
      </c>
      <c r="Q237" s="5">
        <v>1</v>
      </c>
      <c r="R237" s="6" t="s">
        <v>40</v>
      </c>
      <c r="S237" s="3">
        <f>Q237*VLOOKUP(R237,'Ingredient costs'!$A$2:$B$536,2, FALSE)</f>
        <v>504</v>
      </c>
      <c r="T237" s="5">
        <v>2</v>
      </c>
      <c r="U237" s="6" t="s">
        <v>30</v>
      </c>
      <c r="V237" s="3">
        <f>T237*VLOOKUP(U237,'Ingredient costs'!$A$2:$B$536,2, FALSE)</f>
        <v>936</v>
      </c>
      <c r="X237" s="3" t="s">
        <v>23</v>
      </c>
      <c r="Y237" s="3">
        <f>W237*VLOOKUP(X237,'Ingredient costs'!$A$2:$B$536,2, FALSE)</f>
        <v>0</v>
      </c>
      <c r="AA237" s="3" t="s">
        <v>23</v>
      </c>
      <c r="AB237" s="3">
        <f>Z237*VLOOKUP(AA237,'Ingredient costs'!$A$2:$B$536,2, FALSE)</f>
        <v>0</v>
      </c>
    </row>
    <row r="238" spans="1:28" ht="15" x14ac:dyDescent="0.25">
      <c r="A238" s="4" t="s">
        <v>348</v>
      </c>
      <c r="B238" s="4" t="s">
        <v>353</v>
      </c>
      <c r="C238" s="4">
        <v>88</v>
      </c>
      <c r="D238" s="4">
        <v>5040</v>
      </c>
      <c r="E238" s="4">
        <f t="shared" si="0"/>
        <v>4896</v>
      </c>
      <c r="F238" s="4">
        <f t="shared" si="1"/>
        <v>144</v>
      </c>
      <c r="G238" s="4">
        <v>60</v>
      </c>
      <c r="H238" s="4">
        <v>30</v>
      </c>
      <c r="I238" s="4">
        <v>25</v>
      </c>
      <c r="J238" s="4">
        <f t="shared" si="2"/>
        <v>28.799999999999997</v>
      </c>
      <c r="K238" s="4">
        <f t="shared" si="3"/>
        <v>34.559999999999995</v>
      </c>
      <c r="L238" s="4">
        <f t="shared" si="4"/>
        <v>120</v>
      </c>
      <c r="M238" s="4">
        <f t="shared" si="5"/>
        <v>144</v>
      </c>
      <c r="N238" s="5">
        <v>1</v>
      </c>
      <c r="O238" s="6" t="s">
        <v>58</v>
      </c>
      <c r="P238" s="3">
        <f>N238*VLOOKUP(O238,'Ingredient costs'!$A$2:$B$536,2, FALSE)</f>
        <v>936</v>
      </c>
      <c r="Q238" s="5">
        <v>2</v>
      </c>
      <c r="R238" s="6" t="s">
        <v>114</v>
      </c>
      <c r="S238" s="3">
        <f>Q238*VLOOKUP(R238,'Ingredient costs'!$A$2:$B$536,2, FALSE)</f>
        <v>1944</v>
      </c>
      <c r="T238" s="5">
        <v>2</v>
      </c>
      <c r="U238" s="6" t="s">
        <v>213</v>
      </c>
      <c r="V238" s="3">
        <f>T238*VLOOKUP(U238,'Ingredient costs'!$A$2:$B$536,2, FALSE)</f>
        <v>2016</v>
      </c>
      <c r="X238" s="3" t="s">
        <v>23</v>
      </c>
      <c r="Y238" s="3">
        <f>W238*VLOOKUP(X238,'Ingredient costs'!$A$2:$B$536,2, FALSE)</f>
        <v>0</v>
      </c>
      <c r="AA238" s="3" t="s">
        <v>23</v>
      </c>
      <c r="AB238" s="3">
        <f>Z238*VLOOKUP(AA238,'Ingredient costs'!$A$2:$B$536,2, FALSE)</f>
        <v>0</v>
      </c>
    </row>
    <row r="239" spans="1:28" ht="15" x14ac:dyDescent="0.25">
      <c r="A239" s="4" t="s">
        <v>348</v>
      </c>
      <c r="B239" s="4" t="s">
        <v>354</v>
      </c>
      <c r="C239" s="4">
        <v>93</v>
      </c>
      <c r="D239" s="4">
        <v>3132</v>
      </c>
      <c r="E239" s="4">
        <f t="shared" si="0"/>
        <v>2880</v>
      </c>
      <c r="F239" s="4">
        <f t="shared" si="1"/>
        <v>252</v>
      </c>
      <c r="G239" s="4">
        <v>37</v>
      </c>
      <c r="H239" s="4">
        <v>45</v>
      </c>
      <c r="I239" s="4">
        <v>38</v>
      </c>
      <c r="J239" s="4">
        <f t="shared" si="2"/>
        <v>33.599999999999994</v>
      </c>
      <c r="K239" s="4">
        <f t="shared" si="3"/>
        <v>39.789473684210527</v>
      </c>
      <c r="L239" s="4">
        <f t="shared" si="4"/>
        <v>49.333333333333329</v>
      </c>
      <c r="M239" s="4">
        <f t="shared" si="5"/>
        <v>58.421052631578952</v>
      </c>
      <c r="N239" s="5">
        <v>3</v>
      </c>
      <c r="O239" s="6" t="s">
        <v>91</v>
      </c>
      <c r="P239" s="3">
        <f>N239*VLOOKUP(O239,'Ingredient costs'!$A$2:$B$536,2, FALSE)</f>
        <v>540</v>
      </c>
      <c r="Q239" s="5">
        <v>1</v>
      </c>
      <c r="R239" s="6" t="s">
        <v>50</v>
      </c>
      <c r="S239" s="3">
        <f>Q239*VLOOKUP(R239,'Ingredient costs'!$A$2:$B$536,2, FALSE)</f>
        <v>1044</v>
      </c>
      <c r="T239" s="5">
        <v>2</v>
      </c>
      <c r="U239" s="6" t="s">
        <v>53</v>
      </c>
      <c r="V239" s="3">
        <f>T239*VLOOKUP(U239,'Ingredient costs'!$A$2:$B$536,2, FALSE)</f>
        <v>1296</v>
      </c>
      <c r="X239" s="3" t="s">
        <v>23</v>
      </c>
      <c r="Y239" s="3">
        <f>W239*VLOOKUP(X239,'Ingredient costs'!$A$2:$B$536,2, FALSE)</f>
        <v>0</v>
      </c>
      <c r="AA239" s="3" t="s">
        <v>23</v>
      </c>
      <c r="AB239" s="3">
        <f>Z239*VLOOKUP(AA239,'Ingredient costs'!$A$2:$B$536,2, FALSE)</f>
        <v>0</v>
      </c>
    </row>
    <row r="240" spans="1:28" ht="15" x14ac:dyDescent="0.25">
      <c r="A240" s="4" t="s">
        <v>348</v>
      </c>
      <c r="B240" s="4" t="s">
        <v>355</v>
      </c>
      <c r="C240" s="4">
        <v>100</v>
      </c>
      <c r="D240" s="4">
        <v>5112</v>
      </c>
      <c r="E240" s="4">
        <f t="shared" si="0"/>
        <v>5004</v>
      </c>
      <c r="F240" s="4">
        <f t="shared" si="1"/>
        <v>108</v>
      </c>
      <c r="G240" s="4">
        <v>61</v>
      </c>
      <c r="H240" s="4">
        <v>40</v>
      </c>
      <c r="I240" s="4">
        <v>34</v>
      </c>
      <c r="J240" s="4">
        <f t="shared" si="2"/>
        <v>16.200000000000003</v>
      </c>
      <c r="K240" s="4">
        <f t="shared" si="3"/>
        <v>19.058823529411764</v>
      </c>
      <c r="L240" s="4">
        <f t="shared" si="4"/>
        <v>91.5</v>
      </c>
      <c r="M240" s="4">
        <f t="shared" si="5"/>
        <v>107.64705882352942</v>
      </c>
      <c r="N240" s="5">
        <v>2</v>
      </c>
      <c r="O240" s="6" t="s">
        <v>50</v>
      </c>
      <c r="P240" s="3">
        <f>N240*VLOOKUP(O240,'Ingredient costs'!$A$2:$B$536,2, FALSE)</f>
        <v>2088</v>
      </c>
      <c r="Q240" s="5">
        <v>3</v>
      </c>
      <c r="R240" s="6" t="s">
        <v>54</v>
      </c>
      <c r="S240" s="3">
        <f>Q240*VLOOKUP(R240,'Ingredient costs'!$A$2:$B$536,2, FALSE)</f>
        <v>2592</v>
      </c>
      <c r="T240" s="5">
        <v>1</v>
      </c>
      <c r="U240" s="6" t="s">
        <v>95</v>
      </c>
      <c r="V240" s="3">
        <f>T240*VLOOKUP(U240,'Ingredient costs'!$A$2:$B$536,2, FALSE)</f>
        <v>324</v>
      </c>
      <c r="X240" s="3" t="s">
        <v>23</v>
      </c>
      <c r="Y240" s="3">
        <f>W240*VLOOKUP(X240,'Ingredient costs'!$A$2:$B$536,2, FALSE)</f>
        <v>0</v>
      </c>
      <c r="AA240" s="3" t="s">
        <v>23</v>
      </c>
      <c r="AB240" s="3">
        <f>Z240*VLOOKUP(AA240,'Ingredient costs'!$A$2:$B$536,2, FALSE)</f>
        <v>0</v>
      </c>
    </row>
    <row r="241" spans="1:28" ht="15" x14ac:dyDescent="0.25">
      <c r="A241" s="4" t="s">
        <v>348</v>
      </c>
      <c r="B241" s="4" t="s">
        <v>356</v>
      </c>
      <c r="C241" s="4">
        <v>102</v>
      </c>
      <c r="D241" s="4">
        <v>5220</v>
      </c>
      <c r="E241" s="4">
        <f t="shared" si="0"/>
        <v>5004</v>
      </c>
      <c r="F241" s="4">
        <f t="shared" si="1"/>
        <v>216</v>
      </c>
      <c r="G241" s="4">
        <v>62</v>
      </c>
      <c r="H241" s="4">
        <v>35</v>
      </c>
      <c r="I241" s="4">
        <v>29</v>
      </c>
      <c r="J241" s="4">
        <f t="shared" si="2"/>
        <v>37.028571428571432</v>
      </c>
      <c r="K241" s="4">
        <f t="shared" si="3"/>
        <v>44.689655172413786</v>
      </c>
      <c r="L241" s="4">
        <f t="shared" si="4"/>
        <v>106.28571428571428</v>
      </c>
      <c r="M241" s="4">
        <f t="shared" si="5"/>
        <v>128.27586206896549</v>
      </c>
      <c r="N241" s="8">
        <v>3</v>
      </c>
      <c r="O241" s="7" t="s">
        <v>223</v>
      </c>
      <c r="P241" s="3">
        <f>N241*VLOOKUP(O241,'Ingredient costs'!$A$2:$B$536,2, FALSE)</f>
        <v>2484</v>
      </c>
      <c r="Q241" s="8">
        <v>2</v>
      </c>
      <c r="R241" s="7" t="s">
        <v>49</v>
      </c>
      <c r="S241" s="3">
        <f>Q241*VLOOKUP(R241,'Ingredient costs'!$A$2:$B$536,2, FALSE)</f>
        <v>648</v>
      </c>
      <c r="T241" s="8">
        <v>1</v>
      </c>
      <c r="U241" s="7" t="s">
        <v>116</v>
      </c>
      <c r="V241" s="3">
        <f>T241*VLOOKUP(U241,'Ingredient costs'!$A$2:$B$536,2, FALSE)</f>
        <v>324</v>
      </c>
      <c r="W241" s="3">
        <v>1</v>
      </c>
      <c r="X241" s="3" t="s">
        <v>62</v>
      </c>
      <c r="Y241" s="3">
        <f>W241*VLOOKUP(X241,'Ingredient costs'!$A$2:$B$536,2, FALSE)</f>
        <v>1548</v>
      </c>
      <c r="AA241" s="3" t="s">
        <v>23</v>
      </c>
      <c r="AB241" s="3">
        <f>Z241*VLOOKUP(AA241,'Ingredient costs'!$A$2:$B$536,2, FALSE)</f>
        <v>0</v>
      </c>
    </row>
    <row r="242" spans="1:28" ht="15" x14ac:dyDescent="0.25">
      <c r="A242" s="4" t="s">
        <v>357</v>
      </c>
      <c r="B242" s="4" t="s">
        <v>358</v>
      </c>
      <c r="C242" s="4">
        <v>46</v>
      </c>
      <c r="D242" s="4">
        <v>6120</v>
      </c>
      <c r="E242" s="4">
        <f t="shared" si="0"/>
        <v>5676</v>
      </c>
      <c r="F242" s="4">
        <f t="shared" si="1"/>
        <v>444</v>
      </c>
      <c r="G242" s="4">
        <v>73</v>
      </c>
      <c r="H242" s="4">
        <v>150</v>
      </c>
      <c r="I242" s="4">
        <v>127</v>
      </c>
      <c r="J242" s="4">
        <f t="shared" si="2"/>
        <v>17.759999999999998</v>
      </c>
      <c r="K242" s="4">
        <f t="shared" si="3"/>
        <v>20.976377952755907</v>
      </c>
      <c r="L242" s="4">
        <f t="shared" si="4"/>
        <v>29.200000000000003</v>
      </c>
      <c r="M242" s="4">
        <f t="shared" si="5"/>
        <v>34.488188976377948</v>
      </c>
      <c r="N242" s="5">
        <v>2</v>
      </c>
      <c r="O242" s="6" t="s">
        <v>44</v>
      </c>
      <c r="P242" s="3">
        <f>N242*VLOOKUP(O242,'Ingredient costs'!$A$2:$B$536,2, FALSE)</f>
        <v>4020</v>
      </c>
      <c r="Q242" s="5">
        <v>1</v>
      </c>
      <c r="R242" s="6" t="s">
        <v>34</v>
      </c>
      <c r="S242" s="3">
        <f>Q242*VLOOKUP(R242,'Ingredient costs'!$A$2:$B$536,2, FALSE)</f>
        <v>432</v>
      </c>
      <c r="T242" s="5">
        <v>1</v>
      </c>
      <c r="U242" s="6" t="s">
        <v>71</v>
      </c>
      <c r="V242" s="3">
        <f>T242*VLOOKUP(U242,'Ingredient costs'!$A$2:$B$536,2, FALSE)</f>
        <v>504</v>
      </c>
      <c r="W242" s="5">
        <v>2</v>
      </c>
      <c r="X242" s="7" t="s">
        <v>37</v>
      </c>
      <c r="Y242" s="3">
        <f>W242*VLOOKUP(X242,'Ingredient costs'!$A$2:$B$536,2, FALSE)</f>
        <v>720</v>
      </c>
      <c r="AA242" s="3" t="s">
        <v>23</v>
      </c>
      <c r="AB242" s="3">
        <f>Z242*VLOOKUP(AA242,'Ingredient costs'!$A$2:$B$536,2, FALSE)</f>
        <v>0</v>
      </c>
    </row>
    <row r="243" spans="1:28" ht="15" x14ac:dyDescent="0.25">
      <c r="A243" s="4" t="s">
        <v>357</v>
      </c>
      <c r="B243" s="4" t="s">
        <v>359</v>
      </c>
      <c r="C243" s="4">
        <v>47</v>
      </c>
      <c r="D243" s="4">
        <v>4788</v>
      </c>
      <c r="E243" s="4">
        <f t="shared" si="0"/>
        <v>4464</v>
      </c>
      <c r="F243" s="4">
        <f t="shared" si="1"/>
        <v>324</v>
      </c>
      <c r="G243" s="4">
        <v>57</v>
      </c>
      <c r="H243" s="4">
        <v>90</v>
      </c>
      <c r="I243" s="4">
        <v>76</v>
      </c>
      <c r="J243" s="4">
        <f t="shared" si="2"/>
        <v>21.599999999999998</v>
      </c>
      <c r="K243" s="4">
        <f t="shared" si="3"/>
        <v>25.578947368421055</v>
      </c>
      <c r="L243" s="4">
        <f t="shared" si="4"/>
        <v>38</v>
      </c>
      <c r="M243" s="4">
        <f t="shared" si="5"/>
        <v>45</v>
      </c>
      <c r="N243" s="5">
        <v>2</v>
      </c>
      <c r="O243" s="6" t="s">
        <v>34</v>
      </c>
      <c r="P243" s="3">
        <f>N243*VLOOKUP(O243,'Ingredient costs'!$A$2:$B$536,2, FALSE)</f>
        <v>864</v>
      </c>
      <c r="Q243" s="5">
        <v>1</v>
      </c>
      <c r="R243" s="6" t="s">
        <v>37</v>
      </c>
      <c r="S243" s="3">
        <f>Q243*VLOOKUP(R243,'Ingredient costs'!$A$2:$B$536,2, FALSE)</f>
        <v>360</v>
      </c>
      <c r="T243" s="5">
        <v>1</v>
      </c>
      <c r="U243" s="6" t="s">
        <v>239</v>
      </c>
      <c r="V243" s="3">
        <f>T243*VLOOKUP(U243,'Ingredient costs'!$A$2:$B$536,2, FALSE)</f>
        <v>1620</v>
      </c>
      <c r="W243" s="5">
        <v>1</v>
      </c>
      <c r="X243" s="7" t="s">
        <v>103</v>
      </c>
      <c r="Y243" s="3">
        <f>W243*VLOOKUP(X243,'Ingredient costs'!$A$2:$B$536,2, FALSE)</f>
        <v>1620</v>
      </c>
      <c r="AA243" s="3" t="s">
        <v>23</v>
      </c>
      <c r="AB243" s="3">
        <f>Z243*VLOOKUP(AA243,'Ingredient costs'!$A$2:$B$536,2, FALSE)</f>
        <v>0</v>
      </c>
    </row>
    <row r="244" spans="1:28" ht="15" x14ac:dyDescent="0.25">
      <c r="A244" s="4" t="s">
        <v>357</v>
      </c>
      <c r="B244" s="4" t="s">
        <v>360</v>
      </c>
      <c r="C244" s="4">
        <v>49</v>
      </c>
      <c r="D244" s="4">
        <v>3924</v>
      </c>
      <c r="E244" s="4">
        <f t="shared" si="0"/>
        <v>3492</v>
      </c>
      <c r="F244" s="4">
        <f t="shared" si="1"/>
        <v>432</v>
      </c>
      <c r="G244" s="4">
        <v>47</v>
      </c>
      <c r="H244" s="4">
        <v>120</v>
      </c>
      <c r="I244" s="4">
        <v>102</v>
      </c>
      <c r="J244" s="4">
        <f t="shared" si="2"/>
        <v>21.599999999999998</v>
      </c>
      <c r="K244" s="4">
        <f t="shared" si="3"/>
        <v>25.411764705882351</v>
      </c>
      <c r="L244" s="4">
        <f t="shared" si="4"/>
        <v>23.5</v>
      </c>
      <c r="M244" s="4">
        <f t="shared" si="5"/>
        <v>27.647058823529409</v>
      </c>
      <c r="N244" s="5">
        <v>3</v>
      </c>
      <c r="O244" s="6" t="s">
        <v>81</v>
      </c>
      <c r="P244" s="3">
        <f>N244*VLOOKUP(O244,'Ingredient costs'!$A$2:$B$536,2, FALSE)</f>
        <v>972</v>
      </c>
      <c r="Q244" s="5">
        <v>1</v>
      </c>
      <c r="R244" s="6" t="s">
        <v>41</v>
      </c>
      <c r="S244" s="3">
        <f>Q244*VLOOKUP(R244,'Ingredient costs'!$A$2:$B$536,2, FALSE)</f>
        <v>828</v>
      </c>
      <c r="T244" s="5">
        <v>2</v>
      </c>
      <c r="U244" s="6" t="s">
        <v>80</v>
      </c>
      <c r="V244" s="3">
        <f>T244*VLOOKUP(U244,'Ingredient costs'!$A$2:$B$536,2, FALSE)</f>
        <v>144</v>
      </c>
      <c r="W244" s="5">
        <v>1</v>
      </c>
      <c r="X244" s="7" t="s">
        <v>62</v>
      </c>
      <c r="Y244" s="3">
        <f>W244*VLOOKUP(X244,'Ingredient costs'!$A$2:$B$536,2, FALSE)</f>
        <v>1548</v>
      </c>
      <c r="AA244" s="3" t="s">
        <v>23</v>
      </c>
      <c r="AB244" s="3">
        <f>Z244*VLOOKUP(AA244,'Ingredient costs'!$A$2:$B$536,2, FALSE)</f>
        <v>0</v>
      </c>
    </row>
    <row r="245" spans="1:28" ht="15" x14ac:dyDescent="0.25">
      <c r="A245" s="4" t="s">
        <v>357</v>
      </c>
      <c r="B245" s="4" t="s">
        <v>361</v>
      </c>
      <c r="C245" s="4">
        <v>53</v>
      </c>
      <c r="D245" s="4">
        <v>2988</v>
      </c>
      <c r="E245" s="4">
        <f t="shared" si="0"/>
        <v>2556</v>
      </c>
      <c r="F245" s="4">
        <f t="shared" si="1"/>
        <v>432</v>
      </c>
      <c r="G245" s="4">
        <v>35</v>
      </c>
      <c r="H245" s="4">
        <v>180</v>
      </c>
      <c r="I245" s="4">
        <v>153</v>
      </c>
      <c r="J245" s="4">
        <f t="shared" si="2"/>
        <v>14.399999999999999</v>
      </c>
      <c r="K245" s="4">
        <f t="shared" si="3"/>
        <v>16.941176470588236</v>
      </c>
      <c r="L245" s="4">
        <f t="shared" si="4"/>
        <v>11.666666666666666</v>
      </c>
      <c r="M245" s="4">
        <f t="shared" si="5"/>
        <v>13.725490196078431</v>
      </c>
      <c r="N245" s="5">
        <v>3</v>
      </c>
      <c r="O245" s="6" t="s">
        <v>39</v>
      </c>
      <c r="P245" s="3">
        <f>N245*VLOOKUP(O245,'Ingredient costs'!$A$2:$B$536,2, FALSE)</f>
        <v>1080</v>
      </c>
      <c r="Q245" s="5">
        <v>2</v>
      </c>
      <c r="R245" s="6" t="s">
        <v>43</v>
      </c>
      <c r="S245" s="3">
        <f>Q245*VLOOKUP(R245,'Ingredient costs'!$A$2:$B$536,2, FALSE)</f>
        <v>1080</v>
      </c>
      <c r="T245" s="5">
        <v>1</v>
      </c>
      <c r="U245" s="6" t="s">
        <v>95</v>
      </c>
      <c r="V245" s="3">
        <f>T245*VLOOKUP(U245,'Ingredient costs'!$A$2:$B$536,2, FALSE)</f>
        <v>324</v>
      </c>
      <c r="W245" s="5">
        <v>1</v>
      </c>
      <c r="X245" s="7" t="s">
        <v>80</v>
      </c>
      <c r="Y245" s="3">
        <f>W245*VLOOKUP(X245,'Ingredient costs'!$A$2:$B$536,2, FALSE)</f>
        <v>72</v>
      </c>
      <c r="AA245" s="3" t="s">
        <v>23</v>
      </c>
      <c r="AB245" s="3">
        <f>Z245*VLOOKUP(AA245,'Ingredient costs'!$A$2:$B$536,2, FALSE)</f>
        <v>0</v>
      </c>
    </row>
    <row r="246" spans="1:28" ht="15" x14ac:dyDescent="0.25">
      <c r="A246" s="4" t="s">
        <v>357</v>
      </c>
      <c r="B246" s="4" t="s">
        <v>362</v>
      </c>
      <c r="C246" s="4">
        <v>65</v>
      </c>
      <c r="D246" s="4">
        <v>2700</v>
      </c>
      <c r="E246" s="4">
        <f t="shared" si="0"/>
        <v>2412</v>
      </c>
      <c r="F246" s="4">
        <f t="shared" si="1"/>
        <v>288</v>
      </c>
      <c r="G246" s="4">
        <v>32</v>
      </c>
      <c r="H246" s="4">
        <v>90</v>
      </c>
      <c r="I246" s="4">
        <v>76</v>
      </c>
      <c r="J246" s="4">
        <f t="shared" si="2"/>
        <v>19.2</v>
      </c>
      <c r="K246" s="4">
        <f t="shared" si="3"/>
        <v>22.736842105263154</v>
      </c>
      <c r="L246" s="4">
        <f t="shared" si="4"/>
        <v>21.333333333333336</v>
      </c>
      <c r="M246" s="4">
        <f t="shared" si="5"/>
        <v>25.263157894736842</v>
      </c>
      <c r="N246" s="5">
        <v>3</v>
      </c>
      <c r="O246" s="6" t="s">
        <v>293</v>
      </c>
      <c r="P246" s="3">
        <f>N246*VLOOKUP(O246,'Ingredient costs'!$A$2:$B$536,2, FALSE)</f>
        <v>540</v>
      </c>
      <c r="Q246" s="5">
        <v>2</v>
      </c>
      <c r="R246" s="6" t="s">
        <v>66</v>
      </c>
      <c r="S246" s="3">
        <f>Q246*VLOOKUP(R246,'Ingredient costs'!$A$2:$B$536,2, FALSE)</f>
        <v>1008</v>
      </c>
      <c r="T246" s="5">
        <v>2</v>
      </c>
      <c r="U246" s="6" t="s">
        <v>39</v>
      </c>
      <c r="V246" s="3">
        <f>T246*VLOOKUP(U246,'Ingredient costs'!$A$2:$B$536,2, FALSE)</f>
        <v>720</v>
      </c>
      <c r="W246" s="5">
        <v>2</v>
      </c>
      <c r="X246" s="7" t="s">
        <v>80</v>
      </c>
      <c r="Y246" s="3">
        <f>W246*VLOOKUP(X246,'Ingredient costs'!$A$2:$B$536,2, FALSE)</f>
        <v>144</v>
      </c>
      <c r="AA246" s="3" t="s">
        <v>23</v>
      </c>
      <c r="AB246" s="3">
        <f>Z246*VLOOKUP(AA246,'Ingredient costs'!$A$2:$B$536,2, FALSE)</f>
        <v>0</v>
      </c>
    </row>
    <row r="247" spans="1:28" ht="15" x14ac:dyDescent="0.25">
      <c r="A247" s="4" t="s">
        <v>357</v>
      </c>
      <c r="B247" s="4" t="s">
        <v>363</v>
      </c>
      <c r="C247" s="4">
        <v>72</v>
      </c>
      <c r="D247" s="4">
        <v>3276</v>
      </c>
      <c r="E247" s="4">
        <f t="shared" si="0"/>
        <v>2844</v>
      </c>
      <c r="F247" s="4">
        <f t="shared" si="1"/>
        <v>432</v>
      </c>
      <c r="G247" s="4">
        <v>36</v>
      </c>
      <c r="H247" s="4">
        <v>150</v>
      </c>
      <c r="I247" s="4">
        <v>127</v>
      </c>
      <c r="J247" s="4">
        <f t="shared" si="2"/>
        <v>17.279999999999998</v>
      </c>
      <c r="K247" s="4">
        <f t="shared" si="3"/>
        <v>20.409448818897637</v>
      </c>
      <c r="L247" s="4">
        <f t="shared" si="4"/>
        <v>14.399999999999999</v>
      </c>
      <c r="M247" s="4">
        <f t="shared" si="5"/>
        <v>17.00787401574803</v>
      </c>
      <c r="N247" s="5">
        <v>2</v>
      </c>
      <c r="O247" s="6" t="s">
        <v>21</v>
      </c>
      <c r="P247" s="3">
        <f>N247*VLOOKUP(O247,'Ingredient costs'!$A$2:$B$536,2, FALSE)</f>
        <v>432</v>
      </c>
      <c r="Q247" s="5">
        <v>1</v>
      </c>
      <c r="R247" s="6" t="s">
        <v>35</v>
      </c>
      <c r="S247" s="3">
        <f>Q247*VLOOKUP(R247,'Ingredient costs'!$A$2:$B$536,2, FALSE)</f>
        <v>1224</v>
      </c>
      <c r="T247" s="5">
        <v>3</v>
      </c>
      <c r="U247" s="6" t="s">
        <v>77</v>
      </c>
      <c r="V247" s="3">
        <f>T247*VLOOKUP(U247,'Ingredient costs'!$A$2:$B$536,2, FALSE)</f>
        <v>1188</v>
      </c>
      <c r="W247" s="6"/>
      <c r="X247" s="7" t="s">
        <v>23</v>
      </c>
      <c r="Y247" s="3">
        <f>W247*VLOOKUP(X247,'Ingredient costs'!$A$2:$B$536,2, FALSE)</f>
        <v>0</v>
      </c>
      <c r="AA247" s="3" t="s">
        <v>23</v>
      </c>
      <c r="AB247" s="3">
        <f>Z247*VLOOKUP(AA247,'Ingredient costs'!$A$2:$B$536,2, FALSE)</f>
        <v>0</v>
      </c>
    </row>
    <row r="248" spans="1:28" ht="15" x14ac:dyDescent="0.25">
      <c r="A248" s="4" t="s">
        <v>357</v>
      </c>
      <c r="B248" s="4" t="s">
        <v>364</v>
      </c>
      <c r="C248" s="4">
        <v>73</v>
      </c>
      <c r="D248" s="4">
        <v>4320</v>
      </c>
      <c r="E248" s="4">
        <f t="shared" si="0"/>
        <v>3888</v>
      </c>
      <c r="F248" s="4">
        <f t="shared" si="1"/>
        <v>432</v>
      </c>
      <c r="G248" s="4">
        <v>52</v>
      </c>
      <c r="H248" s="4">
        <v>120</v>
      </c>
      <c r="I248" s="4">
        <v>102</v>
      </c>
      <c r="J248" s="4">
        <f t="shared" si="2"/>
        <v>21.599999999999998</v>
      </c>
      <c r="K248" s="4">
        <f t="shared" si="3"/>
        <v>25.411764705882351</v>
      </c>
      <c r="L248" s="4">
        <f t="shared" si="4"/>
        <v>26</v>
      </c>
      <c r="M248" s="4">
        <f t="shared" si="5"/>
        <v>30.588235294117645</v>
      </c>
      <c r="N248" s="5">
        <v>2</v>
      </c>
      <c r="O248" s="6" t="s">
        <v>80</v>
      </c>
      <c r="P248" s="3">
        <f>N248*VLOOKUP(O248,'Ingredient costs'!$A$2:$B$536,2, FALSE)</f>
        <v>144</v>
      </c>
      <c r="Q248" s="5">
        <v>1</v>
      </c>
      <c r="R248" s="6" t="s">
        <v>37</v>
      </c>
      <c r="S248" s="3">
        <f>Q248*VLOOKUP(R248,'Ingredient costs'!$A$2:$B$536,2, FALSE)</f>
        <v>360</v>
      </c>
      <c r="T248" s="5">
        <v>2</v>
      </c>
      <c r="U248" s="6" t="s">
        <v>26</v>
      </c>
      <c r="V248" s="3">
        <f>T248*VLOOKUP(U248,'Ingredient costs'!$A$2:$B$536,2, FALSE)</f>
        <v>360</v>
      </c>
      <c r="W248" s="5">
        <v>3</v>
      </c>
      <c r="X248" s="7" t="s">
        <v>278</v>
      </c>
      <c r="Y248" s="3">
        <f>W248*VLOOKUP(X248,'Ingredient costs'!$A$2:$B$536,2, FALSE)</f>
        <v>3024</v>
      </c>
      <c r="AA248" s="3" t="s">
        <v>23</v>
      </c>
      <c r="AB248" s="3">
        <f>Z248*VLOOKUP(AA248,'Ingredient costs'!$A$2:$B$536,2, FALSE)</f>
        <v>0</v>
      </c>
    </row>
    <row r="249" spans="1:28" ht="15" x14ac:dyDescent="0.25">
      <c r="A249" s="4" t="s">
        <v>357</v>
      </c>
      <c r="B249" s="4" t="s">
        <v>365</v>
      </c>
      <c r="C249" s="4">
        <v>78</v>
      </c>
      <c r="D249" s="4">
        <v>2556</v>
      </c>
      <c r="E249" s="4">
        <f t="shared" si="0"/>
        <v>2196</v>
      </c>
      <c r="F249" s="4">
        <f t="shared" si="1"/>
        <v>360</v>
      </c>
      <c r="G249" s="4">
        <v>31</v>
      </c>
      <c r="H249" s="4">
        <v>150</v>
      </c>
      <c r="I249" s="4">
        <v>127</v>
      </c>
      <c r="J249" s="4">
        <f t="shared" si="2"/>
        <v>14.399999999999999</v>
      </c>
      <c r="K249" s="4">
        <f t="shared" si="3"/>
        <v>17.00787401574803</v>
      </c>
      <c r="L249" s="4">
        <f t="shared" si="4"/>
        <v>12.4</v>
      </c>
      <c r="M249" s="4">
        <f t="shared" si="5"/>
        <v>14.645669291338583</v>
      </c>
      <c r="N249" s="5">
        <v>1</v>
      </c>
      <c r="O249" s="6" t="s">
        <v>95</v>
      </c>
      <c r="P249" s="3">
        <f>N249*VLOOKUP(O249,'Ingredient costs'!$A$2:$B$536,2, FALSE)</f>
        <v>324</v>
      </c>
      <c r="Q249" s="5">
        <v>3</v>
      </c>
      <c r="R249" s="6" t="s">
        <v>39</v>
      </c>
      <c r="S249" s="3">
        <f>Q249*VLOOKUP(R249,'Ingredient costs'!$A$2:$B$536,2, FALSE)</f>
        <v>1080</v>
      </c>
      <c r="T249" s="5">
        <v>2</v>
      </c>
      <c r="U249" s="6" t="s">
        <v>77</v>
      </c>
      <c r="V249" s="3">
        <f>T249*VLOOKUP(U249,'Ingredient costs'!$A$2:$B$536,2, FALSE)</f>
        <v>792</v>
      </c>
      <c r="W249" s="6"/>
      <c r="X249" s="7" t="s">
        <v>23</v>
      </c>
      <c r="Y249" s="3">
        <f>W249*VLOOKUP(X249,'Ingredient costs'!$A$2:$B$536,2, FALSE)</f>
        <v>0</v>
      </c>
      <c r="AA249" s="3" t="s">
        <v>23</v>
      </c>
      <c r="AB249" s="3">
        <f>Z249*VLOOKUP(AA249,'Ingredient costs'!$A$2:$B$536,2, FALSE)</f>
        <v>0</v>
      </c>
    </row>
    <row r="250" spans="1:28" ht="15" x14ac:dyDescent="0.25">
      <c r="A250" s="4" t="s">
        <v>357</v>
      </c>
      <c r="B250" s="4" t="s">
        <v>366</v>
      </c>
      <c r="C250" s="4">
        <v>81</v>
      </c>
      <c r="D250" s="4">
        <v>4392</v>
      </c>
      <c r="E250" s="4">
        <f t="shared" si="0"/>
        <v>3708</v>
      </c>
      <c r="F250" s="4">
        <f t="shared" si="1"/>
        <v>684</v>
      </c>
      <c r="G250" s="4">
        <v>52</v>
      </c>
      <c r="H250" s="4">
        <v>60</v>
      </c>
      <c r="I250" s="4">
        <v>51</v>
      </c>
      <c r="J250" s="4">
        <f t="shared" si="2"/>
        <v>68.400000000000006</v>
      </c>
      <c r="K250" s="4">
        <f t="shared" si="3"/>
        <v>80.47058823529413</v>
      </c>
      <c r="L250" s="4">
        <f t="shared" si="4"/>
        <v>52</v>
      </c>
      <c r="M250" s="4">
        <f t="shared" si="5"/>
        <v>61.17647058823529</v>
      </c>
      <c r="N250" s="5">
        <v>1</v>
      </c>
      <c r="O250" s="6" t="s">
        <v>21</v>
      </c>
      <c r="P250" s="3">
        <f>N250*VLOOKUP(O250,'Ingredient costs'!$A$2:$B$536,2, FALSE)</f>
        <v>216</v>
      </c>
      <c r="Q250" s="5">
        <v>1</v>
      </c>
      <c r="R250" s="6" t="s">
        <v>57</v>
      </c>
      <c r="S250" s="3">
        <f>Q250*VLOOKUP(R250,'Ingredient costs'!$A$2:$B$536,2, FALSE)</f>
        <v>2772</v>
      </c>
      <c r="T250" s="5">
        <v>1</v>
      </c>
      <c r="U250" s="6" t="s">
        <v>37</v>
      </c>
      <c r="V250" s="3">
        <f>T250*VLOOKUP(U250,'Ingredient costs'!$A$2:$B$536,2, FALSE)</f>
        <v>360</v>
      </c>
      <c r="W250" s="5">
        <v>1</v>
      </c>
      <c r="X250" s="7" t="s">
        <v>83</v>
      </c>
      <c r="Y250" s="3">
        <f>W250*VLOOKUP(X250,'Ingredient costs'!$A$2:$B$536,2, FALSE)</f>
        <v>360</v>
      </c>
      <c r="AA250" s="3" t="s">
        <v>23</v>
      </c>
      <c r="AB250" s="3">
        <f>Z250*VLOOKUP(AA250,'Ingredient costs'!$A$2:$B$536,2, FALSE)</f>
        <v>0</v>
      </c>
    </row>
    <row r="251" spans="1:28" ht="15" x14ac:dyDescent="0.25">
      <c r="A251" s="4" t="s">
        <v>357</v>
      </c>
      <c r="B251" s="4" t="s">
        <v>367</v>
      </c>
      <c r="C251" s="4">
        <v>87</v>
      </c>
      <c r="D251" s="4">
        <v>2376</v>
      </c>
      <c r="E251" s="4">
        <f t="shared" si="0"/>
        <v>2124</v>
      </c>
      <c r="F251" s="4">
        <f t="shared" si="1"/>
        <v>252</v>
      </c>
      <c r="G251" s="4">
        <v>28</v>
      </c>
      <c r="H251" s="4">
        <v>90</v>
      </c>
      <c r="I251" s="4">
        <v>76</v>
      </c>
      <c r="J251" s="4">
        <f t="shared" si="2"/>
        <v>16.799999999999997</v>
      </c>
      <c r="K251" s="4">
        <f t="shared" si="3"/>
        <v>19.894736842105264</v>
      </c>
      <c r="L251" s="4">
        <f t="shared" si="4"/>
        <v>18.666666666666668</v>
      </c>
      <c r="M251" s="4">
        <f t="shared" si="5"/>
        <v>22.105263157894736</v>
      </c>
      <c r="N251" s="5">
        <v>3</v>
      </c>
      <c r="O251" s="6" t="s">
        <v>182</v>
      </c>
      <c r="P251" s="3">
        <f>N251*VLOOKUP(O251,'Ingredient costs'!$A$2:$B$536,2, FALSE)</f>
        <v>648</v>
      </c>
      <c r="Q251" s="5">
        <v>1</v>
      </c>
      <c r="R251" s="6" t="s">
        <v>77</v>
      </c>
      <c r="S251" s="3">
        <f>Q251*VLOOKUP(R251,'Ingredient costs'!$A$2:$B$536,2, FALSE)</f>
        <v>396</v>
      </c>
      <c r="T251" s="5">
        <v>3</v>
      </c>
      <c r="U251" s="6" t="s">
        <v>39</v>
      </c>
      <c r="V251" s="3">
        <f>T251*VLOOKUP(U251,'Ingredient costs'!$A$2:$B$536,2, FALSE)</f>
        <v>1080</v>
      </c>
      <c r="W251" s="6"/>
      <c r="X251" s="7" t="s">
        <v>23</v>
      </c>
      <c r="Y251" s="3">
        <f>W251*VLOOKUP(X251,'Ingredient costs'!$A$2:$B$536,2, FALSE)</f>
        <v>0</v>
      </c>
      <c r="AA251" s="3" t="s">
        <v>23</v>
      </c>
      <c r="AB251" s="3">
        <f>Z251*VLOOKUP(AA251,'Ingredient costs'!$A$2:$B$536,2, FALSE)</f>
        <v>0</v>
      </c>
    </row>
    <row r="252" spans="1:28" ht="15" x14ac:dyDescent="0.25">
      <c r="A252" s="4" t="s">
        <v>357</v>
      </c>
      <c r="B252" s="4" t="s">
        <v>368</v>
      </c>
      <c r="C252" s="4">
        <v>104</v>
      </c>
      <c r="D252" s="4">
        <v>1764</v>
      </c>
      <c r="E252" s="4">
        <f t="shared" si="0"/>
        <v>1440</v>
      </c>
      <c r="F252" s="4">
        <f t="shared" si="1"/>
        <v>324</v>
      </c>
      <c r="G252" s="4">
        <v>21</v>
      </c>
      <c r="H252" s="4">
        <v>80</v>
      </c>
      <c r="I252" s="4">
        <v>68</v>
      </c>
      <c r="J252" s="4">
        <f t="shared" si="2"/>
        <v>24.299999999999997</v>
      </c>
      <c r="K252" s="4">
        <f t="shared" si="3"/>
        <v>28.588235294117645</v>
      </c>
      <c r="L252" s="4">
        <f t="shared" si="4"/>
        <v>15.75</v>
      </c>
      <c r="M252" s="4">
        <f t="shared" si="5"/>
        <v>18.529411764705884</v>
      </c>
      <c r="N252" s="8">
        <v>3</v>
      </c>
      <c r="O252" s="7" t="s">
        <v>90</v>
      </c>
      <c r="P252" s="3">
        <f>N252*VLOOKUP(O252,'Ingredient costs'!$A$2:$B$536,2, FALSE)</f>
        <v>324</v>
      </c>
      <c r="Q252" s="8">
        <v>1</v>
      </c>
      <c r="R252" s="7" t="s">
        <v>95</v>
      </c>
      <c r="S252" s="3">
        <f>Q252*VLOOKUP(R252,'Ingredient costs'!$A$2:$B$536,2, FALSE)</f>
        <v>324</v>
      </c>
      <c r="T252" s="8">
        <v>2</v>
      </c>
      <c r="U252" s="7" t="s">
        <v>77</v>
      </c>
      <c r="V252" s="3">
        <f>T252*VLOOKUP(U252,'Ingredient costs'!$A$2:$B$536,2, FALSE)</f>
        <v>792</v>
      </c>
      <c r="W252" s="7"/>
      <c r="X252" s="7" t="s">
        <v>23</v>
      </c>
      <c r="Y252" s="3">
        <f>W252*VLOOKUP(X252,'Ingredient costs'!$A$2:$B$536,2, FALSE)</f>
        <v>0</v>
      </c>
      <c r="AA252" s="3" t="s">
        <v>23</v>
      </c>
      <c r="AB252" s="3">
        <f>Z252*VLOOKUP(AA252,'Ingredient costs'!$A$2:$B$536,2, FALSE)</f>
        <v>0</v>
      </c>
    </row>
    <row r="253" spans="1:28" ht="15" x14ac:dyDescent="0.25">
      <c r="A253" s="4" t="s">
        <v>369</v>
      </c>
      <c r="B253" s="4" t="s">
        <v>28</v>
      </c>
      <c r="C253" s="4">
        <v>7</v>
      </c>
      <c r="D253" s="4">
        <v>324</v>
      </c>
      <c r="E253" s="4">
        <f t="shared" si="0"/>
        <v>144</v>
      </c>
      <c r="F253" s="4">
        <f t="shared" si="1"/>
        <v>180</v>
      </c>
      <c r="G253" s="4">
        <v>4</v>
      </c>
      <c r="H253" s="4">
        <v>20</v>
      </c>
      <c r="I253" s="4">
        <v>17</v>
      </c>
      <c r="J253" s="4">
        <f t="shared" si="2"/>
        <v>54</v>
      </c>
      <c r="K253" s="4">
        <f t="shared" si="3"/>
        <v>63.529411764705884</v>
      </c>
      <c r="L253" s="4">
        <f t="shared" si="4"/>
        <v>12</v>
      </c>
      <c r="M253" s="4">
        <f t="shared" si="5"/>
        <v>14.117647058823529</v>
      </c>
      <c r="N253" s="3">
        <v>1</v>
      </c>
      <c r="O253" s="3" t="s">
        <v>370</v>
      </c>
      <c r="P253" s="3">
        <f>N253*VLOOKUP(O253,'Ingredient costs'!$A$2:$B$536,2, FALSE)</f>
        <v>144</v>
      </c>
      <c r="R253" s="3" t="s">
        <v>23</v>
      </c>
      <c r="S253" s="3">
        <f>Q253*VLOOKUP(R253,'Ingredient costs'!$A$2:$B$536,2, FALSE)</f>
        <v>0</v>
      </c>
      <c r="U253" s="3" t="s">
        <v>23</v>
      </c>
      <c r="V253" s="3">
        <f>T253*VLOOKUP(U253,'Ingredient costs'!$A$2:$B$536,2, FALSE)</f>
        <v>0</v>
      </c>
      <c r="X253" s="3" t="s">
        <v>23</v>
      </c>
      <c r="Y253" s="3">
        <f>W253*VLOOKUP(X253,'Ingredient costs'!$A$2:$B$536,2, FALSE)</f>
        <v>0</v>
      </c>
      <c r="AA253" s="3" t="s">
        <v>23</v>
      </c>
      <c r="AB253" s="3">
        <f>Z253*VLOOKUP(AA253,'Ingredient costs'!$A$2:$B$536,2, FALSE)</f>
        <v>0</v>
      </c>
    </row>
    <row r="254" spans="1:28" ht="15" x14ac:dyDescent="0.25">
      <c r="A254" s="4" t="s">
        <v>369</v>
      </c>
      <c r="B254" s="4" t="s">
        <v>40</v>
      </c>
      <c r="C254" s="4">
        <v>13</v>
      </c>
      <c r="D254" s="4">
        <v>504</v>
      </c>
      <c r="E254" s="4">
        <f t="shared" si="0"/>
        <v>288</v>
      </c>
      <c r="F254" s="4">
        <f t="shared" si="1"/>
        <v>216</v>
      </c>
      <c r="G254" s="4">
        <v>6</v>
      </c>
      <c r="H254" s="4">
        <v>40</v>
      </c>
      <c r="I254" s="4">
        <v>34</v>
      </c>
      <c r="J254" s="4">
        <f t="shared" si="2"/>
        <v>32.400000000000006</v>
      </c>
      <c r="K254" s="4">
        <f t="shared" si="3"/>
        <v>38.117647058823529</v>
      </c>
      <c r="L254" s="4">
        <f t="shared" si="4"/>
        <v>9</v>
      </c>
      <c r="M254" s="4">
        <f t="shared" si="5"/>
        <v>10.588235294117649</v>
      </c>
      <c r="N254" s="3">
        <v>2</v>
      </c>
      <c r="O254" s="3" t="s">
        <v>370</v>
      </c>
      <c r="P254" s="3">
        <f>N254*VLOOKUP(O254,'Ingredient costs'!$A$2:$B$536,2, FALSE)</f>
        <v>288</v>
      </c>
      <c r="R254" s="3" t="s">
        <v>23</v>
      </c>
      <c r="S254" s="3">
        <f>Q254*VLOOKUP(R254,'Ingredient costs'!$A$2:$B$536,2, FALSE)</f>
        <v>0</v>
      </c>
      <c r="U254" s="3" t="s">
        <v>23</v>
      </c>
      <c r="V254" s="3">
        <f>T254*VLOOKUP(U254,'Ingredient costs'!$A$2:$B$536,2, FALSE)</f>
        <v>0</v>
      </c>
      <c r="X254" s="3" t="s">
        <v>23</v>
      </c>
      <c r="Y254" s="3">
        <f>W254*VLOOKUP(X254,'Ingredient costs'!$A$2:$B$536,2, FALSE)</f>
        <v>0</v>
      </c>
      <c r="AA254" s="3" t="s">
        <v>23</v>
      </c>
      <c r="AB254" s="3">
        <f>Z254*VLOOKUP(AA254,'Ingredient costs'!$A$2:$B$536,2, FALSE)</f>
        <v>0</v>
      </c>
    </row>
    <row r="255" spans="1:28" ht="15" x14ac:dyDescent="0.25">
      <c r="A255" s="4" t="s">
        <v>369</v>
      </c>
      <c r="B255" s="4" t="s">
        <v>47</v>
      </c>
      <c r="C255" s="4">
        <v>18</v>
      </c>
      <c r="D255" s="4">
        <v>900</v>
      </c>
      <c r="E255" s="4">
        <f t="shared" si="0"/>
        <v>576</v>
      </c>
      <c r="F255" s="4">
        <f t="shared" si="1"/>
        <v>324</v>
      </c>
      <c r="G255" s="4">
        <v>11</v>
      </c>
      <c r="H255" s="4">
        <v>90</v>
      </c>
      <c r="I255" s="4">
        <v>76</v>
      </c>
      <c r="J255" s="4">
        <f t="shared" si="2"/>
        <v>21.599999999999998</v>
      </c>
      <c r="K255" s="4">
        <f t="shared" si="3"/>
        <v>25.578947368421055</v>
      </c>
      <c r="L255" s="4">
        <f t="shared" si="4"/>
        <v>7.333333333333333</v>
      </c>
      <c r="M255" s="4">
        <f t="shared" si="5"/>
        <v>8.6842105263157894</v>
      </c>
      <c r="N255" s="3">
        <v>4</v>
      </c>
      <c r="O255" s="3" t="s">
        <v>370</v>
      </c>
      <c r="P255" s="3">
        <f>N255*VLOOKUP(O255,'Ingredient costs'!$A$2:$B$536,2, FALSE)</f>
        <v>576</v>
      </c>
      <c r="R255" s="3" t="s">
        <v>23</v>
      </c>
      <c r="S255" s="3">
        <f>Q255*VLOOKUP(R255,'Ingredient costs'!$A$2:$B$536,2, FALSE)</f>
        <v>0</v>
      </c>
      <c r="U255" s="3" t="s">
        <v>23</v>
      </c>
      <c r="V255" s="3">
        <f>T255*VLOOKUP(U255,'Ingredient costs'!$A$2:$B$536,2, FALSE)</f>
        <v>0</v>
      </c>
      <c r="X255" s="3" t="s">
        <v>23</v>
      </c>
      <c r="Y255" s="3">
        <f>W255*VLOOKUP(X255,'Ingredient costs'!$A$2:$B$536,2, FALSE)</f>
        <v>0</v>
      </c>
      <c r="AA255" s="3" t="s">
        <v>23</v>
      </c>
      <c r="AB255" s="3">
        <f>Z255*VLOOKUP(AA255,'Ingredient costs'!$A$2:$B$536,2, FALSE)</f>
        <v>0</v>
      </c>
    </row>
    <row r="256" spans="1:28" ht="15" x14ac:dyDescent="0.25">
      <c r="A256" s="4" t="s">
        <v>371</v>
      </c>
      <c r="B256" s="4" t="s">
        <v>372</v>
      </c>
      <c r="C256" s="4">
        <v>56</v>
      </c>
      <c r="D256" s="4">
        <v>4896</v>
      </c>
      <c r="E256" s="4">
        <f t="shared" si="0"/>
        <v>4788</v>
      </c>
      <c r="F256" s="4">
        <f t="shared" si="1"/>
        <v>108</v>
      </c>
      <c r="G256" s="4">
        <v>58</v>
      </c>
      <c r="H256" s="4">
        <v>60</v>
      </c>
      <c r="I256" s="4">
        <v>51</v>
      </c>
      <c r="J256" s="4">
        <f t="shared" si="2"/>
        <v>10.799999999999999</v>
      </c>
      <c r="K256" s="4">
        <f t="shared" si="3"/>
        <v>12.705882352941176</v>
      </c>
      <c r="L256" s="4">
        <f t="shared" si="4"/>
        <v>58</v>
      </c>
      <c r="M256" s="4">
        <f t="shared" si="5"/>
        <v>68.235294117647058</v>
      </c>
      <c r="N256" s="5">
        <v>15</v>
      </c>
      <c r="O256" s="6" t="s">
        <v>84</v>
      </c>
      <c r="P256" s="3">
        <f>N256*VLOOKUP(O256,'Ingredient costs'!$A$2:$B$536,2, FALSE)</f>
        <v>2700</v>
      </c>
      <c r="Q256" s="5">
        <v>1</v>
      </c>
      <c r="R256" s="6" t="s">
        <v>43</v>
      </c>
      <c r="S256" s="3">
        <f>Q256*VLOOKUP(R256,'Ingredient costs'!$A$2:$B$536,2, FALSE)</f>
        <v>540</v>
      </c>
      <c r="T256" s="5">
        <v>1</v>
      </c>
      <c r="U256" s="6" t="s">
        <v>338</v>
      </c>
      <c r="V256" s="3">
        <f>T256*VLOOKUP(U256,'Ingredient costs'!$A$2:$B$536,2, FALSE)</f>
        <v>1548</v>
      </c>
      <c r="W256" s="6"/>
      <c r="X256" s="7" t="s">
        <v>23</v>
      </c>
      <c r="Y256" s="3">
        <f>W256*VLOOKUP(X256,'Ingredient costs'!$A$2:$B$536,2, FALSE)</f>
        <v>0</v>
      </c>
      <c r="AA256" s="3" t="s">
        <v>23</v>
      </c>
      <c r="AB256" s="3">
        <f>Z256*VLOOKUP(AA256,'Ingredient costs'!$A$2:$B$536,2, FALSE)</f>
        <v>0</v>
      </c>
    </row>
    <row r="257" spans="1:28" ht="15" x14ac:dyDescent="0.25">
      <c r="A257" s="4" t="s">
        <v>371</v>
      </c>
      <c r="B257" s="4" t="s">
        <v>373</v>
      </c>
      <c r="C257" s="4">
        <v>59</v>
      </c>
      <c r="D257" s="4">
        <v>6372</v>
      </c>
      <c r="E257" s="4">
        <f t="shared" ref="E257:E276" si="7">P257+S257+V257+Y257+AB257</f>
        <v>6258</v>
      </c>
      <c r="F257" s="4">
        <f t="shared" ref="F257:F276" si="8">D257-E257</f>
        <v>114</v>
      </c>
      <c r="G257" s="4">
        <v>76</v>
      </c>
      <c r="H257" s="4">
        <v>60</v>
      </c>
      <c r="I257" s="4">
        <v>51</v>
      </c>
      <c r="J257" s="4">
        <f t="shared" ref="J257:J276" si="9">F257/H257/10*60</f>
        <v>11.4</v>
      </c>
      <c r="K257" s="4">
        <f t="shared" ref="K257:K276" si="10">F257/I257/10*60</f>
        <v>13.411764705882353</v>
      </c>
      <c r="L257" s="4">
        <f t="shared" ref="L257:L276" si="11">G257/H257*60</f>
        <v>76</v>
      </c>
      <c r="M257" s="4">
        <f t="shared" ref="M257:M276" si="12">G257/I257*60</f>
        <v>89.411764705882348</v>
      </c>
      <c r="N257" s="5">
        <v>15</v>
      </c>
      <c r="O257" s="6" t="s">
        <v>84</v>
      </c>
      <c r="P257" s="3">
        <f>N257*VLOOKUP(O257,'Ingredient costs'!$A$2:$B$536,2, FALSE)</f>
        <v>2700</v>
      </c>
      <c r="Q257" s="5">
        <v>1</v>
      </c>
      <c r="R257" s="6" t="s">
        <v>44</v>
      </c>
      <c r="S257" s="3">
        <f>Q257*VLOOKUP(R257,'Ingredient costs'!$A$2:$B$536,2, FALSE)</f>
        <v>2010</v>
      </c>
      <c r="T257" s="5">
        <v>1</v>
      </c>
      <c r="U257" s="6" t="s">
        <v>338</v>
      </c>
      <c r="V257" s="3">
        <f>T257*VLOOKUP(U257,'Ingredient costs'!$A$2:$B$536,2, FALSE)</f>
        <v>1548</v>
      </c>
      <c r="W257" s="6"/>
      <c r="X257" s="7" t="s">
        <v>23</v>
      </c>
      <c r="Y257" s="3">
        <f>W257*VLOOKUP(X257,'Ingredient costs'!$A$2:$B$536,2, FALSE)</f>
        <v>0</v>
      </c>
      <c r="AA257" s="3" t="s">
        <v>23</v>
      </c>
      <c r="AB257" s="3">
        <f>Z257*VLOOKUP(AA257,'Ingredient costs'!$A$2:$B$536,2, FALSE)</f>
        <v>0</v>
      </c>
    </row>
    <row r="258" spans="1:28" ht="15" x14ac:dyDescent="0.25">
      <c r="A258" s="4" t="s">
        <v>371</v>
      </c>
      <c r="B258" s="4" t="s">
        <v>374</v>
      </c>
      <c r="C258" s="4">
        <v>63</v>
      </c>
      <c r="D258" s="4">
        <v>5508</v>
      </c>
      <c r="E258" s="4">
        <f t="shared" si="7"/>
        <v>5292</v>
      </c>
      <c r="F258" s="4">
        <f t="shared" si="8"/>
        <v>216</v>
      </c>
      <c r="G258" s="4">
        <v>66</v>
      </c>
      <c r="H258" s="4">
        <v>120</v>
      </c>
      <c r="I258" s="4">
        <v>102</v>
      </c>
      <c r="J258" s="4">
        <f t="shared" si="9"/>
        <v>10.799999999999999</v>
      </c>
      <c r="K258" s="4">
        <f t="shared" si="10"/>
        <v>12.705882352941176</v>
      </c>
      <c r="L258" s="4">
        <f t="shared" si="11"/>
        <v>33</v>
      </c>
      <c r="M258" s="4">
        <f t="shared" si="12"/>
        <v>38.82352941176471</v>
      </c>
      <c r="N258" s="5">
        <v>15</v>
      </c>
      <c r="O258" s="6" t="s">
        <v>84</v>
      </c>
      <c r="P258" s="3">
        <f>N258*VLOOKUP(O258,'Ingredient costs'!$A$2:$B$536,2, FALSE)</f>
        <v>2700</v>
      </c>
      <c r="Q258" s="5">
        <v>4</v>
      </c>
      <c r="R258" s="6" t="s">
        <v>26</v>
      </c>
      <c r="S258" s="3">
        <f>Q258*VLOOKUP(R258,'Ingredient costs'!$A$2:$B$536,2, FALSE)</f>
        <v>720</v>
      </c>
      <c r="T258" s="5">
        <v>1</v>
      </c>
      <c r="U258" s="6" t="s">
        <v>338</v>
      </c>
      <c r="V258" s="3">
        <f>T258*VLOOKUP(U258,'Ingredient costs'!$A$2:$B$536,2, FALSE)</f>
        <v>1548</v>
      </c>
      <c r="W258" s="5">
        <v>1</v>
      </c>
      <c r="X258" s="7" t="s">
        <v>28</v>
      </c>
      <c r="Y258" s="3">
        <f>W258*VLOOKUP(X258,'Ingredient costs'!$A$2:$B$536,2, FALSE)</f>
        <v>324</v>
      </c>
      <c r="AA258" s="3" t="s">
        <v>23</v>
      </c>
      <c r="AB258" s="3">
        <f>Z258*VLOOKUP(AA258,'Ingredient costs'!$A$2:$B$536,2, FALSE)</f>
        <v>0</v>
      </c>
    </row>
    <row r="259" spans="1:28" ht="15" x14ac:dyDescent="0.25">
      <c r="A259" s="4" t="s">
        <v>371</v>
      </c>
      <c r="B259" s="4" t="s">
        <v>375</v>
      </c>
      <c r="C259" s="4">
        <v>76</v>
      </c>
      <c r="D259" s="4">
        <v>6480</v>
      </c>
      <c r="E259" s="4">
        <f t="shared" si="7"/>
        <v>6300</v>
      </c>
      <c r="F259" s="4">
        <f t="shared" si="8"/>
        <v>180</v>
      </c>
      <c r="G259" s="4">
        <v>77</v>
      </c>
      <c r="H259" s="4">
        <v>90</v>
      </c>
      <c r="I259" s="4">
        <v>76</v>
      </c>
      <c r="J259" s="4">
        <f t="shared" si="9"/>
        <v>12</v>
      </c>
      <c r="K259" s="4">
        <f t="shared" si="10"/>
        <v>14.210526315789473</v>
      </c>
      <c r="L259" s="4">
        <f t="shared" si="11"/>
        <v>51.333333333333329</v>
      </c>
      <c r="M259" s="4">
        <f t="shared" si="12"/>
        <v>60.78947368421052</v>
      </c>
      <c r="N259" s="5">
        <v>20</v>
      </c>
      <c r="O259" s="6" t="s">
        <v>84</v>
      </c>
      <c r="P259" s="3">
        <f>N259*VLOOKUP(O259,'Ingredient costs'!$A$2:$B$536,2, FALSE)</f>
        <v>3600</v>
      </c>
      <c r="Q259" s="5">
        <v>3</v>
      </c>
      <c r="R259" s="6" t="s">
        <v>26</v>
      </c>
      <c r="S259" s="3">
        <f>Q259*VLOOKUP(R259,'Ingredient costs'!$A$2:$B$536,2, FALSE)</f>
        <v>540</v>
      </c>
      <c r="T259" s="5">
        <v>5</v>
      </c>
      <c r="U259" s="6" t="s">
        <v>200</v>
      </c>
      <c r="V259" s="3">
        <f>T259*VLOOKUP(U259,'Ingredient costs'!$A$2:$B$536,2, FALSE)</f>
        <v>1620</v>
      </c>
      <c r="W259" s="5">
        <v>1</v>
      </c>
      <c r="X259" s="7" t="s">
        <v>43</v>
      </c>
      <c r="Y259" s="3">
        <f>W259*VLOOKUP(X259,'Ingredient costs'!$A$2:$B$536,2, FALSE)</f>
        <v>540</v>
      </c>
      <c r="AA259" s="3" t="s">
        <v>23</v>
      </c>
      <c r="AB259" s="3">
        <f>Z259*VLOOKUP(AA259,'Ingredient costs'!$A$2:$B$536,2, FALSE)</f>
        <v>0</v>
      </c>
    </row>
    <row r="260" spans="1:28" ht="15" x14ac:dyDescent="0.25">
      <c r="A260" s="4" t="s">
        <v>371</v>
      </c>
      <c r="B260" s="4" t="s">
        <v>376</v>
      </c>
      <c r="C260" s="4">
        <v>110</v>
      </c>
      <c r="D260" s="4">
        <v>4644</v>
      </c>
      <c r="E260" s="4">
        <f t="shared" si="7"/>
        <v>4608</v>
      </c>
      <c r="F260" s="4">
        <f t="shared" si="8"/>
        <v>36</v>
      </c>
      <c r="G260" s="4">
        <v>55</v>
      </c>
      <c r="H260" s="4">
        <v>45</v>
      </c>
      <c r="I260" s="4">
        <v>38</v>
      </c>
      <c r="J260" s="4">
        <f t="shared" si="9"/>
        <v>4.8</v>
      </c>
      <c r="K260" s="4">
        <f t="shared" si="10"/>
        <v>5.6842105263157885</v>
      </c>
      <c r="L260" s="4">
        <f t="shared" si="11"/>
        <v>73.333333333333343</v>
      </c>
      <c r="M260" s="4">
        <f t="shared" si="12"/>
        <v>86.842105263157904</v>
      </c>
      <c r="N260" s="8">
        <v>20</v>
      </c>
      <c r="O260" s="7" t="s">
        <v>84</v>
      </c>
      <c r="P260" s="3">
        <f>N260*VLOOKUP(O260,'Ingredient costs'!$A$2:$B$536,2, FALSE)</f>
        <v>3600</v>
      </c>
      <c r="Q260" s="8">
        <v>1</v>
      </c>
      <c r="R260" s="7" t="s">
        <v>91</v>
      </c>
      <c r="S260" s="3">
        <f>Q260*VLOOKUP(R260,'Ingredient costs'!$A$2:$B$536,2, FALSE)</f>
        <v>180</v>
      </c>
      <c r="T260" s="8">
        <v>1</v>
      </c>
      <c r="U260" s="7" t="s">
        <v>223</v>
      </c>
      <c r="V260" s="3">
        <f>T260*VLOOKUP(U260,'Ingredient costs'!$A$2:$B$536,2, FALSE)</f>
        <v>828</v>
      </c>
      <c r="W260" s="7"/>
      <c r="X260" s="7" t="s">
        <v>23</v>
      </c>
      <c r="Y260" s="3">
        <f>W260*VLOOKUP(X260,'Ingredient costs'!$A$2:$B$536,2, FALSE)</f>
        <v>0</v>
      </c>
      <c r="AA260" s="3" t="s">
        <v>23</v>
      </c>
      <c r="AB260" s="3">
        <f>Z260*VLOOKUP(AA260,'Ingredient costs'!$A$2:$B$536,2, FALSE)</f>
        <v>0</v>
      </c>
    </row>
    <row r="261" spans="1:28" ht="15" x14ac:dyDescent="0.25">
      <c r="A261" s="4" t="s">
        <v>377</v>
      </c>
      <c r="B261" s="4" t="s">
        <v>378</v>
      </c>
      <c r="C261" s="4">
        <v>77</v>
      </c>
      <c r="D261" s="4">
        <v>3960</v>
      </c>
      <c r="E261" s="4">
        <f t="shared" si="7"/>
        <v>3744</v>
      </c>
      <c r="F261" s="4">
        <f t="shared" si="8"/>
        <v>216</v>
      </c>
      <c r="G261" s="4">
        <v>47</v>
      </c>
      <c r="H261" s="4">
        <v>45</v>
      </c>
      <c r="I261" s="4">
        <v>38</v>
      </c>
      <c r="J261" s="4">
        <f t="shared" si="9"/>
        <v>28.799999999999997</v>
      </c>
      <c r="K261" s="4">
        <f t="shared" si="10"/>
        <v>34.10526315789474</v>
      </c>
      <c r="L261" s="4">
        <f t="shared" si="11"/>
        <v>62.666666666666671</v>
      </c>
      <c r="M261" s="4">
        <f t="shared" si="12"/>
        <v>74.21052631578948</v>
      </c>
      <c r="N261" s="5">
        <v>1</v>
      </c>
      <c r="O261" s="6" t="s">
        <v>24</v>
      </c>
      <c r="P261" s="3">
        <f>N261*VLOOKUP(O261,'Ingredient costs'!$A$2:$B$536,2, FALSE)</f>
        <v>720</v>
      </c>
      <c r="Q261" s="5">
        <v>1</v>
      </c>
      <c r="R261" s="6" t="s">
        <v>66</v>
      </c>
      <c r="S261" s="3">
        <f>Q261*VLOOKUP(R261,'Ingredient costs'!$A$2:$B$536,2, FALSE)</f>
        <v>504</v>
      </c>
      <c r="T261" s="5">
        <v>1</v>
      </c>
      <c r="U261" s="6" t="s">
        <v>87</v>
      </c>
      <c r="V261" s="3">
        <f>T261*VLOOKUP(U261,'Ingredient costs'!$A$2:$B$536,2, FALSE)</f>
        <v>2520</v>
      </c>
      <c r="W261" s="6"/>
      <c r="X261" s="7" t="s">
        <v>23</v>
      </c>
      <c r="Y261" s="3">
        <f>W261*VLOOKUP(X261,'Ingredient costs'!$A$2:$B$536,2, FALSE)</f>
        <v>0</v>
      </c>
      <c r="AA261" s="3" t="s">
        <v>23</v>
      </c>
      <c r="AB261" s="3">
        <f>Z261*VLOOKUP(AA261,'Ingredient costs'!$A$2:$B$536,2, FALSE)</f>
        <v>0</v>
      </c>
    </row>
    <row r="262" spans="1:28" ht="15" x14ac:dyDescent="0.25">
      <c r="A262" s="4" t="s">
        <v>377</v>
      </c>
      <c r="B262" s="4" t="s">
        <v>379</v>
      </c>
      <c r="C262" s="4">
        <v>79</v>
      </c>
      <c r="D262" s="4">
        <v>3924</v>
      </c>
      <c r="E262" s="4">
        <f t="shared" si="7"/>
        <v>3636</v>
      </c>
      <c r="F262" s="4">
        <f t="shared" si="8"/>
        <v>288</v>
      </c>
      <c r="G262" s="4">
        <v>44</v>
      </c>
      <c r="H262" s="4">
        <v>90</v>
      </c>
      <c r="I262" s="4">
        <v>76</v>
      </c>
      <c r="J262" s="4">
        <f t="shared" si="9"/>
        <v>19.2</v>
      </c>
      <c r="K262" s="4">
        <f t="shared" si="10"/>
        <v>22.736842105263154</v>
      </c>
      <c r="L262" s="4">
        <f t="shared" si="11"/>
        <v>29.333333333333332</v>
      </c>
      <c r="M262" s="4">
        <f t="shared" si="12"/>
        <v>34.736842105263158</v>
      </c>
      <c r="N262" s="5">
        <v>2</v>
      </c>
      <c r="O262" s="6" t="s">
        <v>37</v>
      </c>
      <c r="P262" s="3">
        <f>N262*VLOOKUP(O262,'Ingredient costs'!$A$2:$B$536,2, FALSE)</f>
        <v>720</v>
      </c>
      <c r="Q262" s="5">
        <v>2</v>
      </c>
      <c r="R262" s="6" t="s">
        <v>24</v>
      </c>
      <c r="S262" s="3">
        <f>Q262*VLOOKUP(R262,'Ingredient costs'!$A$2:$B$536,2, FALSE)</f>
        <v>1440</v>
      </c>
      <c r="T262" s="5">
        <v>1</v>
      </c>
      <c r="U262" s="6" t="s">
        <v>43</v>
      </c>
      <c r="V262" s="3">
        <f>T262*VLOOKUP(U262,'Ingredient costs'!$A$2:$B$536,2, FALSE)</f>
        <v>540</v>
      </c>
      <c r="W262" s="5">
        <v>1</v>
      </c>
      <c r="X262" s="7" t="s">
        <v>58</v>
      </c>
      <c r="Y262" s="3">
        <f>W262*VLOOKUP(X262,'Ingredient costs'!$A$2:$B$536,2, FALSE)</f>
        <v>936</v>
      </c>
      <c r="AA262" s="3" t="s">
        <v>23</v>
      </c>
      <c r="AB262" s="3">
        <f>Z262*VLOOKUP(AA262,'Ingredient costs'!$A$2:$B$536,2, FALSE)</f>
        <v>0</v>
      </c>
    </row>
    <row r="263" spans="1:28" ht="15" x14ac:dyDescent="0.25">
      <c r="A263" s="4" t="s">
        <v>377</v>
      </c>
      <c r="B263" s="4" t="s">
        <v>380</v>
      </c>
      <c r="C263" s="4">
        <v>82</v>
      </c>
      <c r="D263" s="4">
        <v>2412</v>
      </c>
      <c r="E263" s="4">
        <f t="shared" si="7"/>
        <v>2088</v>
      </c>
      <c r="F263" s="4">
        <f t="shared" si="8"/>
        <v>324</v>
      </c>
      <c r="G263" s="4">
        <v>29</v>
      </c>
      <c r="H263" s="4">
        <v>60</v>
      </c>
      <c r="I263" s="4">
        <v>51</v>
      </c>
      <c r="J263" s="4">
        <f t="shared" si="9"/>
        <v>32.400000000000006</v>
      </c>
      <c r="K263" s="4">
        <f t="shared" si="10"/>
        <v>38.117647058823529</v>
      </c>
      <c r="L263" s="4">
        <f t="shared" si="11"/>
        <v>29</v>
      </c>
      <c r="M263" s="4">
        <f t="shared" si="12"/>
        <v>34.117647058823529</v>
      </c>
      <c r="N263" s="5">
        <v>1</v>
      </c>
      <c r="O263" s="6" t="s">
        <v>35</v>
      </c>
      <c r="P263" s="3">
        <f>N263*VLOOKUP(O263,'Ingredient costs'!$A$2:$B$536,2, FALSE)</f>
        <v>1224</v>
      </c>
      <c r="Q263" s="5">
        <v>2</v>
      </c>
      <c r="R263" s="6" t="s">
        <v>37</v>
      </c>
      <c r="S263" s="3">
        <f>Q263*VLOOKUP(R263,'Ingredient costs'!$A$2:$B$536,2, FALSE)</f>
        <v>720</v>
      </c>
      <c r="T263" s="5">
        <v>4</v>
      </c>
      <c r="U263" s="6" t="s">
        <v>22</v>
      </c>
      <c r="V263" s="3">
        <f>T263*VLOOKUP(U263,'Ingredient costs'!$A$2:$B$536,2, FALSE)</f>
        <v>144</v>
      </c>
      <c r="W263" s="6"/>
      <c r="X263" s="7" t="s">
        <v>23</v>
      </c>
      <c r="Y263" s="3">
        <f>W263*VLOOKUP(X263,'Ingredient costs'!$A$2:$B$536,2, FALSE)</f>
        <v>0</v>
      </c>
      <c r="AA263" s="3" t="s">
        <v>23</v>
      </c>
      <c r="AB263" s="3">
        <f>Z263*VLOOKUP(AA263,'Ingredient costs'!$A$2:$B$536,2, FALSE)</f>
        <v>0</v>
      </c>
    </row>
    <row r="264" spans="1:28" ht="15" x14ac:dyDescent="0.25">
      <c r="A264" s="4" t="s">
        <v>377</v>
      </c>
      <c r="B264" s="4" t="s">
        <v>381</v>
      </c>
      <c r="C264" s="4">
        <v>87</v>
      </c>
      <c r="D264" s="4">
        <v>4320</v>
      </c>
      <c r="E264" s="4">
        <f t="shared" si="7"/>
        <v>4032</v>
      </c>
      <c r="F264" s="4">
        <f t="shared" si="8"/>
        <v>288</v>
      </c>
      <c r="G264" s="4">
        <v>52</v>
      </c>
      <c r="H264" s="4">
        <v>75</v>
      </c>
      <c r="I264" s="4">
        <v>63</v>
      </c>
      <c r="J264" s="4">
        <f t="shared" si="9"/>
        <v>23.04</v>
      </c>
      <c r="K264" s="4">
        <f t="shared" si="10"/>
        <v>27.428571428571427</v>
      </c>
      <c r="L264" s="4">
        <f t="shared" si="11"/>
        <v>41.6</v>
      </c>
      <c r="M264" s="4">
        <f t="shared" si="12"/>
        <v>49.523809523809518</v>
      </c>
      <c r="N264" s="8">
        <v>1</v>
      </c>
      <c r="O264" s="7" t="s">
        <v>35</v>
      </c>
      <c r="P264" s="3">
        <f>N264*VLOOKUP(O264,'Ingredient costs'!$A$2:$B$536,2, FALSE)</f>
        <v>1224</v>
      </c>
      <c r="Q264" s="8">
        <v>4</v>
      </c>
      <c r="R264" s="7" t="s">
        <v>25</v>
      </c>
      <c r="S264" s="3">
        <f>Q264*VLOOKUP(R264,'Ingredient costs'!$A$2:$B$536,2, FALSE)</f>
        <v>288</v>
      </c>
      <c r="T264" s="8">
        <v>1</v>
      </c>
      <c r="U264" s="7" t="s">
        <v>87</v>
      </c>
      <c r="V264" s="3">
        <f>T264*VLOOKUP(U264,'Ingredient costs'!$A$2:$B$536,2, FALSE)</f>
        <v>2520</v>
      </c>
      <c r="W264" s="7"/>
      <c r="X264" s="7" t="s">
        <v>23</v>
      </c>
      <c r="Y264" s="3">
        <f>W264*VLOOKUP(X264,'Ingredient costs'!$A$2:$B$536,2, FALSE)</f>
        <v>0</v>
      </c>
      <c r="AA264" s="3" t="s">
        <v>23</v>
      </c>
      <c r="AB264" s="3">
        <f>Z264*VLOOKUP(AA264,'Ingredient costs'!$A$2:$B$536,2, FALSE)</f>
        <v>0</v>
      </c>
    </row>
    <row r="265" spans="1:28" ht="15" x14ac:dyDescent="0.25">
      <c r="A265" s="4" t="s">
        <v>382</v>
      </c>
      <c r="B265" s="4" t="s">
        <v>383</v>
      </c>
      <c r="C265" s="4">
        <v>80</v>
      </c>
      <c r="D265" s="4">
        <v>2412</v>
      </c>
      <c r="E265" s="4">
        <f t="shared" si="7"/>
        <v>2160</v>
      </c>
      <c r="F265" s="4">
        <f t="shared" si="8"/>
        <v>252</v>
      </c>
      <c r="G265" s="4">
        <v>29</v>
      </c>
      <c r="H265" s="4">
        <v>30</v>
      </c>
      <c r="I265" s="4">
        <v>25</v>
      </c>
      <c r="J265" s="4">
        <f t="shared" si="9"/>
        <v>50.400000000000006</v>
      </c>
      <c r="K265" s="4">
        <f t="shared" si="10"/>
        <v>60.480000000000004</v>
      </c>
      <c r="L265" s="4">
        <f t="shared" si="11"/>
        <v>58</v>
      </c>
      <c r="M265" s="4">
        <f t="shared" si="12"/>
        <v>69.599999999999994</v>
      </c>
      <c r="N265" s="5">
        <v>5</v>
      </c>
      <c r="O265" s="6" t="s">
        <v>384</v>
      </c>
      <c r="P265" s="3">
        <f>N265*VLOOKUP(O265,'Ingredient costs'!$A$2:$B$536,2, FALSE)</f>
        <v>2160</v>
      </c>
      <c r="Q265" s="6"/>
      <c r="R265" s="6" t="s">
        <v>23</v>
      </c>
      <c r="S265" s="3">
        <f>Q265*VLOOKUP(R265,'Ingredient costs'!$A$2:$B$536,2, FALSE)</f>
        <v>0</v>
      </c>
      <c r="U265" s="3" t="s">
        <v>23</v>
      </c>
      <c r="V265" s="3">
        <f>T265*VLOOKUP(U265,'Ingredient costs'!$A$2:$B$536,2, FALSE)</f>
        <v>0</v>
      </c>
      <c r="X265" s="3" t="s">
        <v>23</v>
      </c>
      <c r="Y265" s="3">
        <f>W265*VLOOKUP(X265,'Ingredient costs'!$A$2:$B$536,2, FALSE)</f>
        <v>0</v>
      </c>
      <c r="AA265" s="3" t="s">
        <v>23</v>
      </c>
      <c r="AB265" s="3">
        <f>Z265*VLOOKUP(AA265,'Ingredient costs'!$A$2:$B$536,2, FALSE)</f>
        <v>0</v>
      </c>
    </row>
    <row r="266" spans="1:28" ht="15" x14ac:dyDescent="0.25">
      <c r="A266" s="4" t="s">
        <v>382</v>
      </c>
      <c r="B266" s="4" t="s">
        <v>385</v>
      </c>
      <c r="C266" s="4">
        <v>81</v>
      </c>
      <c r="D266" s="4">
        <v>1908</v>
      </c>
      <c r="E266" s="4">
        <f t="shared" si="7"/>
        <v>1620</v>
      </c>
      <c r="F266" s="4">
        <f t="shared" si="8"/>
        <v>288</v>
      </c>
      <c r="G266" s="4">
        <v>23</v>
      </c>
      <c r="H266" s="4">
        <v>45</v>
      </c>
      <c r="I266" s="4">
        <v>38</v>
      </c>
      <c r="J266" s="4">
        <f t="shared" si="9"/>
        <v>38.4</v>
      </c>
      <c r="K266" s="4">
        <f t="shared" si="10"/>
        <v>45.473684210526308</v>
      </c>
      <c r="L266" s="4">
        <f t="shared" si="11"/>
        <v>30.666666666666664</v>
      </c>
      <c r="M266" s="4">
        <f t="shared" si="12"/>
        <v>36.315789473684212</v>
      </c>
      <c r="N266" s="5">
        <v>3</v>
      </c>
      <c r="O266" s="6" t="s">
        <v>384</v>
      </c>
      <c r="P266" s="3">
        <f>N266*VLOOKUP(O266,'Ingredient costs'!$A$2:$B$536,2, FALSE)</f>
        <v>1296</v>
      </c>
      <c r="Q266" s="5">
        <v>1</v>
      </c>
      <c r="R266" s="6" t="s">
        <v>95</v>
      </c>
      <c r="S266" s="3">
        <f>Q266*VLOOKUP(R266,'Ingredient costs'!$A$2:$B$536,2, FALSE)</f>
        <v>324</v>
      </c>
      <c r="U266" s="3" t="s">
        <v>23</v>
      </c>
      <c r="V266" s="3">
        <f>T266*VLOOKUP(U266,'Ingredient costs'!$A$2:$B$536,2, FALSE)</f>
        <v>0</v>
      </c>
      <c r="X266" s="3" t="s">
        <v>23</v>
      </c>
      <c r="Y266" s="3">
        <f>W266*VLOOKUP(X266,'Ingredient costs'!$A$2:$B$536,2, FALSE)</f>
        <v>0</v>
      </c>
      <c r="AA266" s="3" t="s">
        <v>23</v>
      </c>
      <c r="AB266" s="3">
        <f>Z266*VLOOKUP(AA266,'Ingredient costs'!$A$2:$B$536,2, FALSE)</f>
        <v>0</v>
      </c>
    </row>
    <row r="267" spans="1:28" ht="15" x14ac:dyDescent="0.25">
      <c r="A267" s="4" t="s">
        <v>382</v>
      </c>
      <c r="B267" s="4" t="s">
        <v>386</v>
      </c>
      <c r="C267" s="4">
        <v>83</v>
      </c>
      <c r="D267" s="4">
        <v>3132</v>
      </c>
      <c r="E267" s="4">
        <f t="shared" si="7"/>
        <v>2844</v>
      </c>
      <c r="F267" s="4">
        <f t="shared" si="8"/>
        <v>288</v>
      </c>
      <c r="G267" s="4">
        <v>37</v>
      </c>
      <c r="H267" s="4">
        <v>40</v>
      </c>
      <c r="I267" s="4">
        <v>34</v>
      </c>
      <c r="J267" s="4">
        <f t="shared" si="9"/>
        <v>43.199999999999996</v>
      </c>
      <c r="K267" s="4">
        <f t="shared" si="10"/>
        <v>50.823529411764703</v>
      </c>
      <c r="L267" s="4">
        <f t="shared" si="11"/>
        <v>55.5</v>
      </c>
      <c r="M267" s="4">
        <f t="shared" si="12"/>
        <v>65.294117647058812</v>
      </c>
      <c r="N267" s="5">
        <v>3</v>
      </c>
      <c r="O267" s="6" t="s">
        <v>384</v>
      </c>
      <c r="P267" s="3">
        <f>N267*VLOOKUP(O267,'Ingredient costs'!$A$2:$B$536,2, FALSE)</f>
        <v>1296</v>
      </c>
      <c r="Q267" s="5">
        <v>1</v>
      </c>
      <c r="R267" s="6" t="s">
        <v>62</v>
      </c>
      <c r="S267" s="3">
        <f>Q267*VLOOKUP(R267,'Ingredient costs'!$A$2:$B$536,2, FALSE)</f>
        <v>1548</v>
      </c>
      <c r="U267" s="3" t="s">
        <v>23</v>
      </c>
      <c r="V267" s="3">
        <f>T267*VLOOKUP(U267,'Ingredient costs'!$A$2:$B$536,2, FALSE)</f>
        <v>0</v>
      </c>
      <c r="X267" s="3" t="s">
        <v>23</v>
      </c>
      <c r="Y267" s="3">
        <f>W267*VLOOKUP(X267,'Ingredient costs'!$A$2:$B$536,2, FALSE)</f>
        <v>0</v>
      </c>
      <c r="AA267" s="3" t="s">
        <v>23</v>
      </c>
      <c r="AB267" s="3">
        <f>Z267*VLOOKUP(AA267,'Ingredient costs'!$A$2:$B$536,2, FALSE)</f>
        <v>0</v>
      </c>
    </row>
    <row r="268" spans="1:28" ht="15" x14ac:dyDescent="0.25">
      <c r="A268" s="4" t="s">
        <v>382</v>
      </c>
      <c r="B268" s="4" t="s">
        <v>387</v>
      </c>
      <c r="C268" s="4">
        <v>86</v>
      </c>
      <c r="D268" s="4">
        <v>2412</v>
      </c>
      <c r="E268" s="4">
        <f t="shared" si="7"/>
        <v>2232</v>
      </c>
      <c r="F268" s="4">
        <f t="shared" si="8"/>
        <v>180</v>
      </c>
      <c r="G268" s="4">
        <v>29</v>
      </c>
      <c r="H268" s="4">
        <v>20</v>
      </c>
      <c r="I268" s="4">
        <v>17</v>
      </c>
      <c r="J268" s="4">
        <f t="shared" si="9"/>
        <v>54</v>
      </c>
      <c r="K268" s="4">
        <f t="shared" si="10"/>
        <v>63.529411764705884</v>
      </c>
      <c r="L268" s="4">
        <f t="shared" si="11"/>
        <v>87</v>
      </c>
      <c r="M268" s="4">
        <f t="shared" si="12"/>
        <v>102.35294117647058</v>
      </c>
      <c r="N268" s="5">
        <v>3</v>
      </c>
      <c r="O268" s="6" t="s">
        <v>384</v>
      </c>
      <c r="P268" s="3">
        <f>N268*VLOOKUP(O268,'Ingredient costs'!$A$2:$B$536,2, FALSE)</f>
        <v>1296</v>
      </c>
      <c r="Q268" s="5">
        <v>1</v>
      </c>
      <c r="R268" s="6" t="s">
        <v>58</v>
      </c>
      <c r="S268" s="3">
        <f>Q268*VLOOKUP(R268,'Ingredient costs'!$A$2:$B$536,2, FALSE)</f>
        <v>936</v>
      </c>
      <c r="U268" s="3" t="s">
        <v>23</v>
      </c>
      <c r="V268" s="3">
        <f>T268*VLOOKUP(U268,'Ingredient costs'!$A$2:$B$536,2, FALSE)</f>
        <v>0</v>
      </c>
      <c r="X268" s="3" t="s">
        <v>23</v>
      </c>
      <c r="Y268" s="3">
        <f>W268*VLOOKUP(X268,'Ingredient costs'!$A$2:$B$536,2, FALSE)</f>
        <v>0</v>
      </c>
      <c r="AA268" s="3" t="s">
        <v>23</v>
      </c>
      <c r="AB268" s="3">
        <f>Z268*VLOOKUP(AA268,'Ingredient costs'!$A$2:$B$536,2, FALSE)</f>
        <v>0</v>
      </c>
    </row>
    <row r="269" spans="1:28" ht="15" x14ac:dyDescent="0.25">
      <c r="A269" s="4" t="s">
        <v>382</v>
      </c>
      <c r="B269" s="4" t="s">
        <v>388</v>
      </c>
      <c r="C269" s="4">
        <v>88</v>
      </c>
      <c r="D269" s="4">
        <v>1692</v>
      </c>
      <c r="E269" s="4">
        <f t="shared" si="7"/>
        <v>1512</v>
      </c>
      <c r="F269" s="4">
        <f t="shared" si="8"/>
        <v>180</v>
      </c>
      <c r="G269" s="4">
        <v>20</v>
      </c>
      <c r="H269" s="4">
        <v>30</v>
      </c>
      <c r="I269" s="4">
        <v>25</v>
      </c>
      <c r="J269" s="4">
        <f t="shared" si="9"/>
        <v>36</v>
      </c>
      <c r="K269" s="4">
        <f t="shared" si="10"/>
        <v>43.199999999999996</v>
      </c>
      <c r="L269" s="4">
        <f t="shared" si="11"/>
        <v>40</v>
      </c>
      <c r="M269" s="4">
        <f t="shared" si="12"/>
        <v>48</v>
      </c>
      <c r="N269" s="5">
        <v>1</v>
      </c>
      <c r="O269" s="6" t="s">
        <v>384</v>
      </c>
      <c r="P269" s="3">
        <f>N269*VLOOKUP(O269,'Ingredient costs'!$A$2:$B$536,2, FALSE)</f>
        <v>432</v>
      </c>
      <c r="Q269" s="5">
        <v>1</v>
      </c>
      <c r="R269" s="6" t="s">
        <v>46</v>
      </c>
      <c r="S269" s="3">
        <f>Q269*VLOOKUP(R269,'Ingredient costs'!$A$2:$B$536,2, FALSE)</f>
        <v>288</v>
      </c>
      <c r="T269" s="3">
        <v>2</v>
      </c>
      <c r="U269" s="3" t="s">
        <v>105</v>
      </c>
      <c r="V269" s="3">
        <f>T269*VLOOKUP(U269,'Ingredient costs'!$A$2:$B$536,2, FALSE)</f>
        <v>792</v>
      </c>
      <c r="X269" s="3" t="s">
        <v>23</v>
      </c>
      <c r="Y269" s="3">
        <f>W269*VLOOKUP(X269,'Ingredient costs'!$A$2:$B$536,2, FALSE)</f>
        <v>0</v>
      </c>
      <c r="AA269" s="3" t="s">
        <v>23</v>
      </c>
      <c r="AB269" s="3">
        <f>Z269*VLOOKUP(AA269,'Ingredient costs'!$A$2:$B$536,2, FALSE)</f>
        <v>0</v>
      </c>
    </row>
    <row r="270" spans="1:28" ht="15" x14ac:dyDescent="0.25">
      <c r="A270" s="4" t="s">
        <v>382</v>
      </c>
      <c r="B270" s="4" t="s">
        <v>389</v>
      </c>
      <c r="C270" s="4">
        <v>89</v>
      </c>
      <c r="D270" s="4">
        <v>2556</v>
      </c>
      <c r="E270" s="4">
        <f t="shared" si="7"/>
        <v>2268</v>
      </c>
      <c r="F270" s="4">
        <f t="shared" si="8"/>
        <v>288</v>
      </c>
      <c r="G270" s="4">
        <v>30</v>
      </c>
      <c r="H270" s="4">
        <v>40</v>
      </c>
      <c r="I270" s="4">
        <v>34</v>
      </c>
      <c r="J270" s="4">
        <f t="shared" si="9"/>
        <v>43.199999999999996</v>
      </c>
      <c r="K270" s="4">
        <f t="shared" si="10"/>
        <v>50.823529411764703</v>
      </c>
      <c r="L270" s="4">
        <f t="shared" si="11"/>
        <v>45</v>
      </c>
      <c r="M270" s="4">
        <f t="shared" si="12"/>
        <v>52.941176470588232</v>
      </c>
      <c r="N270" s="5">
        <v>3</v>
      </c>
      <c r="O270" s="6" t="s">
        <v>384</v>
      </c>
      <c r="P270" s="3">
        <f>N270*VLOOKUP(O270,'Ingredient costs'!$A$2:$B$536,2, FALSE)</f>
        <v>1296</v>
      </c>
      <c r="Q270" s="5">
        <v>1</v>
      </c>
      <c r="R270" s="6" t="s">
        <v>114</v>
      </c>
      <c r="S270" s="3">
        <f>Q270*VLOOKUP(R270,'Ingredient costs'!$A$2:$B$536,2, FALSE)</f>
        <v>972</v>
      </c>
      <c r="U270" s="3" t="s">
        <v>23</v>
      </c>
      <c r="V270" s="3">
        <f>T270*VLOOKUP(U270,'Ingredient costs'!$A$2:$B$536,2, FALSE)</f>
        <v>0</v>
      </c>
      <c r="X270" s="3" t="s">
        <v>23</v>
      </c>
      <c r="Y270" s="3">
        <f>W270*VLOOKUP(X270,'Ingredient costs'!$A$2:$B$536,2, FALSE)</f>
        <v>0</v>
      </c>
      <c r="AA270" s="3" t="s">
        <v>23</v>
      </c>
      <c r="AB270" s="3">
        <f>Z270*VLOOKUP(AA270,'Ingredient costs'!$A$2:$B$536,2, FALSE)</f>
        <v>0</v>
      </c>
    </row>
    <row r="271" spans="1:28" ht="15" x14ac:dyDescent="0.25">
      <c r="A271" s="4" t="s">
        <v>382</v>
      </c>
      <c r="B271" s="4" t="s">
        <v>390</v>
      </c>
      <c r="C271" s="4">
        <v>92</v>
      </c>
      <c r="D271" s="4">
        <v>2520</v>
      </c>
      <c r="E271" s="4">
        <f t="shared" si="7"/>
        <v>2304</v>
      </c>
      <c r="F271" s="4">
        <f t="shared" si="8"/>
        <v>216</v>
      </c>
      <c r="G271" s="4">
        <v>30</v>
      </c>
      <c r="H271" s="4">
        <v>30</v>
      </c>
      <c r="I271" s="4">
        <v>25</v>
      </c>
      <c r="J271" s="4">
        <f t="shared" si="9"/>
        <v>43.199999999999996</v>
      </c>
      <c r="K271" s="4">
        <f t="shared" si="10"/>
        <v>51.84</v>
      </c>
      <c r="L271" s="4">
        <f t="shared" si="11"/>
        <v>60</v>
      </c>
      <c r="M271" s="4">
        <f t="shared" si="12"/>
        <v>72</v>
      </c>
      <c r="N271" s="5">
        <v>3</v>
      </c>
      <c r="O271" s="6" t="s">
        <v>384</v>
      </c>
      <c r="P271" s="3">
        <f>N271*VLOOKUP(O271,'Ingredient costs'!$A$2:$B$536,2, FALSE)</f>
        <v>1296</v>
      </c>
      <c r="Q271" s="5">
        <v>1</v>
      </c>
      <c r="R271" s="6" t="s">
        <v>213</v>
      </c>
      <c r="S271" s="3">
        <f>Q271*VLOOKUP(R271,'Ingredient costs'!$A$2:$B$536,2, FALSE)</f>
        <v>1008</v>
      </c>
      <c r="U271" s="3" t="s">
        <v>23</v>
      </c>
      <c r="V271" s="3">
        <f>T271*VLOOKUP(U271,'Ingredient costs'!$A$2:$B$536,2, FALSE)</f>
        <v>0</v>
      </c>
      <c r="X271" s="3" t="s">
        <v>23</v>
      </c>
      <c r="Y271" s="3">
        <f>W271*VLOOKUP(X271,'Ingredient costs'!$A$2:$B$536,2, FALSE)</f>
        <v>0</v>
      </c>
      <c r="AA271" s="3" t="s">
        <v>23</v>
      </c>
      <c r="AB271" s="3">
        <f>Z271*VLOOKUP(AA271,'Ingredient costs'!$A$2:$B$536,2, FALSE)</f>
        <v>0</v>
      </c>
    </row>
    <row r="272" spans="1:28" ht="15" x14ac:dyDescent="0.25">
      <c r="A272" s="4" t="s">
        <v>382</v>
      </c>
      <c r="B272" s="4" t="s">
        <v>391</v>
      </c>
      <c r="C272" s="4">
        <v>97</v>
      </c>
      <c r="D272" s="4">
        <v>2556</v>
      </c>
      <c r="E272" s="4">
        <f t="shared" si="7"/>
        <v>2016</v>
      </c>
      <c r="F272" s="4">
        <f t="shared" si="8"/>
        <v>540</v>
      </c>
      <c r="G272" s="4">
        <v>31</v>
      </c>
      <c r="H272" s="4">
        <v>35</v>
      </c>
      <c r="I272" s="4">
        <v>29</v>
      </c>
      <c r="J272" s="4">
        <f t="shared" si="9"/>
        <v>92.571428571428569</v>
      </c>
      <c r="K272" s="4">
        <f t="shared" si="10"/>
        <v>111.72413793103448</v>
      </c>
      <c r="L272" s="4">
        <f t="shared" si="11"/>
        <v>53.142857142857139</v>
      </c>
      <c r="M272" s="4">
        <f t="shared" si="12"/>
        <v>64.137931034482747</v>
      </c>
      <c r="N272" s="8">
        <v>3</v>
      </c>
      <c r="O272" s="7" t="s">
        <v>384</v>
      </c>
      <c r="P272" s="3">
        <f>N272*VLOOKUP(O272,'Ingredient costs'!$A$2:$B$536,2, FALSE)</f>
        <v>1296</v>
      </c>
      <c r="Q272" s="8">
        <v>1</v>
      </c>
      <c r="R272" s="7" t="s">
        <v>116</v>
      </c>
      <c r="S272" s="3">
        <f>Q272*VLOOKUP(R272,'Ingredient costs'!$A$2:$B$536,2, FALSE)</f>
        <v>324</v>
      </c>
      <c r="T272" s="3">
        <v>1</v>
      </c>
      <c r="U272" s="3" t="s">
        <v>246</v>
      </c>
      <c r="V272" s="3">
        <f>T272*VLOOKUP(U272,'Ingredient costs'!$A$2:$B$536,2, FALSE)</f>
        <v>396</v>
      </c>
      <c r="X272" s="3" t="s">
        <v>23</v>
      </c>
      <c r="Y272" s="3">
        <f>W272*VLOOKUP(X272,'Ingredient costs'!$A$2:$B$536,2, FALSE)</f>
        <v>0</v>
      </c>
      <c r="AA272" s="3" t="s">
        <v>23</v>
      </c>
      <c r="AB272" s="3">
        <f>Z272*VLOOKUP(AA272,'Ingredient costs'!$A$2:$B$536,2, FALSE)</f>
        <v>0</v>
      </c>
    </row>
    <row r="273" spans="1:33" ht="15" x14ac:dyDescent="0.25">
      <c r="A273" s="4" t="s">
        <v>392</v>
      </c>
      <c r="B273" s="4" t="s">
        <v>393</v>
      </c>
      <c r="C273" s="4">
        <v>69</v>
      </c>
      <c r="D273" s="4">
        <v>2052</v>
      </c>
      <c r="E273" s="4">
        <f t="shared" si="7"/>
        <v>1800</v>
      </c>
      <c r="F273" s="4">
        <f t="shared" si="8"/>
        <v>252</v>
      </c>
      <c r="G273" s="4">
        <v>24</v>
      </c>
      <c r="H273" s="4">
        <v>60</v>
      </c>
      <c r="I273" s="4">
        <v>51</v>
      </c>
      <c r="J273" s="4">
        <f t="shared" si="9"/>
        <v>25.200000000000003</v>
      </c>
      <c r="K273" s="4">
        <f t="shared" si="10"/>
        <v>29.647058823529413</v>
      </c>
      <c r="L273" s="4">
        <f t="shared" si="11"/>
        <v>24</v>
      </c>
      <c r="M273" s="4">
        <f t="shared" si="12"/>
        <v>28.235294117647058</v>
      </c>
      <c r="N273" s="5">
        <v>5</v>
      </c>
      <c r="O273" s="6" t="s">
        <v>84</v>
      </c>
      <c r="P273" s="3">
        <f>N273*VLOOKUP(O273,'Ingredient costs'!$A$2:$B$536,2, FALSE)</f>
        <v>900</v>
      </c>
      <c r="Q273" s="5">
        <v>5</v>
      </c>
      <c r="R273" s="6" t="s">
        <v>26</v>
      </c>
      <c r="S273" s="3">
        <f>Q273*VLOOKUP(R273,'Ingredient costs'!$A$2:$B$536,2, FALSE)</f>
        <v>900</v>
      </c>
      <c r="T273" s="6"/>
      <c r="U273" s="6" t="s">
        <v>23</v>
      </c>
      <c r="V273" s="3">
        <f>T273*VLOOKUP(U273,'Ingredient costs'!$A$2:$B$536,2, FALSE)</f>
        <v>0</v>
      </c>
      <c r="W273" s="6"/>
      <c r="X273" s="7" t="s">
        <v>23</v>
      </c>
      <c r="Y273" s="3">
        <f>W273*VLOOKUP(X273,'Ingredient costs'!$A$2:$B$536,2, FALSE)</f>
        <v>0</v>
      </c>
      <c r="AA273" s="3" t="s">
        <v>23</v>
      </c>
      <c r="AB273" s="3">
        <f>Z273*VLOOKUP(AA273,'Ingredient costs'!$A$2:$B$536,2, FALSE)</f>
        <v>0</v>
      </c>
    </row>
    <row r="274" spans="1:33" ht="15" x14ac:dyDescent="0.25">
      <c r="A274" s="4" t="s">
        <v>392</v>
      </c>
      <c r="B274" s="4" t="s">
        <v>394</v>
      </c>
      <c r="C274" s="4">
        <v>79</v>
      </c>
      <c r="D274" s="4">
        <v>5436</v>
      </c>
      <c r="E274" s="4">
        <f t="shared" si="7"/>
        <v>5057</v>
      </c>
      <c r="F274" s="4">
        <f t="shared" si="8"/>
        <v>379</v>
      </c>
      <c r="G274" s="4">
        <v>65</v>
      </c>
      <c r="H274" s="4">
        <v>90</v>
      </c>
      <c r="I274" s="4">
        <v>76</v>
      </c>
      <c r="J274" s="4">
        <f t="shared" si="9"/>
        <v>25.266666666666666</v>
      </c>
      <c r="K274" s="4">
        <f t="shared" si="10"/>
        <v>29.921052631578945</v>
      </c>
      <c r="L274" s="4">
        <f t="shared" si="11"/>
        <v>43.333333333333336</v>
      </c>
      <c r="M274" s="4">
        <f t="shared" si="12"/>
        <v>51.315789473684212</v>
      </c>
      <c r="N274" s="5">
        <v>1</v>
      </c>
      <c r="O274" s="6" t="s">
        <v>43</v>
      </c>
      <c r="P274" s="3">
        <f>N274*VLOOKUP(O274,'Ingredient costs'!$A$2:$B$536,2, FALSE)</f>
        <v>540</v>
      </c>
      <c r="Q274" s="5">
        <v>3</v>
      </c>
      <c r="R274" s="6" t="s">
        <v>37</v>
      </c>
      <c r="S274" s="3">
        <f>Q274*VLOOKUP(R274,'Ingredient costs'!$A$2:$B$536,2, FALSE)</f>
        <v>1080</v>
      </c>
      <c r="T274" s="5">
        <v>5</v>
      </c>
      <c r="U274" s="6" t="s">
        <v>75</v>
      </c>
      <c r="V274" s="3">
        <f>T274*VLOOKUP(U274,'Ingredient costs'!$A$2:$B$536,2, FALSE)</f>
        <v>665</v>
      </c>
      <c r="W274" s="5">
        <v>1</v>
      </c>
      <c r="X274" s="7" t="s">
        <v>57</v>
      </c>
      <c r="Y274" s="3">
        <f>W274*VLOOKUP(X274,'Ingredient costs'!$A$2:$B$536,2, FALSE)</f>
        <v>2772</v>
      </c>
      <c r="AA274" s="3" t="s">
        <v>23</v>
      </c>
      <c r="AB274" s="3">
        <f>Z274*VLOOKUP(AA274,'Ingredient costs'!$A$2:$B$536,2, FALSE)</f>
        <v>0</v>
      </c>
    </row>
    <row r="275" spans="1:33" ht="15" x14ac:dyDescent="0.25">
      <c r="A275" s="4" t="s">
        <v>392</v>
      </c>
      <c r="B275" s="4" t="s">
        <v>395</v>
      </c>
      <c r="C275" s="4">
        <v>86</v>
      </c>
      <c r="D275" s="4">
        <v>5976</v>
      </c>
      <c r="E275" s="4">
        <f t="shared" si="7"/>
        <v>5184</v>
      </c>
      <c r="F275" s="4">
        <f t="shared" si="8"/>
        <v>792</v>
      </c>
      <c r="G275" s="4">
        <v>80</v>
      </c>
      <c r="H275" s="4">
        <v>45</v>
      </c>
      <c r="I275" s="4">
        <v>38</v>
      </c>
      <c r="J275" s="4">
        <f t="shared" si="9"/>
        <v>105.60000000000001</v>
      </c>
      <c r="K275" s="4">
        <f t="shared" si="10"/>
        <v>125.05263157894736</v>
      </c>
      <c r="L275" s="4">
        <f t="shared" si="11"/>
        <v>106.66666666666666</v>
      </c>
      <c r="M275" s="4">
        <f t="shared" si="12"/>
        <v>126.31578947368421</v>
      </c>
      <c r="N275" s="5">
        <v>1</v>
      </c>
      <c r="O275" s="6" t="s">
        <v>46</v>
      </c>
      <c r="P275" s="3">
        <f>N275*VLOOKUP(O275,'Ingredient costs'!$A$2:$B$536,2, FALSE)</f>
        <v>288</v>
      </c>
      <c r="Q275" s="5">
        <v>1</v>
      </c>
      <c r="R275" s="6" t="s">
        <v>278</v>
      </c>
      <c r="S275" s="3">
        <f>Q275*VLOOKUP(R275,'Ingredient costs'!$A$2:$B$536,2, FALSE)</f>
        <v>1008</v>
      </c>
      <c r="T275" s="5">
        <v>1</v>
      </c>
      <c r="U275" s="6" t="s">
        <v>338</v>
      </c>
      <c r="V275" s="3">
        <f>T275*VLOOKUP(U275,'Ingredient costs'!$A$2:$B$536,2, FALSE)</f>
        <v>1548</v>
      </c>
      <c r="W275" s="5">
        <v>1</v>
      </c>
      <c r="X275" s="7" t="s">
        <v>136</v>
      </c>
      <c r="Y275" s="3">
        <f>W275*VLOOKUP(X275,'Ingredient costs'!$A$2:$B$536,2, FALSE)</f>
        <v>2340</v>
      </c>
      <c r="AA275" s="3" t="s">
        <v>23</v>
      </c>
      <c r="AB275" s="3">
        <f>Z275*VLOOKUP(AA275,'Ingredient costs'!$A$2:$B$536,2, FALSE)</f>
        <v>0</v>
      </c>
    </row>
    <row r="276" spans="1:33" ht="15" x14ac:dyDescent="0.25">
      <c r="A276" s="4" t="s">
        <v>392</v>
      </c>
      <c r="B276" s="4" t="s">
        <v>396</v>
      </c>
      <c r="C276" s="4">
        <v>89</v>
      </c>
      <c r="D276" s="4">
        <v>3060</v>
      </c>
      <c r="E276" s="4">
        <f t="shared" si="7"/>
        <v>2700</v>
      </c>
      <c r="F276" s="4">
        <f t="shared" si="8"/>
        <v>360</v>
      </c>
      <c r="G276" s="4">
        <v>37</v>
      </c>
      <c r="H276" s="4">
        <v>75</v>
      </c>
      <c r="I276" s="4">
        <v>63</v>
      </c>
      <c r="J276" s="4">
        <f t="shared" si="9"/>
        <v>28.799999999999997</v>
      </c>
      <c r="K276" s="4">
        <f t="shared" si="10"/>
        <v>34.285714285714285</v>
      </c>
      <c r="L276" s="4">
        <f t="shared" si="11"/>
        <v>29.6</v>
      </c>
      <c r="M276" s="4">
        <f t="shared" si="12"/>
        <v>35.238095238095241</v>
      </c>
      <c r="N276" s="8">
        <v>3</v>
      </c>
      <c r="O276" s="7" t="s">
        <v>164</v>
      </c>
      <c r="P276" s="3">
        <f>N276*VLOOKUP(O276,'Ingredient costs'!$A$2:$B$536,2, FALSE)</f>
        <v>324</v>
      </c>
      <c r="Q276" s="8">
        <v>3</v>
      </c>
      <c r="R276" s="7" t="s">
        <v>77</v>
      </c>
      <c r="S276" s="3">
        <f>Q276*VLOOKUP(R276,'Ingredient costs'!$A$2:$B$536,2, FALSE)</f>
        <v>1188</v>
      </c>
      <c r="T276" s="8">
        <v>3</v>
      </c>
      <c r="U276" s="7" t="s">
        <v>182</v>
      </c>
      <c r="V276" s="3">
        <f>T276*VLOOKUP(U276,'Ingredient costs'!$A$2:$B$536,2, FALSE)</f>
        <v>648</v>
      </c>
      <c r="W276" s="8">
        <v>3</v>
      </c>
      <c r="X276" s="7" t="s">
        <v>91</v>
      </c>
      <c r="Y276" s="3">
        <f>W276*VLOOKUP(X276,'Ingredient costs'!$A$2:$B$536,2, FALSE)</f>
        <v>540</v>
      </c>
      <c r="AA276" s="3" t="s">
        <v>23</v>
      </c>
      <c r="AB276" s="3">
        <f>Z276*VLOOKUP(AA276,'Ingredient costs'!$A$2:$B$536,2, FALSE)</f>
        <v>0</v>
      </c>
    </row>
    <row r="277" spans="1:33" ht="15" x14ac:dyDescent="0.25">
      <c r="A277" s="9"/>
      <c r="B277" s="9"/>
      <c r="C277" s="9"/>
      <c r="D277" s="9"/>
      <c r="E277" s="9"/>
      <c r="F277" s="9"/>
      <c r="G277" s="9"/>
      <c r="H277" s="10"/>
      <c r="I277" s="9"/>
      <c r="J277" s="11"/>
      <c r="K277" s="11"/>
      <c r="L277" s="11"/>
      <c r="M277" s="11"/>
      <c r="O277" s="3" t="s">
        <v>23</v>
      </c>
      <c r="P277" s="3">
        <f>N277*VLOOKUP(O277,'Ingredient costs'!$A$2:$B$536,2, FALSE)</f>
        <v>0</v>
      </c>
      <c r="R277" s="3" t="s">
        <v>23</v>
      </c>
      <c r="S277" s="3">
        <f>Q277*VLOOKUP(R277,'Ingredient costs'!$A$2:$B$536,2, FALSE)</f>
        <v>0</v>
      </c>
      <c r="U277" s="3" t="s">
        <v>23</v>
      </c>
      <c r="V277" s="3">
        <f>T277*VLOOKUP(U277,'Ingredient costs'!$A$2:$B$536,2, FALSE)</f>
        <v>0</v>
      </c>
      <c r="X277" s="3" t="s">
        <v>23</v>
      </c>
      <c r="Y277" s="3">
        <f>W277*VLOOKUP(X277,'Ingredient costs'!$A$2:$B$536,2, FALSE)</f>
        <v>0</v>
      </c>
      <c r="AA277" s="3" t="s">
        <v>23</v>
      </c>
      <c r="AB277" s="3">
        <f>Z277*VLOOKUP(AA277,'Ingredient costs'!$A$2:$B$536,2, FALSE)</f>
        <v>0</v>
      </c>
    </row>
    <row r="278" spans="1:33" ht="15" x14ac:dyDescent="0.25">
      <c r="A278" s="1" t="s">
        <v>397</v>
      </c>
      <c r="B278" s="1" t="s">
        <v>1</v>
      </c>
      <c r="C278" s="1" t="s">
        <v>2</v>
      </c>
      <c r="D278" s="1" t="s">
        <v>3</v>
      </c>
      <c r="E278" s="1" t="s">
        <v>4</v>
      </c>
      <c r="F278" s="1" t="s">
        <v>5</v>
      </c>
      <c r="G278" s="1" t="s">
        <v>6</v>
      </c>
      <c r="H278" s="1" t="s">
        <v>7</v>
      </c>
      <c r="I278" s="1" t="s">
        <v>8</v>
      </c>
      <c r="J278" s="1" t="s">
        <v>9</v>
      </c>
      <c r="K278" s="1" t="s">
        <v>10</v>
      </c>
      <c r="L278" s="1" t="s">
        <v>11</v>
      </c>
      <c r="M278" s="1" t="s">
        <v>12</v>
      </c>
      <c r="N278" s="2" t="s">
        <v>13</v>
      </c>
      <c r="O278" s="2" t="s">
        <v>14</v>
      </c>
      <c r="P278" s="2" t="s">
        <v>15</v>
      </c>
      <c r="Q278" s="2" t="s">
        <v>13</v>
      </c>
      <c r="R278" s="2" t="s">
        <v>16</v>
      </c>
      <c r="S278" s="2" t="s">
        <v>15</v>
      </c>
      <c r="T278" s="2" t="s">
        <v>13</v>
      </c>
      <c r="U278" s="2" t="s">
        <v>17</v>
      </c>
      <c r="V278" s="2" t="s">
        <v>15</v>
      </c>
      <c r="W278" s="2" t="s">
        <v>13</v>
      </c>
      <c r="X278" s="2" t="s">
        <v>18</v>
      </c>
      <c r="Y278" s="2" t="s">
        <v>15</v>
      </c>
      <c r="Z278" s="2" t="s">
        <v>13</v>
      </c>
      <c r="AA278" s="2" t="s">
        <v>19</v>
      </c>
      <c r="AB278" s="2" t="s">
        <v>15</v>
      </c>
      <c r="AC278" s="2"/>
      <c r="AD278" s="2"/>
      <c r="AE278" s="2"/>
      <c r="AF278" s="2"/>
      <c r="AG278" s="2"/>
    </row>
    <row r="279" spans="1:33" ht="15" x14ac:dyDescent="0.25">
      <c r="A279" s="12" t="s">
        <v>398</v>
      </c>
      <c r="B279" s="12" t="s">
        <v>399</v>
      </c>
      <c r="C279" s="12"/>
      <c r="D279" s="12">
        <v>180</v>
      </c>
      <c r="E279" s="13">
        <f t="shared" ref="E279:E283" si="13">P279+S279+V279+Y279+AB279</f>
        <v>72</v>
      </c>
      <c r="F279" s="13">
        <f t="shared" ref="F279:F283" si="14">D279-E279</f>
        <v>108</v>
      </c>
      <c r="G279" s="12">
        <v>2</v>
      </c>
      <c r="H279" s="13">
        <v>20</v>
      </c>
      <c r="I279" s="12"/>
      <c r="J279" s="13">
        <f t="shared" ref="J279:J283" si="15">F279/H279/10*60</f>
        <v>32.400000000000006</v>
      </c>
      <c r="K279" s="13"/>
      <c r="L279" s="13">
        <f t="shared" ref="L279:L283" si="16">G279/H279*60</f>
        <v>6</v>
      </c>
      <c r="M279" s="13"/>
      <c r="N279" s="14">
        <v>1</v>
      </c>
      <c r="O279" s="14" t="s">
        <v>162</v>
      </c>
      <c r="P279" s="14">
        <f>N279*VLOOKUP(O279,'Ingredient costs'!$A$2:$B$536,2, FALSE)</f>
        <v>72</v>
      </c>
      <c r="Q279" s="14"/>
      <c r="R279" s="14" t="s">
        <v>23</v>
      </c>
      <c r="S279" s="14">
        <f>Q279*VLOOKUP(R279,'Ingredient costs'!$A$2:$B$536,2, FALSE)</f>
        <v>0</v>
      </c>
      <c r="T279" s="14"/>
      <c r="U279" s="14" t="s">
        <v>23</v>
      </c>
      <c r="V279" s="14">
        <f>T279*VLOOKUP(U279,'Ingredient costs'!$A$2:$B$536,2, FALSE)</f>
        <v>0</v>
      </c>
      <c r="W279" s="14"/>
      <c r="X279" s="14" t="s">
        <v>23</v>
      </c>
      <c r="Y279" s="14">
        <f>W279*VLOOKUP(X279,'Ingredient costs'!$A$2:$B$536,2, FALSE)</f>
        <v>0</v>
      </c>
      <c r="Z279" s="14"/>
      <c r="AA279" s="14" t="s">
        <v>23</v>
      </c>
      <c r="AB279" s="14">
        <f>Z279*VLOOKUP(AA279,'Ingredient costs'!$A$2:$B$536,2, FALSE)</f>
        <v>0</v>
      </c>
      <c r="AC279" s="14"/>
      <c r="AD279" s="14"/>
      <c r="AE279" s="14"/>
      <c r="AF279" s="14"/>
      <c r="AG279" s="14"/>
    </row>
    <row r="280" spans="1:33" ht="15" x14ac:dyDescent="0.25">
      <c r="A280" s="12" t="s">
        <v>400</v>
      </c>
      <c r="B280" s="12" t="s">
        <v>95</v>
      </c>
      <c r="C280" s="12"/>
      <c r="D280" s="12">
        <v>324</v>
      </c>
      <c r="E280" s="13">
        <f t="shared" si="13"/>
        <v>144</v>
      </c>
      <c r="F280" s="13">
        <f t="shared" si="14"/>
        <v>180</v>
      </c>
      <c r="G280" s="12">
        <v>3</v>
      </c>
      <c r="H280" s="13">
        <v>60</v>
      </c>
      <c r="I280" s="12"/>
      <c r="J280" s="13">
        <f t="shared" si="15"/>
        <v>18</v>
      </c>
      <c r="K280" s="13"/>
      <c r="L280" s="13">
        <f t="shared" si="16"/>
        <v>3</v>
      </c>
      <c r="M280" s="13"/>
      <c r="N280" s="14">
        <v>1</v>
      </c>
      <c r="O280" s="14" t="s">
        <v>163</v>
      </c>
      <c r="P280" s="14">
        <f>N280*VLOOKUP(O280,'Ingredient costs'!$A$2:$B$536,2, FALSE)</f>
        <v>144</v>
      </c>
      <c r="Q280" s="14"/>
      <c r="R280" s="14" t="s">
        <v>23</v>
      </c>
      <c r="S280" s="14">
        <f>Q280*VLOOKUP(R280,'Ingredient costs'!$A$2:$B$536,2, FALSE)</f>
        <v>0</v>
      </c>
      <c r="T280" s="14"/>
      <c r="U280" s="14" t="s">
        <v>23</v>
      </c>
      <c r="V280" s="14">
        <f>T280*VLOOKUP(U280,'Ingredient costs'!$A$2:$B$536,2, FALSE)</f>
        <v>0</v>
      </c>
      <c r="W280" s="14"/>
      <c r="X280" s="14" t="s">
        <v>23</v>
      </c>
      <c r="Y280" s="14">
        <f>W280*VLOOKUP(X280,'Ingredient costs'!$A$2:$B$536,2, FALSE)</f>
        <v>0</v>
      </c>
      <c r="Z280" s="14"/>
      <c r="AA280" s="14" t="s">
        <v>23</v>
      </c>
      <c r="AB280" s="14">
        <f>Z280*VLOOKUP(AA280,'Ingredient costs'!$A$2:$B$536,2, FALSE)</f>
        <v>0</v>
      </c>
      <c r="AC280" s="14"/>
      <c r="AD280" s="14"/>
      <c r="AE280" s="14"/>
      <c r="AF280" s="14"/>
      <c r="AG280" s="14"/>
    </row>
    <row r="281" spans="1:33" ht="15" x14ac:dyDescent="0.25">
      <c r="A281" s="12" t="s">
        <v>401</v>
      </c>
      <c r="B281" s="12" t="s">
        <v>66</v>
      </c>
      <c r="C281" s="12"/>
      <c r="D281" s="12">
        <v>504</v>
      </c>
      <c r="E281" s="13">
        <f t="shared" si="13"/>
        <v>144</v>
      </c>
      <c r="F281" s="13">
        <f t="shared" si="14"/>
        <v>360</v>
      </c>
      <c r="G281" s="12">
        <v>5</v>
      </c>
      <c r="H281" s="13">
        <v>240</v>
      </c>
      <c r="I281" s="12"/>
      <c r="J281" s="13">
        <f t="shared" si="15"/>
        <v>9</v>
      </c>
      <c r="K281" s="13"/>
      <c r="L281" s="13">
        <f t="shared" si="16"/>
        <v>1.25</v>
      </c>
      <c r="M281" s="13"/>
      <c r="N281" s="14">
        <v>1</v>
      </c>
      <c r="O281" s="14" t="s">
        <v>165</v>
      </c>
      <c r="P281" s="14">
        <f>N281*VLOOKUP(O281,'Ingredient costs'!$A$2:$B$536,2, FALSE)</f>
        <v>144</v>
      </c>
      <c r="Q281" s="14"/>
      <c r="R281" s="14" t="s">
        <v>23</v>
      </c>
      <c r="S281" s="14">
        <f>Q281*VLOOKUP(R281,'Ingredient costs'!$A$2:$B$536,2, FALSE)</f>
        <v>0</v>
      </c>
      <c r="T281" s="14"/>
      <c r="U281" s="14" t="s">
        <v>23</v>
      </c>
      <c r="V281" s="14">
        <f>T281*VLOOKUP(U281,'Ingredient costs'!$A$2:$B$536,2, FALSE)</f>
        <v>0</v>
      </c>
      <c r="W281" s="14"/>
      <c r="X281" s="14" t="s">
        <v>23</v>
      </c>
      <c r="Y281" s="14">
        <f>W281*VLOOKUP(X281,'Ingredient costs'!$A$2:$B$536,2, FALSE)</f>
        <v>0</v>
      </c>
      <c r="Z281" s="14"/>
      <c r="AA281" s="14" t="s">
        <v>23</v>
      </c>
      <c r="AB281" s="14">
        <f>Z281*VLOOKUP(AA281,'Ingredient costs'!$A$2:$B$536,2, FALSE)</f>
        <v>0</v>
      </c>
      <c r="AC281" s="14"/>
      <c r="AD281" s="14"/>
      <c r="AE281" s="14"/>
      <c r="AF281" s="14"/>
      <c r="AG281" s="14"/>
    </row>
    <row r="282" spans="1:33" ht="15" x14ac:dyDescent="0.25">
      <c r="A282" s="12" t="s">
        <v>402</v>
      </c>
      <c r="B282" s="12" t="s">
        <v>189</v>
      </c>
      <c r="C282" s="12"/>
      <c r="D282" s="12">
        <v>540</v>
      </c>
      <c r="E282" s="13">
        <f t="shared" si="13"/>
        <v>144</v>
      </c>
      <c r="F282" s="13">
        <f t="shared" si="14"/>
        <v>396</v>
      </c>
      <c r="G282" s="12"/>
      <c r="H282" s="13">
        <v>360</v>
      </c>
      <c r="I282" s="12"/>
      <c r="J282" s="13">
        <f t="shared" si="15"/>
        <v>6.6000000000000005</v>
      </c>
      <c r="K282" s="13"/>
      <c r="L282" s="13">
        <f t="shared" si="16"/>
        <v>0</v>
      </c>
      <c r="M282" s="13"/>
      <c r="N282" s="14">
        <v>1</v>
      </c>
      <c r="O282" s="14" t="s">
        <v>166</v>
      </c>
      <c r="P282" s="14">
        <f>N282*VLOOKUP(O282,'Ingredient costs'!$A$2:$B$536,2, FALSE)</f>
        <v>144</v>
      </c>
      <c r="Q282" s="14"/>
      <c r="R282" s="14" t="s">
        <v>23</v>
      </c>
      <c r="S282" s="14">
        <f>Q282*VLOOKUP(R282,'Ingredient costs'!$A$2:$B$536,2, FALSE)</f>
        <v>0</v>
      </c>
      <c r="T282" s="14"/>
      <c r="U282" s="14" t="s">
        <v>23</v>
      </c>
      <c r="V282" s="14">
        <f>T282*VLOOKUP(U282,'Ingredient costs'!$A$2:$B$536,2, FALSE)</f>
        <v>0</v>
      </c>
      <c r="W282" s="14"/>
      <c r="X282" s="14" t="s">
        <v>23</v>
      </c>
      <c r="Y282" s="14">
        <f>W282*VLOOKUP(X282,'Ingredient costs'!$A$2:$B$536,2, FALSE)</f>
        <v>0</v>
      </c>
      <c r="Z282" s="14"/>
      <c r="AA282" s="14" t="s">
        <v>23</v>
      </c>
      <c r="AB282" s="14">
        <f>Z282*VLOOKUP(AA282,'Ingredient costs'!$A$2:$B$536,2, FALSE)</f>
        <v>0</v>
      </c>
      <c r="AC282" s="14"/>
      <c r="AD282" s="14"/>
      <c r="AE282" s="14"/>
      <c r="AF282" s="14"/>
      <c r="AG282" s="14"/>
    </row>
    <row r="283" spans="1:33" ht="15" x14ac:dyDescent="0.25">
      <c r="A283" s="12" t="s">
        <v>403</v>
      </c>
      <c r="B283" s="12" t="s">
        <v>404</v>
      </c>
      <c r="C283" s="12"/>
      <c r="D283" s="12">
        <v>540</v>
      </c>
      <c r="E283" s="13">
        <f t="shared" si="13"/>
        <v>144</v>
      </c>
      <c r="F283" s="13">
        <f t="shared" si="14"/>
        <v>396</v>
      </c>
      <c r="G283" s="12"/>
      <c r="H283" s="13">
        <v>360</v>
      </c>
      <c r="I283" s="12"/>
      <c r="J283" s="13">
        <f t="shared" si="15"/>
        <v>6.6000000000000005</v>
      </c>
      <c r="K283" s="13"/>
      <c r="L283" s="13">
        <f t="shared" si="16"/>
        <v>0</v>
      </c>
      <c r="M283" s="13"/>
      <c r="N283" s="14">
        <v>1</v>
      </c>
      <c r="O283" s="14" t="s">
        <v>167</v>
      </c>
      <c r="P283" s="14">
        <f>N283*VLOOKUP(O283,'Ingredient costs'!$A$2:$B$536,2, FALSE)</f>
        <v>144</v>
      </c>
      <c r="Q283" s="14"/>
      <c r="R283" s="14" t="s">
        <v>23</v>
      </c>
      <c r="S283" s="14">
        <f>Q283*VLOOKUP(R283,'Ingredient costs'!$A$2:$B$536,2, FALSE)</f>
        <v>0</v>
      </c>
      <c r="T283" s="14"/>
      <c r="U283" s="14" t="s">
        <v>23</v>
      </c>
      <c r="V283" s="14">
        <f>T283*VLOOKUP(U283,'Ingredient costs'!$A$2:$B$536,2, FALSE)</f>
        <v>0</v>
      </c>
      <c r="W283" s="14"/>
      <c r="X283" s="14" t="s">
        <v>23</v>
      </c>
      <c r="Y283" s="14">
        <f>W283*VLOOKUP(X283,'Ingredient costs'!$A$2:$B$536,2, FALSE)</f>
        <v>0</v>
      </c>
      <c r="Z283" s="14"/>
      <c r="AA283" s="14" t="s">
        <v>23</v>
      </c>
      <c r="AB283" s="14">
        <f>Z283*VLOOKUP(AA283,'Ingredient costs'!$A$2:$B$536,2, FALSE)</f>
        <v>0</v>
      </c>
      <c r="AC283" s="14"/>
      <c r="AD283" s="14"/>
      <c r="AE283" s="14"/>
      <c r="AF283" s="14"/>
      <c r="AG283" s="14"/>
    </row>
    <row r="284" spans="1:33" ht="15" x14ac:dyDescent="0.25">
      <c r="A284" s="1" t="s">
        <v>405</v>
      </c>
      <c r="B284" s="1" t="s">
        <v>1</v>
      </c>
      <c r="C284" s="1" t="s">
        <v>2</v>
      </c>
      <c r="D284" s="1" t="s">
        <v>3</v>
      </c>
      <c r="E284" s="1" t="s">
        <v>4</v>
      </c>
      <c r="F284" s="1" t="s">
        <v>5</v>
      </c>
      <c r="G284" s="1" t="s">
        <v>6</v>
      </c>
      <c r="H284" s="1" t="s">
        <v>7</v>
      </c>
      <c r="I284" s="1" t="s">
        <v>8</v>
      </c>
      <c r="J284" s="1" t="s">
        <v>9</v>
      </c>
      <c r="K284" s="1" t="s">
        <v>10</v>
      </c>
      <c r="L284" s="1" t="s">
        <v>11</v>
      </c>
      <c r="M284" s="1" t="s">
        <v>12</v>
      </c>
      <c r="N284" s="2" t="s">
        <v>13</v>
      </c>
      <c r="O284" s="2" t="s">
        <v>14</v>
      </c>
      <c r="P284" s="2" t="s">
        <v>15</v>
      </c>
      <c r="Q284" s="2" t="s">
        <v>13</v>
      </c>
      <c r="R284" s="2" t="s">
        <v>16</v>
      </c>
      <c r="S284" s="2" t="s">
        <v>15</v>
      </c>
      <c r="T284" s="2" t="s">
        <v>13</v>
      </c>
      <c r="U284" s="2" t="s">
        <v>17</v>
      </c>
      <c r="V284" s="2" t="s">
        <v>15</v>
      </c>
      <c r="W284" s="2" t="s">
        <v>13</v>
      </c>
      <c r="X284" s="2" t="s">
        <v>18</v>
      </c>
      <c r="Y284" s="2" t="s">
        <v>15</v>
      </c>
      <c r="Z284" s="2" t="s">
        <v>13</v>
      </c>
      <c r="AA284" s="2" t="s">
        <v>19</v>
      </c>
      <c r="AB284" s="2" t="s">
        <v>15</v>
      </c>
      <c r="AC284" s="2"/>
      <c r="AD284" s="2"/>
      <c r="AE284" s="2"/>
      <c r="AF284" s="2"/>
      <c r="AG284" s="2"/>
    </row>
    <row r="285" spans="1:33" ht="15" x14ac:dyDescent="0.25">
      <c r="A285" s="12" t="s">
        <v>398</v>
      </c>
      <c r="B285" s="12" t="s">
        <v>399</v>
      </c>
      <c r="C285" s="12"/>
      <c r="D285" s="12">
        <v>180</v>
      </c>
      <c r="E285" s="13">
        <f t="shared" ref="E285:E289" si="17">P285+S285+V285+Y285+AB285</f>
        <v>48</v>
      </c>
      <c r="F285" s="13">
        <f t="shared" ref="F285:F289" si="18">D285-E285</f>
        <v>132</v>
      </c>
      <c r="G285" s="12">
        <v>2</v>
      </c>
      <c r="H285" s="13">
        <v>20</v>
      </c>
      <c r="I285" s="12"/>
      <c r="J285" s="13">
        <f t="shared" ref="J285:J289" si="19">F285/H285/10*60</f>
        <v>39.599999999999994</v>
      </c>
      <c r="K285" s="13"/>
      <c r="L285" s="13">
        <f t="shared" ref="L285:L289" si="20">G285/H285*60</f>
        <v>6</v>
      </c>
      <c r="M285" s="13"/>
      <c r="N285" s="14">
        <f>2/3</f>
        <v>0.66666666666666663</v>
      </c>
      <c r="O285" s="14" t="s">
        <v>22</v>
      </c>
      <c r="P285" s="3">
        <f>N285*VLOOKUP(O285,'Ingredient costs'!$A$2:$B$536,2, FALSE)</f>
        <v>24</v>
      </c>
      <c r="Q285" s="14">
        <f>1/3</f>
        <v>0.33333333333333331</v>
      </c>
      <c r="R285" s="14" t="s">
        <v>25</v>
      </c>
      <c r="S285" s="14">
        <f>Q285*VLOOKUP(R285,'Ingredient costs'!$A$2:$B$536,2, FALSE)</f>
        <v>24</v>
      </c>
      <c r="T285" s="14"/>
      <c r="U285" s="14" t="s">
        <v>23</v>
      </c>
      <c r="V285" s="14">
        <f>T285*VLOOKUP(U285,'Ingredient costs'!$A$2:$B$536,2, FALSE)</f>
        <v>0</v>
      </c>
      <c r="W285" s="14"/>
      <c r="X285" s="14" t="s">
        <v>23</v>
      </c>
      <c r="Y285" s="14">
        <f>W285*VLOOKUP(X285,'Ingredient costs'!$A$2:$B$536,2, FALSE)</f>
        <v>0</v>
      </c>
      <c r="Z285" s="14"/>
      <c r="AA285" s="14" t="s">
        <v>23</v>
      </c>
      <c r="AB285" s="14">
        <f>Z285*VLOOKUP(AA285,'Ingredient costs'!$A$2:$B$536,2, FALSE)</f>
        <v>0</v>
      </c>
      <c r="AC285" s="14"/>
      <c r="AD285" s="14"/>
      <c r="AE285" s="14"/>
      <c r="AF285" s="14"/>
      <c r="AG285" s="14"/>
    </row>
    <row r="286" spans="1:33" ht="15" x14ac:dyDescent="0.25">
      <c r="A286" s="12" t="s">
        <v>400</v>
      </c>
      <c r="B286" s="12" t="s">
        <v>95</v>
      </c>
      <c r="C286" s="12"/>
      <c r="D286" s="12">
        <v>324</v>
      </c>
      <c r="E286" s="13">
        <f t="shared" si="17"/>
        <v>96</v>
      </c>
      <c r="F286" s="13">
        <f t="shared" si="18"/>
        <v>228</v>
      </c>
      <c r="G286" s="12">
        <v>3</v>
      </c>
      <c r="H286" s="13">
        <v>60</v>
      </c>
      <c r="I286" s="12"/>
      <c r="J286" s="13">
        <f t="shared" si="19"/>
        <v>22.8</v>
      </c>
      <c r="K286" s="13"/>
      <c r="L286" s="13">
        <f t="shared" si="20"/>
        <v>3</v>
      </c>
      <c r="M286" s="13"/>
      <c r="N286" s="14">
        <f>1/3</f>
        <v>0.33333333333333331</v>
      </c>
      <c r="O286" s="14" t="s">
        <v>25</v>
      </c>
      <c r="P286" s="14">
        <f>N286*VLOOKUP(O286,'Ingredient costs'!$A$2:$B$536,2, FALSE)</f>
        <v>24</v>
      </c>
      <c r="Q286" s="14">
        <f>2/3</f>
        <v>0.66666666666666663</v>
      </c>
      <c r="R286" s="14" t="s">
        <v>164</v>
      </c>
      <c r="S286" s="14">
        <f>Q286*VLOOKUP(R286,'Ingredient costs'!$A$2:$B$536,2, FALSE)</f>
        <v>72</v>
      </c>
      <c r="T286" s="14"/>
      <c r="U286" s="14" t="s">
        <v>23</v>
      </c>
      <c r="V286" s="14">
        <f>T286*VLOOKUP(U286,'Ingredient costs'!$A$2:$B$536,2, FALSE)</f>
        <v>0</v>
      </c>
      <c r="W286" s="14"/>
      <c r="X286" s="14" t="s">
        <v>23</v>
      </c>
      <c r="Y286" s="14">
        <f>W286*VLOOKUP(X286,'Ingredient costs'!$A$2:$B$536,2, FALSE)</f>
        <v>0</v>
      </c>
      <c r="Z286" s="14"/>
      <c r="AA286" s="14" t="s">
        <v>23</v>
      </c>
      <c r="AB286" s="14">
        <f>Z286*VLOOKUP(AA286,'Ingredient costs'!$A$2:$B$536,2, FALSE)</f>
        <v>0</v>
      </c>
      <c r="AC286" s="14"/>
      <c r="AD286" s="14"/>
      <c r="AE286" s="14"/>
      <c r="AF286" s="14"/>
      <c r="AG286" s="14"/>
    </row>
    <row r="287" spans="1:33" ht="15" x14ac:dyDescent="0.25">
      <c r="A287" s="12" t="s">
        <v>401</v>
      </c>
      <c r="B287" s="12" t="s">
        <v>66</v>
      </c>
      <c r="C287" s="12"/>
      <c r="D287" s="12">
        <v>504</v>
      </c>
      <c r="E287" s="13">
        <f t="shared" si="17"/>
        <v>84</v>
      </c>
      <c r="F287" s="13">
        <f t="shared" si="18"/>
        <v>420</v>
      </c>
      <c r="G287" s="12">
        <v>5</v>
      </c>
      <c r="H287" s="13">
        <v>240</v>
      </c>
      <c r="I287" s="12"/>
      <c r="J287" s="13">
        <f t="shared" si="19"/>
        <v>10.5</v>
      </c>
      <c r="K287" s="13"/>
      <c r="L287" s="13">
        <f t="shared" si="20"/>
        <v>1.25</v>
      </c>
      <c r="M287" s="13"/>
      <c r="N287" s="14">
        <f>2/3</f>
        <v>0.66666666666666663</v>
      </c>
      <c r="O287" s="14" t="s">
        <v>80</v>
      </c>
      <c r="P287" s="14">
        <f>N287*VLOOKUP(O287,'Ingredient costs'!$A$2:$B$536,2, FALSE)</f>
        <v>48</v>
      </c>
      <c r="Q287" s="14">
        <f t="shared" ref="Q287:Q289" si="21">1/3</f>
        <v>0.33333333333333331</v>
      </c>
      <c r="R287" s="14" t="s">
        <v>164</v>
      </c>
      <c r="S287" s="14">
        <f>Q287*VLOOKUP(R287,'Ingredient costs'!$A$2:$B$536,2, FALSE)</f>
        <v>36</v>
      </c>
      <c r="T287" s="14"/>
      <c r="U287" s="14" t="s">
        <v>23</v>
      </c>
      <c r="V287" s="14">
        <f>T287*VLOOKUP(U287,'Ingredient costs'!$A$2:$B$536,2, FALSE)</f>
        <v>0</v>
      </c>
      <c r="W287" s="14"/>
      <c r="X287" s="14" t="s">
        <v>23</v>
      </c>
      <c r="Y287" s="14">
        <f>W287*VLOOKUP(X287,'Ingredient costs'!$A$2:$B$536,2, FALSE)</f>
        <v>0</v>
      </c>
      <c r="Z287" s="14"/>
      <c r="AA287" s="14" t="s">
        <v>23</v>
      </c>
      <c r="AB287" s="14">
        <f>Z287*VLOOKUP(AA287,'Ingredient costs'!$A$2:$B$536,2, FALSE)</f>
        <v>0</v>
      </c>
      <c r="AC287" s="14"/>
      <c r="AD287" s="14"/>
      <c r="AE287" s="14"/>
      <c r="AF287" s="14"/>
      <c r="AG287" s="14"/>
    </row>
    <row r="288" spans="1:33" ht="15" x14ac:dyDescent="0.25">
      <c r="A288" s="12" t="s">
        <v>402</v>
      </c>
      <c r="B288" s="12" t="s">
        <v>189</v>
      </c>
      <c r="C288" s="12"/>
      <c r="D288" s="12">
        <v>540</v>
      </c>
      <c r="E288" s="13">
        <f t="shared" si="17"/>
        <v>72</v>
      </c>
      <c r="F288" s="13">
        <f t="shared" si="18"/>
        <v>468</v>
      </c>
      <c r="G288" s="12"/>
      <c r="H288" s="13">
        <v>360</v>
      </c>
      <c r="I288" s="12"/>
      <c r="J288" s="13">
        <f t="shared" si="19"/>
        <v>7.8000000000000007</v>
      </c>
      <c r="K288" s="13"/>
      <c r="L288" s="13">
        <f t="shared" si="20"/>
        <v>0</v>
      </c>
      <c r="M288" s="13"/>
      <c r="N288" s="14">
        <v>1</v>
      </c>
      <c r="O288" s="14" t="s">
        <v>22</v>
      </c>
      <c r="P288" s="14">
        <f>N288*VLOOKUP(O288,'Ingredient costs'!$A$2:$B$536,2, FALSE)</f>
        <v>36</v>
      </c>
      <c r="Q288" s="14">
        <f t="shared" si="21"/>
        <v>0.33333333333333331</v>
      </c>
      <c r="R288" s="14" t="s">
        <v>164</v>
      </c>
      <c r="S288" s="14">
        <f>Q288*VLOOKUP(R288,'Ingredient costs'!$A$2:$B$536,2, FALSE)</f>
        <v>36</v>
      </c>
      <c r="T288" s="14"/>
      <c r="U288" s="14" t="s">
        <v>23</v>
      </c>
      <c r="V288" s="14">
        <f>T288*VLOOKUP(U288,'Ingredient costs'!$A$2:$B$536,2, FALSE)</f>
        <v>0</v>
      </c>
      <c r="W288" s="14"/>
      <c r="X288" s="14" t="s">
        <v>23</v>
      </c>
      <c r="Y288" s="14">
        <f>W288*VLOOKUP(X288,'Ingredient costs'!$A$2:$B$536,2, FALSE)</f>
        <v>0</v>
      </c>
      <c r="Z288" s="14"/>
      <c r="AA288" s="14" t="s">
        <v>23</v>
      </c>
      <c r="AB288" s="14">
        <f>Z288*VLOOKUP(AA288,'Ingredient costs'!$A$2:$B$536,2, FALSE)</f>
        <v>0</v>
      </c>
      <c r="AC288" s="14"/>
      <c r="AD288" s="14"/>
      <c r="AE288" s="14"/>
      <c r="AF288" s="14"/>
      <c r="AG288" s="14"/>
    </row>
    <row r="289" spans="1:33" ht="15" x14ac:dyDescent="0.25">
      <c r="A289" s="12" t="s">
        <v>403</v>
      </c>
      <c r="B289" s="12" t="s">
        <v>404</v>
      </c>
      <c r="C289" s="15"/>
      <c r="D289" s="12">
        <v>540</v>
      </c>
      <c r="E289" s="13">
        <f t="shared" si="17"/>
        <v>84</v>
      </c>
      <c r="F289" s="13">
        <f t="shared" si="18"/>
        <v>456</v>
      </c>
      <c r="G289" s="15"/>
      <c r="H289" s="13">
        <v>360</v>
      </c>
      <c r="I289" s="15"/>
      <c r="J289" s="13">
        <f t="shared" si="19"/>
        <v>7.5999999999999988</v>
      </c>
      <c r="K289" s="13"/>
      <c r="L289" s="13">
        <f t="shared" si="20"/>
        <v>0</v>
      </c>
      <c r="M289" s="13"/>
      <c r="N289" s="14">
        <f>1/3</f>
        <v>0.33333333333333331</v>
      </c>
      <c r="O289" s="14" t="s">
        <v>22</v>
      </c>
      <c r="P289" s="14">
        <f>N289*VLOOKUP(O289,'Ingredient costs'!$A$2:$B$536,2, FALSE)</f>
        <v>12</v>
      </c>
      <c r="Q289" s="14">
        <f t="shared" si="21"/>
        <v>0.33333333333333331</v>
      </c>
      <c r="R289" s="14" t="s">
        <v>25</v>
      </c>
      <c r="S289" s="14">
        <f>Q289*VLOOKUP(R289,'Ingredient costs'!$A$2:$B$536,2, FALSE)</f>
        <v>24</v>
      </c>
      <c r="T289" s="14">
        <f>2/3</f>
        <v>0.66666666666666663</v>
      </c>
      <c r="U289" s="14" t="s">
        <v>80</v>
      </c>
      <c r="V289" s="14">
        <f>T289*VLOOKUP(U289,'Ingredient costs'!$A$2:$B$536,2, FALSE)</f>
        <v>48</v>
      </c>
      <c r="W289" s="14"/>
      <c r="X289" s="14" t="s">
        <v>23</v>
      </c>
      <c r="Y289" s="14">
        <f>W289*VLOOKUP(X289,'Ingredient costs'!$A$2:$B$536,2, FALSE)</f>
        <v>0</v>
      </c>
      <c r="Z289" s="14"/>
      <c r="AA289" s="14" t="s">
        <v>23</v>
      </c>
      <c r="AB289" s="14">
        <f>Z289*VLOOKUP(AA289,'Ingredient costs'!$A$2:$B$536,2, FALSE)</f>
        <v>0</v>
      </c>
      <c r="AC289" s="14"/>
      <c r="AD289" s="14"/>
      <c r="AE289" s="14"/>
      <c r="AF289" s="14"/>
      <c r="AG289" s="14"/>
    </row>
    <row r="290" spans="1:33" ht="15" x14ac:dyDescent="0.25">
      <c r="A290" s="9"/>
      <c r="B290" s="9"/>
      <c r="C290" s="9"/>
      <c r="D290" s="9"/>
      <c r="E290" s="9"/>
      <c r="F290" s="9"/>
      <c r="G290" s="9"/>
      <c r="H290" s="10"/>
      <c r="I290" s="9"/>
      <c r="J290" s="13"/>
      <c r="K290" s="13"/>
      <c r="L290" s="13"/>
      <c r="M290" s="13"/>
      <c r="O290" s="3" t="s">
        <v>23</v>
      </c>
      <c r="P290" s="3">
        <f>N290*VLOOKUP(O290,'Ingredient costs'!$A$2:$B$536,2, FALSE)</f>
        <v>0</v>
      </c>
      <c r="R290" s="3" t="s">
        <v>23</v>
      </c>
      <c r="S290" s="3">
        <f>Q290*VLOOKUP(R290,'Ingredient costs'!$A$2:$B$536,2, FALSE)</f>
        <v>0</v>
      </c>
      <c r="U290" s="3" t="s">
        <v>23</v>
      </c>
      <c r="V290" s="3">
        <f>T290*VLOOKUP(U290,'Ingredient costs'!$A$2:$B$536,2, FALSE)</f>
        <v>0</v>
      </c>
      <c r="X290" s="3" t="s">
        <v>23</v>
      </c>
      <c r="Y290" s="3">
        <f>W290*VLOOKUP(X290,'Ingredient costs'!$A$2:$B$536,2, FALSE)</f>
        <v>0</v>
      </c>
      <c r="AA290" s="3" t="s">
        <v>23</v>
      </c>
      <c r="AB290" s="3">
        <f>Z290*VLOOKUP(AA290,'Ingredient costs'!$A$2:$B$536,2, FALSE)</f>
        <v>0</v>
      </c>
    </row>
    <row r="291" spans="1:33" ht="15" x14ac:dyDescent="0.25">
      <c r="A291" s="9"/>
      <c r="B291" s="9"/>
      <c r="C291" s="9"/>
      <c r="D291" s="9"/>
      <c r="E291" s="9"/>
      <c r="F291" s="9"/>
      <c r="G291" s="9"/>
      <c r="H291" s="10"/>
      <c r="I291" s="9"/>
      <c r="J291" s="13"/>
      <c r="K291" s="13"/>
      <c r="L291" s="13"/>
      <c r="M291" s="13"/>
      <c r="O291" s="3" t="s">
        <v>23</v>
      </c>
      <c r="P291" s="3">
        <f>N291*VLOOKUP(O291,'Ingredient costs'!$A$2:$B$536,2, FALSE)</f>
        <v>0</v>
      </c>
      <c r="R291" s="3" t="s">
        <v>23</v>
      </c>
      <c r="S291" s="3">
        <f>Q291*VLOOKUP(R291,'Ingredient costs'!$A$2:$B$536,2, FALSE)</f>
        <v>0</v>
      </c>
      <c r="U291" s="3" t="s">
        <v>23</v>
      </c>
      <c r="V291" s="3">
        <f>T291*VLOOKUP(U291,'Ingredient costs'!$A$2:$B$536,2, FALSE)</f>
        <v>0</v>
      </c>
      <c r="X291" s="3" t="s">
        <v>23</v>
      </c>
      <c r="Y291" s="3">
        <f>W291*VLOOKUP(X291,'Ingredient costs'!$A$2:$B$536,2, FALSE)</f>
        <v>0</v>
      </c>
      <c r="AA291" s="3" t="s">
        <v>23</v>
      </c>
      <c r="AB291" s="3">
        <f>Z291*VLOOKUP(AA291,'Ingredient costs'!$A$2:$B$536,2, FALSE)</f>
        <v>0</v>
      </c>
    </row>
    <row r="292" spans="1:33" ht="15" x14ac:dyDescent="0.25">
      <c r="A292" s="9"/>
      <c r="B292" s="9"/>
      <c r="C292" s="9"/>
      <c r="D292" s="9"/>
      <c r="E292" s="9"/>
      <c r="F292" s="9"/>
      <c r="G292" s="9"/>
      <c r="H292" s="10"/>
      <c r="I292" s="9"/>
      <c r="J292" s="13"/>
      <c r="K292" s="13"/>
      <c r="L292" s="13"/>
      <c r="M292" s="13"/>
      <c r="O292" s="3" t="s">
        <v>23</v>
      </c>
      <c r="P292" s="3">
        <f>N292*VLOOKUP(O292,'Ingredient costs'!$A$2:$B$536,2, FALSE)</f>
        <v>0</v>
      </c>
      <c r="R292" s="3" t="s">
        <v>23</v>
      </c>
      <c r="S292" s="3">
        <f>Q292*VLOOKUP(R292,'Ingredient costs'!$A$2:$B$536,2, FALSE)</f>
        <v>0</v>
      </c>
      <c r="U292" s="3" t="s">
        <v>23</v>
      </c>
      <c r="V292" s="3">
        <f>T292*VLOOKUP(U292,'Ingredient costs'!$A$2:$B$536,2, FALSE)</f>
        <v>0</v>
      </c>
      <c r="X292" s="3" t="s">
        <v>23</v>
      </c>
      <c r="Y292" s="3">
        <f>W292*VLOOKUP(X292,'Ingredient costs'!$A$2:$B$536,2, FALSE)</f>
        <v>0</v>
      </c>
      <c r="AA292" s="3" t="s">
        <v>23</v>
      </c>
      <c r="AB292" s="3">
        <f>Z292*VLOOKUP(AA292,'Ingredient costs'!$A$2:$B$536,2, FALSE)</f>
        <v>0</v>
      </c>
    </row>
    <row r="293" spans="1:33" ht="15" x14ac:dyDescent="0.25">
      <c r="A293" s="9"/>
      <c r="B293" s="9"/>
      <c r="C293" s="9"/>
      <c r="D293" s="9"/>
      <c r="E293" s="9"/>
      <c r="F293" s="9"/>
      <c r="G293" s="9"/>
      <c r="H293" s="10"/>
      <c r="I293" s="9"/>
      <c r="J293" s="13"/>
      <c r="K293" s="13"/>
      <c r="L293" s="13"/>
      <c r="M293" s="13"/>
      <c r="O293" s="3" t="s">
        <v>23</v>
      </c>
      <c r="P293" s="3">
        <f>N293*VLOOKUP(O293,'Ingredient costs'!$A$2:$B$536,2, FALSE)</f>
        <v>0</v>
      </c>
      <c r="R293" s="3" t="s">
        <v>23</v>
      </c>
      <c r="S293" s="3">
        <f>Q293*VLOOKUP(R293,'Ingredient costs'!$A$2:$B$536,2, FALSE)</f>
        <v>0</v>
      </c>
      <c r="U293" s="3" t="s">
        <v>23</v>
      </c>
      <c r="V293" s="3">
        <f>T293*VLOOKUP(U293,'Ingredient costs'!$A$2:$B$536,2, FALSE)</f>
        <v>0</v>
      </c>
      <c r="X293" s="3" t="s">
        <v>23</v>
      </c>
      <c r="Y293" s="3">
        <f>W293*VLOOKUP(X293,'Ingredient costs'!$A$2:$B$536,2, FALSE)</f>
        <v>0</v>
      </c>
      <c r="AA293" s="3" t="s">
        <v>23</v>
      </c>
      <c r="AB293" s="3">
        <f>Z293*VLOOKUP(AA293,'Ingredient costs'!$A$2:$B$536,2, FALSE)</f>
        <v>0</v>
      </c>
    </row>
    <row r="294" spans="1:33" ht="15" x14ac:dyDescent="0.25">
      <c r="A294" s="9"/>
      <c r="B294" s="9"/>
      <c r="C294" s="9"/>
      <c r="D294" s="9"/>
      <c r="E294" s="9"/>
      <c r="F294" s="9"/>
      <c r="G294" s="9"/>
      <c r="H294" s="10"/>
      <c r="I294" s="9"/>
      <c r="J294" s="13"/>
      <c r="K294" s="13"/>
      <c r="L294" s="13"/>
      <c r="M294" s="13"/>
      <c r="O294" s="3" t="s">
        <v>23</v>
      </c>
      <c r="P294" s="3">
        <f>N294*VLOOKUP(O294,'Ingredient costs'!$A$2:$B$536,2, FALSE)</f>
        <v>0</v>
      </c>
      <c r="R294" s="3" t="s">
        <v>23</v>
      </c>
      <c r="S294" s="3">
        <f>Q294*VLOOKUP(R294,'Ingredient costs'!$A$2:$B$536,2, FALSE)</f>
        <v>0</v>
      </c>
      <c r="U294" s="3" t="s">
        <v>23</v>
      </c>
      <c r="V294" s="3">
        <f>T294*VLOOKUP(U294,'Ingredient costs'!$A$2:$B$536,2, FALSE)</f>
        <v>0</v>
      </c>
      <c r="X294" s="3" t="s">
        <v>23</v>
      </c>
      <c r="Y294" s="3">
        <f>W294*VLOOKUP(X294,'Ingredient costs'!$A$2:$B$536,2, FALSE)</f>
        <v>0</v>
      </c>
      <c r="AA294" s="3" t="s">
        <v>23</v>
      </c>
      <c r="AB294" s="3">
        <f>Z294*VLOOKUP(AA294,'Ingredient costs'!$A$2:$B$536,2, FALSE)</f>
        <v>0</v>
      </c>
    </row>
    <row r="295" spans="1:33" ht="15" x14ac:dyDescent="0.25">
      <c r="A295" s="9"/>
      <c r="B295" s="9"/>
      <c r="C295" s="9"/>
      <c r="D295" s="9"/>
      <c r="E295" s="9"/>
      <c r="F295" s="9"/>
      <c r="G295" s="9"/>
      <c r="H295" s="10"/>
      <c r="I295" s="9"/>
      <c r="J295" s="13"/>
      <c r="K295" s="13"/>
      <c r="L295" s="13"/>
      <c r="M295" s="13"/>
      <c r="O295" s="3" t="s">
        <v>23</v>
      </c>
      <c r="P295" s="3">
        <f>N295*VLOOKUP(O295,'Ingredient costs'!$A$2:$B$536,2, FALSE)</f>
        <v>0</v>
      </c>
      <c r="R295" s="3" t="s">
        <v>23</v>
      </c>
      <c r="S295" s="3">
        <f>Q295*VLOOKUP(R295,'Ingredient costs'!$A$2:$B$536,2, FALSE)</f>
        <v>0</v>
      </c>
      <c r="U295" s="3" t="s">
        <v>23</v>
      </c>
      <c r="V295" s="3">
        <f>T295*VLOOKUP(U295,'Ingredient costs'!$A$2:$B$536,2, FALSE)</f>
        <v>0</v>
      </c>
      <c r="X295" s="3" t="s">
        <v>23</v>
      </c>
      <c r="Y295" s="3">
        <f>W295*VLOOKUP(X295,'Ingredient costs'!$A$2:$B$536,2, FALSE)</f>
        <v>0</v>
      </c>
      <c r="AA295" s="3" t="s">
        <v>23</v>
      </c>
      <c r="AB295" s="3">
        <f>Z295*VLOOKUP(AA295,'Ingredient costs'!$A$2:$B$536,2, FALSE)</f>
        <v>0</v>
      </c>
    </row>
    <row r="296" spans="1:33" ht="15" x14ac:dyDescent="0.25">
      <c r="A296" s="9"/>
      <c r="B296" s="9"/>
      <c r="C296" s="9"/>
      <c r="D296" s="9"/>
      <c r="E296" s="9"/>
      <c r="F296" s="9"/>
      <c r="G296" s="9"/>
      <c r="H296" s="10"/>
      <c r="I296" s="9"/>
      <c r="J296" s="13"/>
      <c r="K296" s="13"/>
      <c r="L296" s="13"/>
      <c r="M296" s="13"/>
      <c r="O296" s="3" t="s">
        <v>23</v>
      </c>
      <c r="P296" s="3">
        <f>N296*VLOOKUP(O296,'Ingredient costs'!$A$2:$B$536,2, FALSE)</f>
        <v>0</v>
      </c>
      <c r="R296" s="3" t="s">
        <v>23</v>
      </c>
      <c r="S296" s="3">
        <f>Q296*VLOOKUP(R296,'Ingredient costs'!$A$2:$B$536,2, FALSE)</f>
        <v>0</v>
      </c>
      <c r="U296" s="3" t="s">
        <v>23</v>
      </c>
      <c r="V296" s="3">
        <f>T296*VLOOKUP(U296,'Ingredient costs'!$A$2:$B$536,2, FALSE)</f>
        <v>0</v>
      </c>
      <c r="X296" s="3" t="s">
        <v>23</v>
      </c>
      <c r="Y296" s="3">
        <f>W296*VLOOKUP(X296,'Ingredient costs'!$A$2:$B$536,2, FALSE)</f>
        <v>0</v>
      </c>
      <c r="AA296" s="3" t="s">
        <v>23</v>
      </c>
      <c r="AB296" s="3">
        <f>Z296*VLOOKUP(AA296,'Ingredient costs'!$A$2:$B$536,2, FALSE)</f>
        <v>0</v>
      </c>
    </row>
    <row r="297" spans="1:33" ht="15" x14ac:dyDescent="0.25">
      <c r="A297" s="9"/>
      <c r="B297" s="9"/>
      <c r="C297" s="9"/>
      <c r="D297" s="9"/>
      <c r="E297" s="9"/>
      <c r="F297" s="9"/>
      <c r="G297" s="9"/>
      <c r="H297" s="10"/>
      <c r="I297" s="9"/>
      <c r="J297" s="13"/>
      <c r="K297" s="13"/>
      <c r="L297" s="13"/>
      <c r="M297" s="13"/>
      <c r="O297" s="3" t="s">
        <v>23</v>
      </c>
      <c r="P297" s="3">
        <f>N297*VLOOKUP(O297,'Ingredient costs'!$A$2:$B$536,2, FALSE)</f>
        <v>0</v>
      </c>
      <c r="R297" s="3" t="s">
        <v>23</v>
      </c>
      <c r="S297" s="3">
        <f>Q297*VLOOKUP(R297,'Ingredient costs'!$A$2:$B$536,2, FALSE)</f>
        <v>0</v>
      </c>
      <c r="U297" s="3" t="s">
        <v>23</v>
      </c>
      <c r="V297" s="3">
        <f>T297*VLOOKUP(U297,'Ingredient costs'!$A$2:$B$536,2, FALSE)</f>
        <v>0</v>
      </c>
      <c r="X297" s="3" t="s">
        <v>23</v>
      </c>
      <c r="Y297" s="3">
        <f>W297*VLOOKUP(X297,'Ingredient costs'!$A$2:$B$536,2, FALSE)</f>
        <v>0</v>
      </c>
      <c r="AA297" s="3" t="s">
        <v>23</v>
      </c>
      <c r="AB297" s="3">
        <f>Z297*VLOOKUP(AA297,'Ingredient costs'!$A$2:$B$536,2, FALSE)</f>
        <v>0</v>
      </c>
    </row>
    <row r="298" spans="1:33" ht="15" x14ac:dyDescent="0.25">
      <c r="A298" s="9"/>
      <c r="B298" s="9"/>
      <c r="C298" s="9"/>
      <c r="D298" s="9"/>
      <c r="E298" s="9"/>
      <c r="F298" s="9"/>
      <c r="G298" s="9"/>
      <c r="H298" s="10"/>
      <c r="I298" s="9"/>
      <c r="J298" s="13"/>
      <c r="K298" s="13"/>
      <c r="L298" s="13"/>
      <c r="M298" s="13"/>
      <c r="O298" s="3" t="s">
        <v>23</v>
      </c>
      <c r="P298" s="3">
        <f>N298*VLOOKUP(O298,'Ingredient costs'!$A$2:$B$536,2, FALSE)</f>
        <v>0</v>
      </c>
      <c r="R298" s="3" t="s">
        <v>23</v>
      </c>
      <c r="S298" s="3">
        <f>Q298*VLOOKUP(R298,'Ingredient costs'!$A$2:$B$536,2, FALSE)</f>
        <v>0</v>
      </c>
      <c r="U298" s="3" t="s">
        <v>23</v>
      </c>
      <c r="V298" s="3">
        <f>T298*VLOOKUP(U298,'Ingredient costs'!$A$2:$B$536,2, FALSE)</f>
        <v>0</v>
      </c>
      <c r="X298" s="3" t="s">
        <v>23</v>
      </c>
      <c r="Y298" s="3">
        <f>W298*VLOOKUP(X298,'Ingredient costs'!$A$2:$B$536,2, FALSE)</f>
        <v>0</v>
      </c>
      <c r="AA298" s="3" t="s">
        <v>23</v>
      </c>
      <c r="AB298" s="3">
        <f>Z298*VLOOKUP(AA298,'Ingredient costs'!$A$2:$B$536,2, FALSE)</f>
        <v>0</v>
      </c>
    </row>
    <row r="299" spans="1:33" ht="15" x14ac:dyDescent="0.25">
      <c r="A299" s="9"/>
      <c r="B299" s="9"/>
      <c r="C299" s="9"/>
      <c r="D299" s="9"/>
      <c r="E299" s="9"/>
      <c r="F299" s="9"/>
      <c r="G299" s="9"/>
      <c r="H299" s="10"/>
      <c r="I299" s="9"/>
      <c r="J299" s="9"/>
      <c r="K299" s="9"/>
      <c r="L299" s="9"/>
      <c r="M299" s="9"/>
    </row>
    <row r="300" spans="1:33" ht="15" x14ac:dyDescent="0.25">
      <c r="A300" s="9"/>
      <c r="B300" s="9"/>
      <c r="C300" s="9"/>
      <c r="D300" s="9"/>
      <c r="E300" s="9"/>
      <c r="F300" s="9"/>
      <c r="G300" s="9"/>
      <c r="H300" s="10"/>
      <c r="I300" s="9"/>
      <c r="J300" s="9"/>
      <c r="K300" s="9"/>
      <c r="L300" s="9"/>
      <c r="M300" s="9"/>
    </row>
    <row r="301" spans="1:33" ht="15" x14ac:dyDescent="0.25">
      <c r="A301" s="9"/>
      <c r="B301" s="9"/>
      <c r="C301" s="9"/>
      <c r="D301" s="9"/>
      <c r="E301" s="9"/>
      <c r="F301" s="9"/>
      <c r="G301" s="9"/>
      <c r="H301" s="10"/>
      <c r="I301" s="9"/>
      <c r="J301" s="9"/>
      <c r="K301" s="9"/>
      <c r="L301" s="9"/>
      <c r="M301" s="9"/>
    </row>
    <row r="302" spans="1:33" ht="15" x14ac:dyDescent="0.25">
      <c r="A302" s="9"/>
      <c r="B302" s="9"/>
      <c r="C302" s="9"/>
      <c r="D302" s="9"/>
      <c r="E302" s="9"/>
      <c r="F302" s="9"/>
      <c r="G302" s="9"/>
      <c r="H302" s="10"/>
      <c r="I302" s="9"/>
      <c r="J302" s="9"/>
      <c r="K302" s="9"/>
      <c r="L302" s="9"/>
      <c r="M302" s="9"/>
    </row>
    <row r="303" spans="1:33" ht="15" x14ac:dyDescent="0.25">
      <c r="A303" s="9"/>
      <c r="B303" s="9"/>
      <c r="C303" s="9"/>
      <c r="D303" s="9"/>
      <c r="E303" s="9"/>
      <c r="F303" s="9"/>
      <c r="G303" s="9"/>
      <c r="H303" s="10"/>
      <c r="I303" s="9"/>
      <c r="J303" s="9"/>
      <c r="K303" s="9"/>
      <c r="L303" s="9"/>
      <c r="M303" s="9"/>
    </row>
    <row r="304" spans="1:33" ht="15" x14ac:dyDescent="0.25">
      <c r="A304" s="9"/>
      <c r="B304" s="9"/>
      <c r="C304" s="9"/>
      <c r="D304" s="9"/>
      <c r="E304" s="9"/>
      <c r="F304" s="9"/>
      <c r="G304" s="9"/>
      <c r="H304" s="10"/>
      <c r="I304" s="9"/>
      <c r="J304" s="9"/>
      <c r="K304" s="9"/>
      <c r="L304" s="9"/>
      <c r="M304" s="9"/>
    </row>
    <row r="305" spans="1:13" ht="15" x14ac:dyDescent="0.25">
      <c r="A305" s="9"/>
      <c r="B305" s="9"/>
      <c r="C305" s="9"/>
      <c r="D305" s="9"/>
      <c r="E305" s="9"/>
      <c r="F305" s="9"/>
      <c r="G305" s="9"/>
      <c r="H305" s="10"/>
      <c r="I305" s="9"/>
      <c r="J305" s="9"/>
      <c r="K305" s="9"/>
      <c r="L305" s="9"/>
      <c r="M305" s="9"/>
    </row>
    <row r="306" spans="1:13" ht="15" x14ac:dyDescent="0.25">
      <c r="A306" s="9"/>
      <c r="B306" s="9"/>
      <c r="C306" s="9"/>
      <c r="D306" s="9"/>
      <c r="E306" s="9"/>
      <c r="F306" s="9"/>
      <c r="G306" s="9"/>
      <c r="H306" s="10"/>
      <c r="I306" s="9"/>
      <c r="J306" s="9"/>
      <c r="K306" s="9"/>
      <c r="L306" s="9"/>
      <c r="M306" s="9"/>
    </row>
    <row r="307" spans="1:13" ht="15" x14ac:dyDescent="0.25">
      <c r="A307" s="9"/>
      <c r="B307" s="9"/>
      <c r="C307" s="9"/>
      <c r="D307" s="9"/>
      <c r="E307" s="9"/>
      <c r="F307" s="9"/>
      <c r="G307" s="9"/>
      <c r="H307" s="10"/>
      <c r="I307" s="9"/>
      <c r="J307" s="9"/>
      <c r="K307" s="9"/>
      <c r="L307" s="9"/>
      <c r="M307" s="9"/>
    </row>
    <row r="308" spans="1:13" ht="15" x14ac:dyDescent="0.25">
      <c r="A308" s="9"/>
      <c r="B308" s="9"/>
      <c r="C308" s="9"/>
      <c r="D308" s="9"/>
      <c r="E308" s="9"/>
      <c r="F308" s="9"/>
      <c r="G308" s="9"/>
      <c r="H308" s="10"/>
      <c r="I308" s="9"/>
      <c r="J308" s="9"/>
      <c r="K308" s="9"/>
      <c r="L308" s="9"/>
      <c r="M308" s="9"/>
    </row>
    <row r="309" spans="1:13" ht="15" x14ac:dyDescent="0.25">
      <c r="A309" s="9"/>
      <c r="B309" s="9"/>
      <c r="C309" s="9"/>
      <c r="D309" s="9"/>
      <c r="E309" s="9"/>
      <c r="F309" s="9"/>
      <c r="G309" s="9"/>
      <c r="H309" s="10"/>
      <c r="I309" s="9"/>
      <c r="J309" s="9"/>
      <c r="K309" s="9"/>
      <c r="L309" s="9"/>
      <c r="M309" s="9"/>
    </row>
    <row r="310" spans="1:13" ht="15" x14ac:dyDescent="0.25">
      <c r="A310" s="9"/>
      <c r="B310" s="9"/>
      <c r="C310" s="9"/>
      <c r="D310" s="9"/>
      <c r="E310" s="9"/>
      <c r="F310" s="9"/>
      <c r="G310" s="9"/>
      <c r="H310" s="10"/>
      <c r="I310" s="9"/>
      <c r="J310" s="9"/>
      <c r="K310" s="9"/>
      <c r="L310" s="9"/>
      <c r="M310" s="9"/>
    </row>
    <row r="311" spans="1:13" ht="15" x14ac:dyDescent="0.25">
      <c r="A311" s="9"/>
      <c r="B311" s="9"/>
      <c r="C311" s="9"/>
      <c r="D311" s="9"/>
      <c r="E311" s="9"/>
      <c r="F311" s="9"/>
      <c r="G311" s="9"/>
      <c r="H311" s="10"/>
      <c r="I311" s="9"/>
      <c r="J311" s="9"/>
      <c r="K311" s="9"/>
      <c r="L311" s="9"/>
      <c r="M311" s="9"/>
    </row>
    <row r="312" spans="1:13" ht="15" x14ac:dyDescent="0.25">
      <c r="A312" s="9"/>
      <c r="B312" s="9"/>
      <c r="C312" s="9"/>
      <c r="D312" s="9"/>
      <c r="E312" s="9"/>
      <c r="F312" s="9"/>
      <c r="G312" s="9"/>
      <c r="H312" s="10"/>
      <c r="I312" s="9"/>
      <c r="J312" s="9"/>
      <c r="K312" s="9"/>
      <c r="L312" s="9"/>
      <c r="M312" s="9"/>
    </row>
    <row r="313" spans="1:13" ht="15" x14ac:dyDescent="0.25">
      <c r="A313" s="9"/>
      <c r="B313" s="9"/>
      <c r="C313" s="9"/>
      <c r="D313" s="9"/>
      <c r="E313" s="9"/>
      <c r="F313" s="9"/>
      <c r="G313" s="9"/>
      <c r="H313" s="10"/>
      <c r="I313" s="9"/>
      <c r="J313" s="9"/>
      <c r="K313" s="9"/>
      <c r="L313" s="9"/>
      <c r="M313" s="9"/>
    </row>
    <row r="314" spans="1:13" ht="15" x14ac:dyDescent="0.25">
      <c r="A314" s="9"/>
      <c r="B314" s="9"/>
      <c r="C314" s="9"/>
      <c r="D314" s="9"/>
      <c r="E314" s="9"/>
      <c r="F314" s="9"/>
      <c r="G314" s="9"/>
      <c r="H314" s="10"/>
      <c r="I314" s="9"/>
      <c r="J314" s="9"/>
      <c r="K314" s="9"/>
      <c r="L314" s="9"/>
      <c r="M314" s="9"/>
    </row>
    <row r="315" spans="1:13" ht="15" x14ac:dyDescent="0.25">
      <c r="A315" s="9"/>
      <c r="B315" s="9"/>
      <c r="C315" s="9"/>
      <c r="D315" s="9"/>
      <c r="E315" s="9"/>
      <c r="F315" s="9"/>
      <c r="G315" s="9"/>
      <c r="H315" s="10"/>
      <c r="I315" s="9"/>
      <c r="J315" s="9"/>
      <c r="K315" s="9"/>
      <c r="L315" s="9"/>
      <c r="M315" s="9"/>
    </row>
    <row r="316" spans="1:13" ht="15" x14ac:dyDescent="0.25">
      <c r="A316" s="9"/>
      <c r="B316" s="9"/>
      <c r="C316" s="9"/>
      <c r="D316" s="9"/>
      <c r="E316" s="9"/>
      <c r="F316" s="9"/>
      <c r="G316" s="9"/>
      <c r="H316" s="10"/>
      <c r="I316" s="9"/>
      <c r="J316" s="9"/>
      <c r="K316" s="9"/>
      <c r="L316" s="9"/>
      <c r="M316" s="9"/>
    </row>
    <row r="317" spans="1:13" ht="15" x14ac:dyDescent="0.25">
      <c r="A317" s="9"/>
      <c r="B317" s="9"/>
      <c r="C317" s="9"/>
      <c r="D317" s="9"/>
      <c r="E317" s="9"/>
      <c r="F317" s="9"/>
      <c r="G317" s="9"/>
      <c r="H317" s="10"/>
      <c r="I317" s="9"/>
      <c r="J317" s="9"/>
      <c r="K317" s="9"/>
      <c r="L317" s="9"/>
      <c r="M317" s="9"/>
    </row>
    <row r="318" spans="1:13" ht="15" x14ac:dyDescent="0.25">
      <c r="A318" s="9"/>
      <c r="B318" s="9"/>
      <c r="C318" s="9"/>
      <c r="D318" s="9"/>
      <c r="E318" s="9"/>
      <c r="F318" s="9"/>
      <c r="G318" s="9"/>
      <c r="H318" s="10"/>
      <c r="I318" s="9"/>
      <c r="J318" s="9"/>
      <c r="K318" s="9"/>
      <c r="L318" s="9"/>
      <c r="M318" s="9"/>
    </row>
    <row r="319" spans="1:13" ht="15" x14ac:dyDescent="0.25">
      <c r="A319" s="9"/>
      <c r="B319" s="9"/>
      <c r="C319" s="9"/>
      <c r="D319" s="9"/>
      <c r="E319" s="9"/>
      <c r="F319" s="9"/>
      <c r="G319" s="9"/>
      <c r="H319" s="10"/>
      <c r="I319" s="9"/>
      <c r="J319" s="9"/>
      <c r="K319" s="9"/>
      <c r="L319" s="9"/>
      <c r="M319" s="9"/>
    </row>
    <row r="320" spans="1:13" ht="15" x14ac:dyDescent="0.25">
      <c r="A320" s="9"/>
      <c r="B320" s="9"/>
      <c r="C320" s="9"/>
      <c r="D320" s="9"/>
      <c r="E320" s="9"/>
      <c r="F320" s="9"/>
      <c r="G320" s="9"/>
      <c r="H320" s="10"/>
      <c r="I320" s="9"/>
      <c r="J320" s="9"/>
      <c r="K320" s="9"/>
      <c r="L320" s="9"/>
      <c r="M320" s="9"/>
    </row>
    <row r="321" spans="1:13" ht="15" x14ac:dyDescent="0.25">
      <c r="A321" s="9"/>
      <c r="B321" s="9"/>
      <c r="C321" s="9"/>
      <c r="D321" s="9"/>
      <c r="E321" s="9"/>
      <c r="F321" s="9"/>
      <c r="G321" s="9"/>
      <c r="H321" s="10"/>
      <c r="I321" s="9"/>
      <c r="J321" s="9"/>
      <c r="K321" s="9"/>
      <c r="L321" s="9"/>
      <c r="M321" s="9"/>
    </row>
    <row r="322" spans="1:13" ht="15" x14ac:dyDescent="0.25">
      <c r="A322" s="9"/>
      <c r="B322" s="9"/>
      <c r="C322" s="9"/>
      <c r="D322" s="9"/>
      <c r="E322" s="9"/>
      <c r="F322" s="9"/>
      <c r="G322" s="9"/>
      <c r="H322" s="10"/>
      <c r="I322" s="9"/>
      <c r="J322" s="9"/>
      <c r="K322" s="9"/>
      <c r="L322" s="9"/>
      <c r="M322" s="9"/>
    </row>
    <row r="323" spans="1:13" ht="15" x14ac:dyDescent="0.25">
      <c r="A323" s="9"/>
      <c r="B323" s="9"/>
      <c r="C323" s="9"/>
      <c r="D323" s="9"/>
      <c r="E323" s="9"/>
      <c r="F323" s="9"/>
      <c r="G323" s="9"/>
      <c r="H323" s="10"/>
      <c r="I323" s="9"/>
      <c r="J323" s="9"/>
      <c r="K323" s="9"/>
      <c r="L323" s="9"/>
      <c r="M323" s="9"/>
    </row>
    <row r="324" spans="1:13" ht="15" x14ac:dyDescent="0.25">
      <c r="A324" s="9"/>
      <c r="B324" s="9"/>
      <c r="C324" s="9"/>
      <c r="D324" s="9"/>
      <c r="E324" s="9"/>
      <c r="F324" s="9"/>
      <c r="G324" s="9"/>
      <c r="H324" s="10"/>
      <c r="I324" s="9"/>
      <c r="J324" s="9"/>
      <c r="K324" s="9"/>
      <c r="L324" s="9"/>
      <c r="M324" s="9"/>
    </row>
    <row r="325" spans="1:13" ht="15" x14ac:dyDescent="0.25">
      <c r="A325" s="9"/>
      <c r="B325" s="9"/>
      <c r="C325" s="9"/>
      <c r="D325" s="9"/>
      <c r="E325" s="9"/>
      <c r="F325" s="9"/>
      <c r="G325" s="9"/>
      <c r="H325" s="10"/>
      <c r="I325" s="9"/>
      <c r="J325" s="9"/>
      <c r="K325" s="9"/>
      <c r="L325" s="9"/>
      <c r="M325" s="9"/>
    </row>
    <row r="326" spans="1:13" ht="15" x14ac:dyDescent="0.25">
      <c r="A326" s="9"/>
      <c r="B326" s="9"/>
      <c r="C326" s="9"/>
      <c r="D326" s="9"/>
      <c r="E326" s="9"/>
      <c r="F326" s="9"/>
      <c r="G326" s="9"/>
      <c r="H326" s="10"/>
      <c r="I326" s="9"/>
      <c r="J326" s="9"/>
      <c r="K326" s="9"/>
      <c r="L326" s="9"/>
      <c r="M326" s="9"/>
    </row>
    <row r="327" spans="1:13" ht="15" x14ac:dyDescent="0.25">
      <c r="A327" s="9"/>
      <c r="B327" s="9"/>
      <c r="C327" s="9"/>
      <c r="D327" s="9"/>
      <c r="E327" s="9"/>
      <c r="F327" s="9"/>
      <c r="G327" s="9"/>
      <c r="H327" s="10"/>
      <c r="I327" s="9"/>
      <c r="J327" s="9"/>
      <c r="K327" s="9"/>
      <c r="L327" s="9"/>
      <c r="M327" s="9"/>
    </row>
    <row r="328" spans="1:13" ht="15" x14ac:dyDescent="0.25">
      <c r="A328" s="9"/>
      <c r="B328" s="9"/>
      <c r="C328" s="9"/>
      <c r="D328" s="9"/>
      <c r="E328" s="9"/>
      <c r="F328" s="9"/>
      <c r="G328" s="9"/>
      <c r="H328" s="10"/>
      <c r="I328" s="9"/>
      <c r="J328" s="9"/>
      <c r="K328" s="9"/>
      <c r="L328" s="9"/>
      <c r="M328" s="9"/>
    </row>
    <row r="329" spans="1:13" ht="15" x14ac:dyDescent="0.25">
      <c r="A329" s="9"/>
      <c r="B329" s="9"/>
      <c r="C329" s="9"/>
      <c r="D329" s="9"/>
      <c r="E329" s="9"/>
      <c r="F329" s="9"/>
      <c r="G329" s="9"/>
      <c r="H329" s="10"/>
      <c r="I329" s="9"/>
      <c r="J329" s="9"/>
      <c r="K329" s="9"/>
      <c r="L329" s="9"/>
      <c r="M329" s="9"/>
    </row>
    <row r="330" spans="1:13" ht="15" x14ac:dyDescent="0.25">
      <c r="A330" s="9"/>
      <c r="B330" s="9"/>
      <c r="C330" s="9"/>
      <c r="D330" s="9"/>
      <c r="E330" s="9"/>
      <c r="F330" s="9"/>
      <c r="G330" s="9"/>
      <c r="H330" s="10"/>
      <c r="I330" s="9"/>
      <c r="J330" s="9"/>
      <c r="K330" s="9"/>
      <c r="L330" s="9"/>
      <c r="M330" s="9"/>
    </row>
    <row r="331" spans="1:13" ht="15" x14ac:dyDescent="0.25">
      <c r="A331" s="9"/>
      <c r="B331" s="9"/>
      <c r="C331" s="9"/>
      <c r="D331" s="9"/>
      <c r="E331" s="9"/>
      <c r="F331" s="9"/>
      <c r="G331" s="9"/>
      <c r="H331" s="10"/>
      <c r="I331" s="9"/>
      <c r="J331" s="9"/>
      <c r="K331" s="9"/>
      <c r="L331" s="9"/>
      <c r="M331" s="9"/>
    </row>
    <row r="332" spans="1:13" ht="15" x14ac:dyDescent="0.25">
      <c r="A332" s="9"/>
      <c r="B332" s="9"/>
      <c r="C332" s="9"/>
      <c r="D332" s="9"/>
      <c r="E332" s="9"/>
      <c r="F332" s="9"/>
      <c r="G332" s="9"/>
      <c r="H332" s="10"/>
      <c r="I332" s="9"/>
      <c r="J332" s="9"/>
      <c r="K332" s="9"/>
      <c r="L332" s="9"/>
      <c r="M332" s="9"/>
    </row>
    <row r="333" spans="1:13" ht="15" x14ac:dyDescent="0.25">
      <c r="A333" s="9"/>
      <c r="B333" s="9"/>
      <c r="C333" s="9"/>
      <c r="D333" s="9"/>
      <c r="E333" s="9"/>
      <c r="F333" s="9"/>
      <c r="G333" s="9"/>
      <c r="H333" s="10"/>
      <c r="I333" s="9"/>
      <c r="J333" s="9"/>
      <c r="K333" s="9"/>
      <c r="L333" s="9"/>
      <c r="M333" s="9"/>
    </row>
    <row r="334" spans="1:13" ht="15" x14ac:dyDescent="0.25">
      <c r="A334" s="9"/>
      <c r="B334" s="9"/>
      <c r="C334" s="9"/>
      <c r="D334" s="9"/>
      <c r="E334" s="9"/>
      <c r="F334" s="9"/>
      <c r="G334" s="9"/>
      <c r="H334" s="10"/>
      <c r="I334" s="9"/>
      <c r="J334" s="9"/>
      <c r="K334" s="9"/>
      <c r="L334" s="9"/>
      <c r="M334" s="9"/>
    </row>
    <row r="335" spans="1:13" ht="15" x14ac:dyDescent="0.25">
      <c r="A335" s="9"/>
      <c r="B335" s="9"/>
      <c r="C335" s="9"/>
      <c r="D335" s="9"/>
      <c r="E335" s="9"/>
      <c r="F335" s="9"/>
      <c r="G335" s="9"/>
      <c r="H335" s="10"/>
      <c r="I335" s="9"/>
      <c r="J335" s="9"/>
      <c r="K335" s="9"/>
      <c r="L335" s="9"/>
      <c r="M335" s="9"/>
    </row>
    <row r="336" spans="1:13" ht="15" x14ac:dyDescent="0.25">
      <c r="A336" s="9"/>
      <c r="B336" s="9"/>
      <c r="C336" s="9"/>
      <c r="D336" s="9"/>
      <c r="E336" s="9"/>
      <c r="F336" s="9"/>
      <c r="G336" s="9"/>
      <c r="H336" s="10"/>
      <c r="I336" s="9"/>
      <c r="J336" s="9"/>
      <c r="K336" s="9"/>
      <c r="L336" s="9"/>
      <c r="M336" s="9"/>
    </row>
    <row r="337" spans="1:13" ht="15" x14ac:dyDescent="0.25">
      <c r="A337" s="9"/>
      <c r="B337" s="9"/>
      <c r="C337" s="9"/>
      <c r="D337" s="9"/>
      <c r="E337" s="9"/>
      <c r="F337" s="9"/>
      <c r="G337" s="9"/>
      <c r="H337" s="10"/>
      <c r="I337" s="9"/>
      <c r="J337" s="9"/>
      <c r="K337" s="9"/>
      <c r="L337" s="9"/>
      <c r="M337" s="9"/>
    </row>
    <row r="338" spans="1:13" ht="15" x14ac:dyDescent="0.25">
      <c r="A338" s="9"/>
      <c r="B338" s="9"/>
      <c r="C338" s="9"/>
      <c r="D338" s="9"/>
      <c r="E338" s="9"/>
      <c r="F338" s="9"/>
      <c r="G338" s="9"/>
      <c r="H338" s="10"/>
      <c r="I338" s="9"/>
      <c r="J338" s="9"/>
      <c r="K338" s="9"/>
      <c r="L338" s="9"/>
      <c r="M338" s="9"/>
    </row>
    <row r="339" spans="1:13" ht="15" x14ac:dyDescent="0.25">
      <c r="A339" s="9"/>
      <c r="B339" s="9"/>
      <c r="C339" s="9"/>
      <c r="D339" s="9"/>
      <c r="E339" s="9"/>
      <c r="F339" s="9"/>
      <c r="G339" s="9"/>
      <c r="H339" s="10"/>
      <c r="I339" s="9"/>
      <c r="J339" s="9"/>
      <c r="K339" s="9"/>
      <c r="L339" s="9"/>
      <c r="M339" s="9"/>
    </row>
    <row r="340" spans="1:13" ht="15" x14ac:dyDescent="0.25">
      <c r="A340" s="9"/>
      <c r="B340" s="9"/>
      <c r="C340" s="9"/>
      <c r="D340" s="9"/>
      <c r="E340" s="9"/>
      <c r="F340" s="9"/>
      <c r="G340" s="9"/>
      <c r="H340" s="10"/>
      <c r="I340" s="9"/>
      <c r="J340" s="9"/>
      <c r="K340" s="9"/>
      <c r="L340" s="9"/>
      <c r="M340" s="9"/>
    </row>
    <row r="341" spans="1:13" ht="15" x14ac:dyDescent="0.25">
      <c r="A341" s="9"/>
      <c r="B341" s="9"/>
      <c r="C341" s="9"/>
      <c r="D341" s="9"/>
      <c r="E341" s="9"/>
      <c r="F341" s="9"/>
      <c r="G341" s="9"/>
      <c r="H341" s="10"/>
      <c r="I341" s="9"/>
      <c r="J341" s="9"/>
      <c r="K341" s="9"/>
      <c r="L341" s="9"/>
      <c r="M341" s="9"/>
    </row>
    <row r="342" spans="1:13" ht="15" x14ac:dyDescent="0.25">
      <c r="A342" s="9"/>
      <c r="B342" s="9"/>
      <c r="C342" s="9"/>
      <c r="D342" s="9"/>
      <c r="E342" s="9"/>
      <c r="F342" s="9"/>
      <c r="G342" s="9"/>
      <c r="H342" s="10"/>
      <c r="I342" s="9"/>
      <c r="J342" s="9"/>
      <c r="K342" s="9"/>
      <c r="L342" s="9"/>
      <c r="M342" s="9"/>
    </row>
    <row r="343" spans="1:13" ht="15" x14ac:dyDescent="0.25">
      <c r="A343" s="9"/>
      <c r="B343" s="9"/>
      <c r="C343" s="9"/>
      <c r="D343" s="9"/>
      <c r="E343" s="9"/>
      <c r="F343" s="9"/>
      <c r="G343" s="9"/>
      <c r="H343" s="10"/>
      <c r="I343" s="9"/>
      <c r="J343" s="9"/>
      <c r="K343" s="9"/>
      <c r="L343" s="9"/>
      <c r="M343" s="9"/>
    </row>
    <row r="344" spans="1:13" ht="15" x14ac:dyDescent="0.25">
      <c r="A344" s="9"/>
      <c r="B344" s="9"/>
      <c r="C344" s="9"/>
      <c r="D344" s="9"/>
      <c r="E344" s="9"/>
      <c r="F344" s="9"/>
      <c r="G344" s="9"/>
      <c r="H344" s="10"/>
      <c r="I344" s="9"/>
      <c r="J344" s="9"/>
      <c r="K344" s="9"/>
      <c r="L344" s="9"/>
      <c r="M344" s="9"/>
    </row>
    <row r="345" spans="1:13" ht="15" x14ac:dyDescent="0.25">
      <c r="A345" s="9"/>
      <c r="B345" s="9"/>
      <c r="C345" s="9"/>
      <c r="D345" s="9"/>
      <c r="E345" s="9"/>
      <c r="F345" s="9"/>
      <c r="G345" s="9"/>
      <c r="H345" s="10"/>
      <c r="I345" s="9"/>
      <c r="J345" s="9"/>
      <c r="K345" s="9"/>
      <c r="L345" s="9"/>
      <c r="M345" s="9"/>
    </row>
    <row r="346" spans="1:13" ht="15" x14ac:dyDescent="0.25">
      <c r="A346" s="9"/>
      <c r="B346" s="9"/>
      <c r="C346" s="9"/>
      <c r="D346" s="9"/>
      <c r="E346" s="9"/>
      <c r="F346" s="9"/>
      <c r="G346" s="9"/>
      <c r="H346" s="10"/>
      <c r="I346" s="9"/>
      <c r="J346" s="9"/>
      <c r="K346" s="9"/>
      <c r="L346" s="9"/>
      <c r="M346" s="9"/>
    </row>
    <row r="347" spans="1:13" ht="15" x14ac:dyDescent="0.25">
      <c r="A347" s="9"/>
      <c r="B347" s="9"/>
      <c r="C347" s="9"/>
      <c r="D347" s="9"/>
      <c r="E347" s="9"/>
      <c r="F347" s="9"/>
      <c r="G347" s="9"/>
      <c r="H347" s="10"/>
      <c r="I347" s="9"/>
      <c r="J347" s="9"/>
      <c r="K347" s="9"/>
      <c r="L347" s="9"/>
      <c r="M347" s="9"/>
    </row>
    <row r="348" spans="1:13" ht="15" x14ac:dyDescent="0.25">
      <c r="A348" s="9"/>
      <c r="B348" s="9"/>
      <c r="C348" s="9"/>
      <c r="D348" s="9"/>
      <c r="E348" s="9"/>
      <c r="F348" s="9"/>
      <c r="G348" s="9"/>
      <c r="H348" s="10"/>
      <c r="I348" s="9"/>
      <c r="J348" s="9"/>
      <c r="K348" s="9"/>
      <c r="L348" s="9"/>
      <c r="M348" s="9"/>
    </row>
    <row r="349" spans="1:13" ht="15" x14ac:dyDescent="0.25">
      <c r="A349" s="9"/>
      <c r="B349" s="9"/>
      <c r="C349" s="9"/>
      <c r="D349" s="9"/>
      <c r="E349" s="9"/>
      <c r="F349" s="9"/>
      <c r="G349" s="9"/>
      <c r="H349" s="10"/>
      <c r="I349" s="9"/>
      <c r="J349" s="9"/>
      <c r="K349" s="9"/>
      <c r="L349" s="9"/>
      <c r="M349" s="9"/>
    </row>
    <row r="350" spans="1:13" ht="15" x14ac:dyDescent="0.25">
      <c r="A350" s="9"/>
      <c r="B350" s="9"/>
      <c r="C350" s="9"/>
      <c r="D350" s="9"/>
      <c r="E350" s="9"/>
      <c r="F350" s="9"/>
      <c r="G350" s="9"/>
      <c r="H350" s="10"/>
      <c r="I350" s="9"/>
      <c r="J350" s="9"/>
      <c r="K350" s="9"/>
      <c r="L350" s="9"/>
      <c r="M350" s="9"/>
    </row>
    <row r="351" spans="1:13" ht="15" x14ac:dyDescent="0.25">
      <c r="A351" s="9"/>
      <c r="B351" s="9"/>
      <c r="C351" s="9"/>
      <c r="D351" s="9"/>
      <c r="E351" s="9"/>
      <c r="F351" s="9"/>
      <c r="G351" s="9"/>
      <c r="H351" s="10"/>
      <c r="I351" s="9"/>
      <c r="J351" s="9"/>
      <c r="K351" s="9"/>
      <c r="L351" s="9"/>
      <c r="M351" s="9"/>
    </row>
    <row r="352" spans="1:13" ht="15" x14ac:dyDescent="0.25">
      <c r="A352" s="9"/>
      <c r="B352" s="9"/>
      <c r="C352" s="9"/>
      <c r="D352" s="9"/>
      <c r="E352" s="9"/>
      <c r="F352" s="9"/>
      <c r="G352" s="9"/>
      <c r="H352" s="10"/>
      <c r="I352" s="9"/>
      <c r="J352" s="9"/>
      <c r="K352" s="9"/>
      <c r="L352" s="9"/>
      <c r="M352" s="9"/>
    </row>
    <row r="353" spans="1:13" ht="15" x14ac:dyDescent="0.25">
      <c r="A353" s="9"/>
      <c r="B353" s="9"/>
      <c r="C353" s="9"/>
      <c r="D353" s="9"/>
      <c r="E353" s="9"/>
      <c r="F353" s="9"/>
      <c r="G353" s="9"/>
      <c r="H353" s="10"/>
      <c r="I353" s="9"/>
      <c r="J353" s="9"/>
      <c r="K353" s="9"/>
      <c r="L353" s="9"/>
      <c r="M353" s="9"/>
    </row>
    <row r="354" spans="1:13" ht="15" x14ac:dyDescent="0.25">
      <c r="A354" s="9"/>
      <c r="B354" s="9"/>
      <c r="C354" s="9"/>
      <c r="D354" s="9"/>
      <c r="E354" s="9"/>
      <c r="F354" s="9"/>
      <c r="G354" s="9"/>
      <c r="H354" s="10"/>
      <c r="I354" s="9"/>
      <c r="J354" s="9"/>
      <c r="K354" s="9"/>
      <c r="L354" s="9"/>
      <c r="M354" s="9"/>
    </row>
    <row r="355" spans="1:13" ht="15" x14ac:dyDescent="0.25">
      <c r="A355" s="9"/>
      <c r="B355" s="9"/>
      <c r="C355" s="9"/>
      <c r="D355" s="9"/>
      <c r="E355" s="9"/>
      <c r="F355" s="9"/>
      <c r="G355" s="9"/>
      <c r="H355" s="10"/>
      <c r="I355" s="9"/>
      <c r="J355" s="9"/>
      <c r="K355" s="9"/>
      <c r="L355" s="9"/>
      <c r="M355" s="9"/>
    </row>
    <row r="356" spans="1:13" ht="15" x14ac:dyDescent="0.25">
      <c r="A356" s="9"/>
      <c r="B356" s="9"/>
      <c r="C356" s="9"/>
      <c r="D356" s="9"/>
      <c r="E356" s="9"/>
      <c r="F356" s="9"/>
      <c r="G356" s="9"/>
      <c r="H356" s="10"/>
      <c r="I356" s="9"/>
      <c r="J356" s="9"/>
      <c r="K356" s="9"/>
      <c r="L356" s="9"/>
      <c r="M356" s="9"/>
    </row>
    <row r="357" spans="1:13" ht="15" x14ac:dyDescent="0.25">
      <c r="A357" s="9"/>
      <c r="B357" s="9"/>
      <c r="C357" s="9"/>
      <c r="D357" s="9"/>
      <c r="E357" s="9"/>
      <c r="F357" s="9"/>
      <c r="G357" s="9"/>
      <c r="H357" s="10"/>
      <c r="I357" s="9"/>
      <c r="J357" s="9"/>
      <c r="K357" s="9"/>
      <c r="L357" s="9"/>
      <c r="M357" s="9"/>
    </row>
    <row r="358" spans="1:13" ht="15" x14ac:dyDescent="0.25">
      <c r="A358" s="9"/>
      <c r="B358" s="9"/>
      <c r="C358" s="9"/>
      <c r="D358" s="9"/>
      <c r="E358" s="9"/>
      <c r="F358" s="9"/>
      <c r="G358" s="9"/>
      <c r="H358" s="10"/>
      <c r="I358" s="9"/>
      <c r="J358" s="9"/>
      <c r="K358" s="9"/>
      <c r="L358" s="9"/>
      <c r="M358" s="9"/>
    </row>
    <row r="359" spans="1:13" ht="15" x14ac:dyDescent="0.25">
      <c r="A359" s="9"/>
      <c r="B359" s="9"/>
      <c r="C359" s="9"/>
      <c r="D359" s="9"/>
      <c r="E359" s="9"/>
      <c r="F359" s="9"/>
      <c r="G359" s="9"/>
      <c r="H359" s="10"/>
      <c r="I359" s="9"/>
      <c r="J359" s="9"/>
      <c r="K359" s="9"/>
      <c r="L359" s="9"/>
      <c r="M359" s="9"/>
    </row>
    <row r="360" spans="1:13" ht="15" x14ac:dyDescent="0.25">
      <c r="A360" s="9"/>
      <c r="B360" s="9"/>
      <c r="C360" s="9"/>
      <c r="D360" s="9"/>
      <c r="E360" s="9"/>
      <c r="F360" s="9"/>
      <c r="G360" s="9"/>
      <c r="H360" s="10"/>
      <c r="I360" s="9"/>
      <c r="J360" s="9"/>
      <c r="K360" s="9"/>
      <c r="L360" s="9"/>
      <c r="M360" s="9"/>
    </row>
    <row r="361" spans="1:13" ht="15" x14ac:dyDescent="0.25">
      <c r="A361" s="9"/>
      <c r="B361" s="9"/>
      <c r="C361" s="9"/>
      <c r="D361" s="9"/>
      <c r="E361" s="9"/>
      <c r="F361" s="9"/>
      <c r="G361" s="9"/>
      <c r="H361" s="10"/>
      <c r="I361" s="9"/>
      <c r="J361" s="9"/>
      <c r="K361" s="9"/>
      <c r="L361" s="9"/>
      <c r="M361" s="9"/>
    </row>
    <row r="362" spans="1:13" ht="15" x14ac:dyDescent="0.25">
      <c r="A362" s="9"/>
      <c r="B362" s="9"/>
      <c r="C362" s="9"/>
      <c r="D362" s="9"/>
      <c r="E362" s="9"/>
      <c r="F362" s="9"/>
      <c r="G362" s="9"/>
      <c r="H362" s="10"/>
      <c r="I362" s="9"/>
      <c r="J362" s="9"/>
      <c r="K362" s="9"/>
      <c r="L362" s="9"/>
      <c r="M362" s="9"/>
    </row>
    <row r="363" spans="1:13" ht="15" x14ac:dyDescent="0.25">
      <c r="A363" s="9"/>
      <c r="B363" s="9"/>
      <c r="C363" s="9"/>
      <c r="D363" s="9"/>
      <c r="E363" s="9"/>
      <c r="F363" s="9"/>
      <c r="G363" s="9"/>
      <c r="H363" s="10"/>
      <c r="I363" s="9"/>
      <c r="J363" s="9"/>
      <c r="K363" s="9"/>
      <c r="L363" s="9"/>
      <c r="M363" s="9"/>
    </row>
    <row r="364" spans="1:13" ht="15" x14ac:dyDescent="0.25">
      <c r="A364" s="9"/>
      <c r="B364" s="9"/>
      <c r="C364" s="9"/>
      <c r="D364" s="9"/>
      <c r="E364" s="9"/>
      <c r="F364" s="9"/>
      <c r="G364" s="9"/>
      <c r="H364" s="10"/>
      <c r="I364" s="9"/>
      <c r="J364" s="9"/>
      <c r="K364" s="9"/>
      <c r="L364" s="9"/>
      <c r="M364" s="9"/>
    </row>
    <row r="365" spans="1:13" ht="15" x14ac:dyDescent="0.25">
      <c r="A365" s="9"/>
      <c r="B365" s="9"/>
      <c r="C365" s="9"/>
      <c r="D365" s="9"/>
      <c r="E365" s="9"/>
      <c r="F365" s="9"/>
      <c r="G365" s="9"/>
      <c r="H365" s="10"/>
      <c r="I365" s="9"/>
      <c r="J365" s="9"/>
      <c r="K365" s="9"/>
      <c r="L365" s="9"/>
      <c r="M365" s="9"/>
    </row>
    <row r="366" spans="1:13" ht="15" x14ac:dyDescent="0.25">
      <c r="A366" s="9"/>
      <c r="B366" s="9"/>
      <c r="C366" s="9"/>
      <c r="D366" s="9"/>
      <c r="E366" s="9"/>
      <c r="F366" s="9"/>
      <c r="G366" s="9"/>
      <c r="H366" s="10"/>
      <c r="I366" s="9"/>
      <c r="J366" s="9"/>
      <c r="K366" s="9"/>
      <c r="L366" s="9"/>
      <c r="M366" s="9"/>
    </row>
    <row r="367" spans="1:13" ht="15" x14ac:dyDescent="0.25">
      <c r="A367" s="9"/>
      <c r="B367" s="9"/>
      <c r="C367" s="9"/>
      <c r="D367" s="9"/>
      <c r="E367" s="9"/>
      <c r="F367" s="9"/>
      <c r="G367" s="9"/>
      <c r="H367" s="10"/>
      <c r="I367" s="9"/>
      <c r="J367" s="9"/>
      <c r="K367" s="9"/>
      <c r="L367" s="9"/>
      <c r="M367" s="9"/>
    </row>
    <row r="368" spans="1:13" ht="15" x14ac:dyDescent="0.25">
      <c r="A368" s="9"/>
      <c r="B368" s="9"/>
      <c r="C368" s="9"/>
      <c r="D368" s="9"/>
      <c r="E368" s="9"/>
      <c r="F368" s="9"/>
      <c r="G368" s="9"/>
      <c r="H368" s="10"/>
      <c r="I368" s="9"/>
      <c r="J368" s="9"/>
      <c r="K368" s="9"/>
      <c r="L368" s="9"/>
      <c r="M368" s="9"/>
    </row>
    <row r="369" spans="1:13" ht="15" x14ac:dyDescent="0.25">
      <c r="A369" s="9"/>
      <c r="B369" s="9"/>
      <c r="C369" s="9"/>
      <c r="D369" s="9"/>
      <c r="E369" s="9"/>
      <c r="F369" s="9"/>
      <c r="G369" s="9"/>
      <c r="H369" s="10"/>
      <c r="I369" s="9"/>
      <c r="J369" s="9"/>
      <c r="K369" s="9"/>
      <c r="L369" s="9"/>
      <c r="M369" s="9"/>
    </row>
    <row r="370" spans="1:13" ht="15" x14ac:dyDescent="0.25">
      <c r="A370" s="9"/>
      <c r="B370" s="9"/>
      <c r="C370" s="9"/>
      <c r="D370" s="9"/>
      <c r="E370" s="9"/>
      <c r="F370" s="9"/>
      <c r="G370" s="9"/>
      <c r="H370" s="10"/>
      <c r="I370" s="9"/>
      <c r="J370" s="9"/>
      <c r="K370" s="9"/>
      <c r="L370" s="9"/>
      <c r="M370" s="9"/>
    </row>
    <row r="371" spans="1:13" ht="15" x14ac:dyDescent="0.25">
      <c r="A371" s="9"/>
      <c r="B371" s="9"/>
      <c r="C371" s="9"/>
      <c r="D371" s="9"/>
      <c r="E371" s="9"/>
      <c r="F371" s="9"/>
      <c r="G371" s="9"/>
      <c r="H371" s="10"/>
      <c r="I371" s="9"/>
      <c r="J371" s="9"/>
      <c r="K371" s="9"/>
      <c r="L371" s="9"/>
      <c r="M371" s="9"/>
    </row>
    <row r="372" spans="1:13" ht="15" x14ac:dyDescent="0.25">
      <c r="A372" s="9"/>
      <c r="B372" s="9"/>
      <c r="C372" s="9"/>
      <c r="D372" s="9"/>
      <c r="E372" s="9"/>
      <c r="F372" s="9"/>
      <c r="G372" s="9"/>
      <c r="H372" s="10"/>
      <c r="I372" s="9"/>
      <c r="J372" s="9"/>
      <c r="K372" s="9"/>
      <c r="L372" s="9"/>
      <c r="M372" s="9"/>
    </row>
    <row r="373" spans="1:13" ht="15" x14ac:dyDescent="0.25">
      <c r="A373" s="9"/>
      <c r="B373" s="9"/>
      <c r="C373" s="9"/>
      <c r="D373" s="9"/>
      <c r="E373" s="9"/>
      <c r="F373" s="9"/>
      <c r="G373" s="9"/>
      <c r="H373" s="10"/>
      <c r="I373" s="9"/>
      <c r="J373" s="9"/>
      <c r="K373" s="9"/>
      <c r="L373" s="9"/>
      <c r="M373" s="9"/>
    </row>
    <row r="374" spans="1:13" ht="15" x14ac:dyDescent="0.25">
      <c r="A374" s="9"/>
      <c r="B374" s="9"/>
      <c r="C374" s="9"/>
      <c r="D374" s="9"/>
      <c r="E374" s="9"/>
      <c r="F374" s="9"/>
      <c r="G374" s="9"/>
      <c r="H374" s="10"/>
      <c r="I374" s="9"/>
      <c r="J374" s="9"/>
      <c r="K374" s="9"/>
      <c r="L374" s="9"/>
      <c r="M374" s="9"/>
    </row>
    <row r="375" spans="1:13" ht="15" x14ac:dyDescent="0.25">
      <c r="A375" s="9"/>
      <c r="B375" s="9"/>
      <c r="C375" s="9"/>
      <c r="D375" s="9"/>
      <c r="E375" s="9"/>
      <c r="F375" s="9"/>
      <c r="G375" s="9"/>
      <c r="H375" s="10"/>
      <c r="I375" s="9"/>
      <c r="J375" s="9"/>
      <c r="K375" s="9"/>
      <c r="L375" s="9"/>
      <c r="M375" s="9"/>
    </row>
    <row r="376" spans="1:13" ht="15" x14ac:dyDescent="0.25">
      <c r="A376" s="9"/>
      <c r="B376" s="9"/>
      <c r="C376" s="9"/>
      <c r="D376" s="9"/>
      <c r="E376" s="9"/>
      <c r="F376" s="9"/>
      <c r="G376" s="9"/>
      <c r="H376" s="10"/>
      <c r="I376" s="9"/>
      <c r="J376" s="9"/>
      <c r="K376" s="9"/>
      <c r="L376" s="9"/>
      <c r="M376" s="9"/>
    </row>
    <row r="377" spans="1:13" ht="15" x14ac:dyDescent="0.25">
      <c r="A377" s="9"/>
      <c r="B377" s="9"/>
      <c r="C377" s="9"/>
      <c r="D377" s="9"/>
      <c r="E377" s="9"/>
      <c r="F377" s="9"/>
      <c r="G377" s="9"/>
      <c r="H377" s="10"/>
      <c r="I377" s="9"/>
      <c r="J377" s="9"/>
      <c r="K377" s="9"/>
      <c r="L377" s="9"/>
      <c r="M377" s="9"/>
    </row>
    <row r="378" spans="1:13" ht="15" x14ac:dyDescent="0.25">
      <c r="A378" s="9"/>
      <c r="B378" s="9"/>
      <c r="C378" s="9"/>
      <c r="D378" s="9"/>
      <c r="E378" s="9"/>
      <c r="F378" s="9"/>
      <c r="G378" s="9"/>
      <c r="H378" s="10"/>
      <c r="I378" s="9"/>
      <c r="J378" s="9"/>
      <c r="K378" s="9"/>
      <c r="L378" s="9"/>
      <c r="M378" s="9"/>
    </row>
    <row r="379" spans="1:13" ht="15" x14ac:dyDescent="0.25">
      <c r="A379" s="9"/>
      <c r="B379" s="9"/>
      <c r="C379" s="9"/>
      <c r="D379" s="9"/>
      <c r="E379" s="9"/>
      <c r="F379" s="9"/>
      <c r="G379" s="9"/>
      <c r="H379" s="10"/>
      <c r="I379" s="9"/>
      <c r="J379" s="9"/>
      <c r="K379" s="9"/>
      <c r="L379" s="9"/>
      <c r="M379" s="9"/>
    </row>
    <row r="380" spans="1:13" ht="15" x14ac:dyDescent="0.25">
      <c r="A380" s="9"/>
      <c r="B380" s="9"/>
      <c r="C380" s="9"/>
      <c r="D380" s="9"/>
      <c r="E380" s="9"/>
      <c r="F380" s="9"/>
      <c r="G380" s="9"/>
      <c r="H380" s="10"/>
      <c r="I380" s="9"/>
      <c r="J380" s="9"/>
      <c r="K380" s="9"/>
      <c r="L380" s="9"/>
      <c r="M380" s="9"/>
    </row>
    <row r="381" spans="1:13" ht="15" x14ac:dyDescent="0.25">
      <c r="A381" s="9"/>
      <c r="B381" s="9"/>
      <c r="C381" s="9"/>
      <c r="D381" s="9"/>
      <c r="E381" s="9"/>
      <c r="F381" s="9"/>
      <c r="G381" s="9"/>
      <c r="H381" s="10"/>
      <c r="I381" s="9"/>
      <c r="J381" s="9"/>
      <c r="K381" s="9"/>
      <c r="L381" s="9"/>
      <c r="M381" s="9"/>
    </row>
    <row r="382" spans="1:13" ht="15" x14ac:dyDescent="0.25">
      <c r="A382" s="9"/>
      <c r="B382" s="9"/>
      <c r="C382" s="9"/>
      <c r="D382" s="9"/>
      <c r="E382" s="9"/>
      <c r="F382" s="9"/>
      <c r="G382" s="9"/>
      <c r="H382" s="10"/>
      <c r="I382" s="9"/>
      <c r="J382" s="9"/>
      <c r="K382" s="9"/>
      <c r="L382" s="9"/>
      <c r="M382" s="9"/>
    </row>
    <row r="383" spans="1:13" ht="15" x14ac:dyDescent="0.25">
      <c r="A383" s="9"/>
      <c r="B383" s="9"/>
      <c r="C383" s="9"/>
      <c r="D383" s="9"/>
      <c r="E383" s="9"/>
      <c r="F383" s="9"/>
      <c r="G383" s="9"/>
      <c r="H383" s="10"/>
      <c r="I383" s="9"/>
      <c r="J383" s="9"/>
      <c r="K383" s="9"/>
      <c r="L383" s="9"/>
      <c r="M383" s="9"/>
    </row>
    <row r="384" spans="1:13" ht="15" x14ac:dyDescent="0.25">
      <c r="A384" s="9"/>
      <c r="B384" s="9"/>
      <c r="C384" s="9"/>
      <c r="D384" s="9"/>
      <c r="E384" s="9"/>
      <c r="F384" s="9"/>
      <c r="G384" s="9"/>
      <c r="H384" s="10"/>
      <c r="I384" s="9"/>
      <c r="J384" s="9"/>
      <c r="K384" s="9"/>
      <c r="L384" s="9"/>
      <c r="M384" s="9"/>
    </row>
    <row r="385" spans="1:13" ht="15" x14ac:dyDescent="0.25">
      <c r="A385" s="9"/>
      <c r="B385" s="9"/>
      <c r="C385" s="9"/>
      <c r="D385" s="9"/>
      <c r="E385" s="9"/>
      <c r="F385" s="9"/>
      <c r="G385" s="9"/>
      <c r="H385" s="10"/>
      <c r="I385" s="9"/>
      <c r="J385" s="9"/>
      <c r="K385" s="9"/>
      <c r="L385" s="9"/>
      <c r="M385" s="9"/>
    </row>
    <row r="386" spans="1:13" ht="15" x14ac:dyDescent="0.25">
      <c r="A386" s="9"/>
      <c r="B386" s="9"/>
      <c r="C386" s="9"/>
      <c r="D386" s="9"/>
      <c r="E386" s="9"/>
      <c r="F386" s="9"/>
      <c r="G386" s="9"/>
      <c r="H386" s="10"/>
      <c r="I386" s="9"/>
      <c r="J386" s="9"/>
      <c r="K386" s="9"/>
      <c r="L386" s="9"/>
      <c r="M386" s="9"/>
    </row>
    <row r="387" spans="1:13" ht="15" x14ac:dyDescent="0.25">
      <c r="A387" s="9"/>
      <c r="B387" s="9"/>
      <c r="C387" s="9"/>
      <c r="D387" s="9"/>
      <c r="E387" s="9"/>
      <c r="F387" s="9"/>
      <c r="G387" s="9"/>
      <c r="H387" s="10"/>
      <c r="I387" s="9"/>
      <c r="J387" s="9"/>
      <c r="K387" s="9"/>
      <c r="L387" s="9"/>
      <c r="M387" s="9"/>
    </row>
    <row r="388" spans="1:13" ht="15" x14ac:dyDescent="0.25">
      <c r="A388" s="9"/>
      <c r="B388" s="9"/>
      <c r="C388" s="9"/>
      <c r="D388" s="9"/>
      <c r="E388" s="9"/>
      <c r="F388" s="9"/>
      <c r="G388" s="9"/>
      <c r="H388" s="10"/>
      <c r="I388" s="9"/>
      <c r="J388" s="9"/>
      <c r="K388" s="9"/>
      <c r="L388" s="9"/>
      <c r="M388" s="9"/>
    </row>
    <row r="389" spans="1:13" ht="15" x14ac:dyDescent="0.25">
      <c r="A389" s="9"/>
      <c r="B389" s="9"/>
      <c r="C389" s="9"/>
      <c r="D389" s="9"/>
      <c r="E389" s="9"/>
      <c r="F389" s="9"/>
      <c r="G389" s="9"/>
      <c r="H389" s="10"/>
      <c r="I389" s="9"/>
      <c r="J389" s="9"/>
      <c r="K389" s="9"/>
      <c r="L389" s="9"/>
      <c r="M389" s="9"/>
    </row>
    <row r="390" spans="1:13" ht="15" x14ac:dyDescent="0.25">
      <c r="A390" s="9"/>
      <c r="B390" s="9"/>
      <c r="C390" s="9"/>
      <c r="D390" s="9"/>
      <c r="E390" s="9"/>
      <c r="F390" s="9"/>
      <c r="G390" s="9"/>
      <c r="H390" s="10"/>
      <c r="I390" s="9"/>
      <c r="J390" s="9"/>
      <c r="K390" s="9"/>
      <c r="L390" s="9"/>
      <c r="M390" s="9"/>
    </row>
    <row r="391" spans="1:13" ht="15" x14ac:dyDescent="0.25">
      <c r="A391" s="9"/>
      <c r="B391" s="9"/>
      <c r="C391" s="9"/>
      <c r="D391" s="9"/>
      <c r="E391" s="9"/>
      <c r="F391" s="9"/>
      <c r="G391" s="9"/>
      <c r="H391" s="10"/>
      <c r="I391" s="9"/>
      <c r="J391" s="9"/>
      <c r="K391" s="9"/>
      <c r="L391" s="9"/>
      <c r="M391" s="9"/>
    </row>
    <row r="392" spans="1:13" ht="15" x14ac:dyDescent="0.25">
      <c r="A392" s="9"/>
      <c r="B392" s="9"/>
      <c r="C392" s="9"/>
      <c r="D392" s="9"/>
      <c r="E392" s="9"/>
      <c r="F392" s="9"/>
      <c r="G392" s="9"/>
      <c r="H392" s="10"/>
      <c r="I392" s="9"/>
      <c r="J392" s="9"/>
      <c r="K392" s="9"/>
      <c r="L392" s="9"/>
      <c r="M392" s="9"/>
    </row>
    <row r="393" spans="1:13" ht="15" x14ac:dyDescent="0.25">
      <c r="A393" s="9"/>
      <c r="B393" s="9"/>
      <c r="C393" s="9"/>
      <c r="D393" s="9"/>
      <c r="E393" s="9"/>
      <c r="F393" s="9"/>
      <c r="G393" s="9"/>
      <c r="H393" s="10"/>
      <c r="I393" s="9"/>
      <c r="J393" s="9"/>
      <c r="K393" s="9"/>
      <c r="L393" s="9"/>
      <c r="M393" s="9"/>
    </row>
    <row r="394" spans="1:13" ht="15" x14ac:dyDescent="0.25">
      <c r="A394" s="9"/>
      <c r="B394" s="9"/>
      <c r="C394" s="9"/>
      <c r="D394" s="9"/>
      <c r="E394" s="9"/>
      <c r="F394" s="9"/>
      <c r="G394" s="9"/>
      <c r="H394" s="10"/>
      <c r="I394" s="9"/>
      <c r="J394" s="9"/>
      <c r="K394" s="9"/>
      <c r="L394" s="9"/>
      <c r="M394" s="9"/>
    </row>
    <row r="395" spans="1:13" ht="15" x14ac:dyDescent="0.25">
      <c r="A395" s="9"/>
      <c r="B395" s="9"/>
      <c r="C395" s="9"/>
      <c r="D395" s="9"/>
      <c r="E395" s="9"/>
      <c r="F395" s="9"/>
      <c r="G395" s="9"/>
      <c r="H395" s="10"/>
      <c r="I395" s="9"/>
      <c r="J395" s="9"/>
      <c r="K395" s="9"/>
      <c r="L395" s="9"/>
      <c r="M395" s="9"/>
    </row>
    <row r="396" spans="1:13" ht="15" x14ac:dyDescent="0.25">
      <c r="A396" s="9"/>
      <c r="B396" s="9"/>
      <c r="C396" s="9"/>
      <c r="D396" s="9"/>
      <c r="E396" s="9"/>
      <c r="F396" s="9"/>
      <c r="G396" s="9"/>
      <c r="H396" s="10"/>
      <c r="I396" s="9"/>
      <c r="J396" s="9"/>
      <c r="K396" s="9"/>
      <c r="L396" s="9"/>
      <c r="M396" s="9"/>
    </row>
    <row r="397" spans="1:13" ht="15" x14ac:dyDescent="0.25">
      <c r="A397" s="9"/>
      <c r="B397" s="9"/>
      <c r="C397" s="9"/>
      <c r="D397" s="9"/>
      <c r="E397" s="9"/>
      <c r="F397" s="9"/>
      <c r="G397" s="9"/>
      <c r="H397" s="10"/>
      <c r="I397" s="9"/>
      <c r="J397" s="9"/>
      <c r="K397" s="9"/>
      <c r="L397" s="9"/>
      <c r="M397" s="9"/>
    </row>
    <row r="398" spans="1:13" ht="15" x14ac:dyDescent="0.25">
      <c r="A398" s="9"/>
      <c r="B398" s="9"/>
      <c r="C398" s="9"/>
      <c r="D398" s="9"/>
      <c r="E398" s="9"/>
      <c r="F398" s="9"/>
      <c r="G398" s="9"/>
      <c r="H398" s="10"/>
      <c r="I398" s="9"/>
      <c r="J398" s="9"/>
      <c r="K398" s="9"/>
      <c r="L398" s="9"/>
      <c r="M398" s="9"/>
    </row>
    <row r="399" spans="1:13" ht="15" x14ac:dyDescent="0.25">
      <c r="A399" s="9"/>
      <c r="B399" s="9"/>
      <c r="C399" s="9"/>
      <c r="D399" s="9"/>
      <c r="E399" s="9"/>
      <c r="F399" s="9"/>
      <c r="G399" s="9"/>
      <c r="H399" s="10"/>
      <c r="I399" s="9"/>
      <c r="J399" s="9"/>
      <c r="K399" s="9"/>
      <c r="L399" s="9"/>
      <c r="M399" s="9"/>
    </row>
    <row r="400" spans="1:13" ht="15" x14ac:dyDescent="0.25">
      <c r="A400" s="9"/>
      <c r="B400" s="9"/>
      <c r="C400" s="9"/>
      <c r="D400" s="9"/>
      <c r="E400" s="9"/>
      <c r="F400" s="9"/>
      <c r="G400" s="9"/>
      <c r="H400" s="10"/>
      <c r="I400" s="9"/>
      <c r="J400" s="9"/>
      <c r="K400" s="9"/>
      <c r="L400" s="9"/>
      <c r="M400" s="9"/>
    </row>
    <row r="401" spans="1:13" ht="15" x14ac:dyDescent="0.25">
      <c r="A401" s="9"/>
      <c r="B401" s="9"/>
      <c r="C401" s="9"/>
      <c r="D401" s="9"/>
      <c r="E401" s="9"/>
      <c r="F401" s="9"/>
      <c r="G401" s="9"/>
      <c r="H401" s="10"/>
      <c r="I401" s="9"/>
      <c r="J401" s="9"/>
      <c r="K401" s="9"/>
      <c r="L401" s="9"/>
      <c r="M401" s="9"/>
    </row>
    <row r="402" spans="1:13" ht="15" x14ac:dyDescent="0.25">
      <c r="A402" s="9"/>
      <c r="B402" s="9"/>
      <c r="C402" s="9"/>
      <c r="D402" s="9"/>
      <c r="E402" s="9"/>
      <c r="F402" s="9"/>
      <c r="G402" s="9"/>
      <c r="H402" s="10"/>
      <c r="I402" s="9"/>
      <c r="J402" s="9"/>
      <c r="K402" s="9"/>
      <c r="L402" s="9"/>
      <c r="M402" s="9"/>
    </row>
    <row r="403" spans="1:13" ht="15" x14ac:dyDescent="0.25">
      <c r="A403" s="9"/>
      <c r="B403" s="9"/>
      <c r="C403" s="9"/>
      <c r="D403" s="9"/>
      <c r="E403" s="9"/>
      <c r="F403" s="9"/>
      <c r="G403" s="9"/>
      <c r="H403" s="10"/>
      <c r="I403" s="9"/>
      <c r="J403" s="9"/>
      <c r="K403" s="9"/>
      <c r="L403" s="9"/>
      <c r="M403" s="9"/>
    </row>
    <row r="404" spans="1:13" ht="15" x14ac:dyDescent="0.25">
      <c r="A404" s="9"/>
      <c r="B404" s="9"/>
      <c r="C404" s="9"/>
      <c r="D404" s="9"/>
      <c r="E404" s="9"/>
      <c r="F404" s="9"/>
      <c r="G404" s="9"/>
      <c r="H404" s="10"/>
      <c r="I404" s="9"/>
      <c r="J404" s="9"/>
      <c r="K404" s="9"/>
      <c r="L404" s="9"/>
      <c r="M404" s="9"/>
    </row>
    <row r="405" spans="1:13" ht="15" x14ac:dyDescent="0.25">
      <c r="A405" s="9"/>
      <c r="B405" s="9"/>
      <c r="C405" s="9"/>
      <c r="D405" s="9"/>
      <c r="E405" s="9"/>
      <c r="F405" s="9"/>
      <c r="G405" s="9"/>
      <c r="H405" s="10"/>
      <c r="I405" s="9"/>
      <c r="J405" s="9"/>
      <c r="K405" s="9"/>
      <c r="L405" s="9"/>
      <c r="M405" s="9"/>
    </row>
    <row r="406" spans="1:13" ht="15" x14ac:dyDescent="0.25">
      <c r="A406" s="9"/>
      <c r="B406" s="9"/>
      <c r="C406" s="9"/>
      <c r="D406" s="9"/>
      <c r="E406" s="9"/>
      <c r="F406" s="9"/>
      <c r="G406" s="9"/>
      <c r="H406" s="10"/>
      <c r="I406" s="9"/>
      <c r="J406" s="9"/>
      <c r="K406" s="9"/>
      <c r="L406" s="9"/>
      <c r="M406" s="9"/>
    </row>
    <row r="407" spans="1:13" ht="15" x14ac:dyDescent="0.25">
      <c r="A407" s="9"/>
      <c r="B407" s="9"/>
      <c r="C407" s="9"/>
      <c r="D407" s="9"/>
      <c r="E407" s="9"/>
      <c r="F407" s="9"/>
      <c r="G407" s="9"/>
      <c r="H407" s="10"/>
      <c r="I407" s="9"/>
      <c r="J407" s="9"/>
      <c r="K407" s="9"/>
      <c r="L407" s="9"/>
      <c r="M407" s="9"/>
    </row>
    <row r="408" spans="1:13" ht="15" x14ac:dyDescent="0.25">
      <c r="A408" s="9"/>
      <c r="B408" s="9"/>
      <c r="C408" s="9"/>
      <c r="D408" s="9"/>
      <c r="E408" s="9"/>
      <c r="F408" s="9"/>
      <c r="G408" s="9"/>
      <c r="H408" s="10"/>
      <c r="I408" s="9"/>
      <c r="J408" s="9"/>
      <c r="K408" s="9"/>
      <c r="L408" s="9"/>
      <c r="M408" s="9"/>
    </row>
    <row r="409" spans="1:13" ht="15" x14ac:dyDescent="0.25">
      <c r="A409" s="9"/>
      <c r="B409" s="9"/>
      <c r="C409" s="9"/>
      <c r="D409" s="9"/>
      <c r="E409" s="9"/>
      <c r="F409" s="9"/>
      <c r="G409" s="9"/>
      <c r="H409" s="10"/>
      <c r="I409" s="9"/>
      <c r="J409" s="9"/>
      <c r="K409" s="9"/>
      <c r="L409" s="9"/>
      <c r="M409" s="9"/>
    </row>
    <row r="410" spans="1:13" ht="15" x14ac:dyDescent="0.25">
      <c r="A410" s="9"/>
      <c r="B410" s="9"/>
      <c r="C410" s="9"/>
      <c r="D410" s="9"/>
      <c r="E410" s="9"/>
      <c r="F410" s="9"/>
      <c r="G410" s="9"/>
      <c r="H410" s="10"/>
      <c r="I410" s="9"/>
      <c r="J410" s="9"/>
      <c r="K410" s="9"/>
      <c r="L410" s="9"/>
      <c r="M410" s="9"/>
    </row>
    <row r="411" spans="1:13" ht="15" x14ac:dyDescent="0.25">
      <c r="A411" s="9"/>
      <c r="B411" s="9"/>
      <c r="C411" s="9"/>
      <c r="D411" s="9"/>
      <c r="E411" s="9"/>
      <c r="F411" s="9"/>
      <c r="G411" s="9"/>
      <c r="H411" s="10"/>
      <c r="I411" s="9"/>
      <c r="J411" s="9"/>
      <c r="K411" s="9"/>
      <c r="L411" s="9"/>
      <c r="M411" s="9"/>
    </row>
    <row r="412" spans="1:13" ht="15" x14ac:dyDescent="0.25">
      <c r="A412" s="9"/>
      <c r="B412" s="9"/>
      <c r="C412" s="9"/>
      <c r="D412" s="9"/>
      <c r="E412" s="9"/>
      <c r="F412" s="9"/>
      <c r="G412" s="9"/>
      <c r="H412" s="10"/>
      <c r="I412" s="9"/>
      <c r="J412" s="9"/>
      <c r="K412" s="9"/>
      <c r="L412" s="9"/>
      <c r="M412" s="9"/>
    </row>
    <row r="413" spans="1:13" ht="15" x14ac:dyDescent="0.25">
      <c r="A413" s="9"/>
      <c r="B413" s="9"/>
      <c r="C413" s="9"/>
      <c r="D413" s="9"/>
      <c r="E413" s="9"/>
      <c r="F413" s="9"/>
      <c r="G413" s="9"/>
      <c r="H413" s="10"/>
      <c r="I413" s="9"/>
      <c r="J413" s="9"/>
      <c r="K413" s="9"/>
      <c r="L413" s="9"/>
      <c r="M413" s="9"/>
    </row>
    <row r="414" spans="1:13" ht="15" x14ac:dyDescent="0.25">
      <c r="A414" s="9"/>
      <c r="B414" s="9"/>
      <c r="C414" s="9"/>
      <c r="D414" s="9"/>
      <c r="E414" s="9"/>
      <c r="F414" s="9"/>
      <c r="G414" s="9"/>
      <c r="H414" s="10"/>
      <c r="I414" s="9"/>
      <c r="J414" s="9"/>
      <c r="K414" s="9"/>
      <c r="L414" s="9"/>
      <c r="M414" s="9"/>
    </row>
    <row r="415" spans="1:13" ht="15" x14ac:dyDescent="0.25">
      <c r="A415" s="9"/>
      <c r="B415" s="9"/>
      <c r="C415" s="9"/>
      <c r="D415" s="9"/>
      <c r="E415" s="9"/>
      <c r="F415" s="9"/>
      <c r="G415" s="9"/>
      <c r="H415" s="10"/>
      <c r="I415" s="9"/>
      <c r="J415" s="9"/>
      <c r="K415" s="9"/>
      <c r="L415" s="9"/>
      <c r="M415" s="9"/>
    </row>
    <row r="416" spans="1:13" ht="15" x14ac:dyDescent="0.25">
      <c r="A416" s="9"/>
      <c r="B416" s="9"/>
      <c r="C416" s="9"/>
      <c r="D416" s="9"/>
      <c r="E416" s="9"/>
      <c r="F416" s="9"/>
      <c r="G416" s="9"/>
      <c r="H416" s="10"/>
      <c r="I416" s="9"/>
      <c r="J416" s="9"/>
      <c r="K416" s="9"/>
      <c r="L416" s="9"/>
      <c r="M416" s="9"/>
    </row>
    <row r="417" spans="1:13" ht="15" x14ac:dyDescent="0.25">
      <c r="A417" s="9"/>
      <c r="B417" s="9"/>
      <c r="C417" s="9"/>
      <c r="D417" s="9"/>
      <c r="E417" s="9"/>
      <c r="F417" s="9"/>
      <c r="G417" s="9"/>
      <c r="H417" s="10"/>
      <c r="I417" s="9"/>
      <c r="J417" s="9"/>
      <c r="K417" s="9"/>
      <c r="L417" s="9"/>
      <c r="M417" s="9"/>
    </row>
    <row r="418" spans="1:13" ht="15" x14ac:dyDescent="0.25">
      <c r="A418" s="9"/>
      <c r="B418" s="9"/>
      <c r="C418" s="9"/>
      <c r="D418" s="9"/>
      <c r="E418" s="9"/>
      <c r="F418" s="9"/>
      <c r="G418" s="9"/>
      <c r="H418" s="10"/>
      <c r="I418" s="9"/>
      <c r="J418" s="9"/>
      <c r="K418" s="9"/>
      <c r="L418" s="9"/>
      <c r="M418" s="9"/>
    </row>
    <row r="419" spans="1:13" ht="15" x14ac:dyDescent="0.25">
      <c r="A419" s="9"/>
      <c r="B419" s="9"/>
      <c r="C419" s="9"/>
      <c r="D419" s="9"/>
      <c r="E419" s="9"/>
      <c r="F419" s="9"/>
      <c r="G419" s="9"/>
      <c r="H419" s="10"/>
      <c r="I419" s="9"/>
      <c r="J419" s="9"/>
      <c r="K419" s="9"/>
      <c r="L419" s="9"/>
      <c r="M419" s="9"/>
    </row>
    <row r="420" spans="1:13" ht="15" x14ac:dyDescent="0.25">
      <c r="A420" s="9"/>
      <c r="B420" s="9"/>
      <c r="C420" s="9"/>
      <c r="D420" s="9"/>
      <c r="E420" s="9"/>
      <c r="F420" s="9"/>
      <c r="G420" s="9"/>
      <c r="H420" s="10"/>
      <c r="I420" s="9"/>
      <c r="J420" s="9"/>
      <c r="K420" s="9"/>
      <c r="L420" s="9"/>
      <c r="M420" s="9"/>
    </row>
    <row r="421" spans="1:13" ht="15" x14ac:dyDescent="0.25">
      <c r="A421" s="9"/>
      <c r="B421" s="9"/>
      <c r="C421" s="9"/>
      <c r="D421" s="9"/>
      <c r="E421" s="9"/>
      <c r="F421" s="9"/>
      <c r="G421" s="9"/>
      <c r="H421" s="10"/>
      <c r="I421" s="9"/>
      <c r="J421" s="9"/>
      <c r="K421" s="9"/>
      <c r="L421" s="9"/>
      <c r="M421" s="9"/>
    </row>
    <row r="422" spans="1:13" ht="15" x14ac:dyDescent="0.25">
      <c r="A422" s="9"/>
      <c r="B422" s="9"/>
      <c r="C422" s="9"/>
      <c r="D422" s="9"/>
      <c r="E422" s="9"/>
      <c r="F422" s="9"/>
      <c r="G422" s="9"/>
      <c r="H422" s="10"/>
      <c r="I422" s="9"/>
      <c r="J422" s="9"/>
      <c r="K422" s="9"/>
      <c r="L422" s="9"/>
      <c r="M422" s="9"/>
    </row>
    <row r="423" spans="1:13" ht="15" x14ac:dyDescent="0.25">
      <c r="A423" s="9"/>
      <c r="B423" s="9"/>
      <c r="C423" s="9"/>
      <c r="D423" s="9"/>
      <c r="E423" s="9"/>
      <c r="F423" s="9"/>
      <c r="G423" s="9"/>
      <c r="H423" s="10"/>
      <c r="I423" s="9"/>
      <c r="J423" s="9"/>
      <c r="K423" s="9"/>
      <c r="L423" s="9"/>
      <c r="M423" s="9"/>
    </row>
    <row r="424" spans="1:13" ht="15" x14ac:dyDescent="0.25">
      <c r="A424" s="9"/>
      <c r="B424" s="9"/>
      <c r="C424" s="9"/>
      <c r="D424" s="9"/>
      <c r="E424" s="9"/>
      <c r="F424" s="9"/>
      <c r="G424" s="9"/>
      <c r="H424" s="10"/>
      <c r="I424" s="9"/>
      <c r="J424" s="9"/>
      <c r="K424" s="9"/>
      <c r="L424" s="9"/>
      <c r="M424" s="9"/>
    </row>
    <row r="425" spans="1:13" ht="15" x14ac:dyDescent="0.25">
      <c r="A425" s="9"/>
      <c r="B425" s="9"/>
      <c r="C425" s="9"/>
      <c r="D425" s="9"/>
      <c r="E425" s="9"/>
      <c r="F425" s="9"/>
      <c r="G425" s="9"/>
      <c r="H425" s="10"/>
      <c r="I425" s="9"/>
      <c r="J425" s="9"/>
      <c r="K425" s="9"/>
      <c r="L425" s="9"/>
      <c r="M425" s="9"/>
    </row>
    <row r="426" spans="1:13" ht="15" x14ac:dyDescent="0.25">
      <c r="A426" s="9"/>
      <c r="B426" s="9"/>
      <c r="C426" s="9"/>
      <c r="D426" s="9"/>
      <c r="E426" s="9"/>
      <c r="F426" s="9"/>
      <c r="G426" s="9"/>
      <c r="H426" s="10"/>
      <c r="I426" s="9"/>
      <c r="J426" s="9"/>
      <c r="K426" s="9"/>
      <c r="L426" s="9"/>
      <c r="M426" s="9"/>
    </row>
    <row r="427" spans="1:13" ht="15" x14ac:dyDescent="0.25">
      <c r="A427" s="9"/>
      <c r="B427" s="9"/>
      <c r="C427" s="9"/>
      <c r="D427" s="9"/>
      <c r="E427" s="9"/>
      <c r="F427" s="9"/>
      <c r="G427" s="9"/>
      <c r="H427" s="10"/>
      <c r="I427" s="9"/>
      <c r="J427" s="9"/>
      <c r="K427" s="9"/>
      <c r="L427" s="9"/>
      <c r="M427" s="9"/>
    </row>
    <row r="428" spans="1:13" ht="15" x14ac:dyDescent="0.25">
      <c r="A428" s="9"/>
      <c r="B428" s="9"/>
      <c r="C428" s="9"/>
      <c r="D428" s="9"/>
      <c r="E428" s="9"/>
      <c r="F428" s="9"/>
      <c r="G428" s="9"/>
      <c r="H428" s="10"/>
      <c r="I428" s="9"/>
      <c r="J428" s="9"/>
      <c r="K428" s="9"/>
      <c r="L428" s="9"/>
      <c r="M428" s="9"/>
    </row>
    <row r="429" spans="1:13" ht="15" x14ac:dyDescent="0.25">
      <c r="A429" s="9"/>
      <c r="B429" s="9"/>
      <c r="C429" s="9"/>
      <c r="D429" s="9"/>
      <c r="E429" s="9"/>
      <c r="F429" s="9"/>
      <c r="G429" s="9"/>
      <c r="H429" s="10"/>
      <c r="I429" s="9"/>
      <c r="J429" s="9"/>
      <c r="K429" s="9"/>
      <c r="L429" s="9"/>
      <c r="M429" s="9"/>
    </row>
    <row r="430" spans="1:13" ht="15" x14ac:dyDescent="0.25">
      <c r="A430" s="9"/>
      <c r="B430" s="9"/>
      <c r="C430" s="9"/>
      <c r="D430" s="9"/>
      <c r="E430" s="9"/>
      <c r="F430" s="9"/>
      <c r="G430" s="9"/>
      <c r="H430" s="10"/>
      <c r="I430" s="9"/>
      <c r="J430" s="9"/>
      <c r="K430" s="9"/>
      <c r="L430" s="9"/>
      <c r="M430" s="9"/>
    </row>
    <row r="431" spans="1:13" ht="15" x14ac:dyDescent="0.25">
      <c r="A431" s="9"/>
      <c r="B431" s="9"/>
      <c r="C431" s="9"/>
      <c r="D431" s="9"/>
      <c r="E431" s="9"/>
      <c r="F431" s="9"/>
      <c r="G431" s="9"/>
      <c r="H431" s="10"/>
      <c r="I431" s="9"/>
      <c r="J431" s="9"/>
      <c r="K431" s="9"/>
      <c r="L431" s="9"/>
      <c r="M431" s="9"/>
    </row>
    <row r="432" spans="1:13" ht="15" x14ac:dyDescent="0.25">
      <c r="A432" s="9"/>
      <c r="B432" s="9"/>
      <c r="C432" s="9"/>
      <c r="D432" s="9"/>
      <c r="E432" s="9"/>
      <c r="F432" s="9"/>
      <c r="G432" s="9"/>
      <c r="H432" s="10"/>
      <c r="I432" s="9"/>
      <c r="J432" s="9"/>
      <c r="K432" s="9"/>
      <c r="L432" s="9"/>
      <c r="M432" s="9"/>
    </row>
    <row r="433" spans="1:13" ht="15" x14ac:dyDescent="0.25">
      <c r="A433" s="9"/>
      <c r="B433" s="9"/>
      <c r="C433" s="9"/>
      <c r="D433" s="9"/>
      <c r="E433" s="9"/>
      <c r="F433" s="9"/>
      <c r="G433" s="9"/>
      <c r="H433" s="10"/>
      <c r="I433" s="9"/>
      <c r="J433" s="9"/>
      <c r="K433" s="9"/>
      <c r="L433" s="9"/>
      <c r="M433" s="9"/>
    </row>
    <row r="434" spans="1:13" ht="15" x14ac:dyDescent="0.25">
      <c r="A434" s="9"/>
      <c r="B434" s="9"/>
      <c r="C434" s="9"/>
      <c r="D434" s="9"/>
      <c r="E434" s="9"/>
      <c r="F434" s="9"/>
      <c r="G434" s="9"/>
      <c r="H434" s="10"/>
      <c r="I434" s="9"/>
      <c r="J434" s="9"/>
      <c r="K434" s="9"/>
      <c r="L434" s="9"/>
      <c r="M434" s="9"/>
    </row>
    <row r="435" spans="1:13" ht="15" x14ac:dyDescent="0.25">
      <c r="A435" s="9"/>
      <c r="B435" s="9"/>
      <c r="C435" s="9"/>
      <c r="D435" s="9"/>
      <c r="E435" s="9"/>
      <c r="F435" s="9"/>
      <c r="G435" s="9"/>
      <c r="H435" s="10"/>
      <c r="I435" s="9"/>
      <c r="J435" s="9"/>
      <c r="K435" s="9"/>
      <c r="L435" s="9"/>
      <c r="M435" s="9"/>
    </row>
    <row r="436" spans="1:13" ht="15" x14ac:dyDescent="0.25">
      <c r="A436" s="9"/>
      <c r="B436" s="9"/>
      <c r="C436" s="9"/>
      <c r="D436" s="9"/>
      <c r="E436" s="9"/>
      <c r="F436" s="9"/>
      <c r="G436" s="9"/>
      <c r="H436" s="10"/>
      <c r="I436" s="9"/>
      <c r="J436" s="9"/>
      <c r="K436" s="9"/>
      <c r="L436" s="9"/>
      <c r="M436" s="9"/>
    </row>
    <row r="437" spans="1:13" ht="15" x14ac:dyDescent="0.25">
      <c r="A437" s="9"/>
      <c r="B437" s="9"/>
      <c r="C437" s="9"/>
      <c r="D437" s="9"/>
      <c r="E437" s="9"/>
      <c r="F437" s="9"/>
      <c r="G437" s="9"/>
      <c r="H437" s="10"/>
      <c r="I437" s="9"/>
      <c r="J437" s="9"/>
      <c r="K437" s="9"/>
      <c r="L437" s="9"/>
      <c r="M437" s="9"/>
    </row>
    <row r="438" spans="1:13" ht="15" x14ac:dyDescent="0.25">
      <c r="A438" s="9"/>
      <c r="B438" s="9"/>
      <c r="C438" s="9"/>
      <c r="D438" s="9"/>
      <c r="E438" s="9"/>
      <c r="F438" s="9"/>
      <c r="G438" s="9"/>
      <c r="H438" s="10"/>
      <c r="I438" s="9"/>
      <c r="J438" s="9"/>
      <c r="K438" s="9"/>
      <c r="L438" s="9"/>
      <c r="M438" s="9"/>
    </row>
    <row r="439" spans="1:13" ht="15" x14ac:dyDescent="0.25">
      <c r="A439" s="9"/>
      <c r="B439" s="9"/>
      <c r="C439" s="9"/>
      <c r="D439" s="9"/>
      <c r="E439" s="9"/>
      <c r="F439" s="9"/>
      <c r="G439" s="9"/>
      <c r="H439" s="10"/>
      <c r="I439" s="9"/>
      <c r="J439" s="9"/>
      <c r="K439" s="9"/>
      <c r="L439" s="9"/>
      <c r="M439" s="9"/>
    </row>
    <row r="440" spans="1:13" ht="15" x14ac:dyDescent="0.25">
      <c r="A440" s="9"/>
      <c r="B440" s="9"/>
      <c r="C440" s="9"/>
      <c r="D440" s="9"/>
      <c r="E440" s="9"/>
      <c r="F440" s="9"/>
      <c r="G440" s="9"/>
      <c r="H440" s="10"/>
      <c r="I440" s="9"/>
      <c r="J440" s="9"/>
      <c r="K440" s="9"/>
      <c r="L440" s="9"/>
      <c r="M440" s="9"/>
    </row>
    <row r="441" spans="1:13" ht="15" x14ac:dyDescent="0.25">
      <c r="A441" s="9"/>
      <c r="B441" s="9"/>
      <c r="C441" s="9"/>
      <c r="D441" s="9"/>
      <c r="E441" s="9"/>
      <c r="F441" s="9"/>
      <c r="G441" s="9"/>
      <c r="H441" s="10"/>
      <c r="I441" s="9"/>
      <c r="J441" s="9"/>
      <c r="K441" s="9"/>
      <c r="L441" s="9"/>
      <c r="M441" s="9"/>
    </row>
    <row r="442" spans="1:13" ht="15" x14ac:dyDescent="0.25">
      <c r="A442" s="9"/>
      <c r="B442" s="9"/>
      <c r="C442" s="9"/>
      <c r="D442" s="9"/>
      <c r="E442" s="9"/>
      <c r="F442" s="9"/>
      <c r="G442" s="9"/>
      <c r="H442" s="10"/>
      <c r="I442" s="9"/>
      <c r="J442" s="9"/>
      <c r="K442" s="9"/>
      <c r="L442" s="9"/>
      <c r="M442" s="9"/>
    </row>
    <row r="443" spans="1:13" ht="15" x14ac:dyDescent="0.25">
      <c r="A443" s="9"/>
      <c r="B443" s="9"/>
      <c r="C443" s="9"/>
      <c r="D443" s="9"/>
      <c r="E443" s="9"/>
      <c r="F443" s="9"/>
      <c r="G443" s="9"/>
      <c r="H443" s="10"/>
      <c r="I443" s="9"/>
      <c r="J443" s="9"/>
      <c r="K443" s="9"/>
      <c r="L443" s="9"/>
      <c r="M443" s="9"/>
    </row>
    <row r="444" spans="1:13" ht="15" x14ac:dyDescent="0.25">
      <c r="A444" s="9"/>
      <c r="B444" s="9"/>
      <c r="C444" s="9"/>
      <c r="D444" s="9"/>
      <c r="E444" s="9"/>
      <c r="F444" s="9"/>
      <c r="G444" s="9"/>
      <c r="H444" s="10"/>
      <c r="I444" s="9"/>
      <c r="J444" s="9"/>
      <c r="K444" s="9"/>
      <c r="L444" s="9"/>
      <c r="M444" s="9"/>
    </row>
    <row r="445" spans="1:13" ht="15" x14ac:dyDescent="0.25">
      <c r="A445" s="9"/>
      <c r="B445" s="9"/>
      <c r="C445" s="9"/>
      <c r="D445" s="9"/>
      <c r="E445" s="9"/>
      <c r="F445" s="9"/>
      <c r="G445" s="9"/>
      <c r="H445" s="10"/>
      <c r="I445" s="9"/>
      <c r="J445" s="9"/>
      <c r="K445" s="9"/>
      <c r="L445" s="9"/>
      <c r="M445" s="9"/>
    </row>
    <row r="446" spans="1:13" ht="15" x14ac:dyDescent="0.25">
      <c r="A446" s="9"/>
      <c r="B446" s="9"/>
      <c r="C446" s="9"/>
      <c r="D446" s="9"/>
      <c r="E446" s="9"/>
      <c r="F446" s="9"/>
      <c r="G446" s="9"/>
      <c r="H446" s="10"/>
      <c r="I446" s="9"/>
      <c r="J446" s="9"/>
      <c r="K446" s="9"/>
      <c r="L446" s="9"/>
      <c r="M446" s="9"/>
    </row>
    <row r="447" spans="1:13" ht="15" x14ac:dyDescent="0.25">
      <c r="A447" s="9"/>
      <c r="B447" s="9"/>
      <c r="C447" s="9"/>
      <c r="D447" s="9"/>
      <c r="E447" s="9"/>
      <c r="F447" s="9"/>
      <c r="G447" s="9"/>
      <c r="H447" s="10"/>
      <c r="I447" s="9"/>
      <c r="J447" s="9"/>
      <c r="K447" s="9"/>
      <c r="L447" s="9"/>
      <c r="M447" s="9"/>
    </row>
    <row r="448" spans="1:13" ht="15" x14ac:dyDescent="0.25">
      <c r="A448" s="9"/>
      <c r="B448" s="9"/>
      <c r="C448" s="9"/>
      <c r="D448" s="9"/>
      <c r="E448" s="9"/>
      <c r="F448" s="9"/>
      <c r="G448" s="9"/>
      <c r="H448" s="10"/>
      <c r="I448" s="9"/>
      <c r="J448" s="9"/>
      <c r="K448" s="9"/>
      <c r="L448" s="9"/>
      <c r="M448" s="9"/>
    </row>
    <row r="449" spans="1:13" ht="15" x14ac:dyDescent="0.25">
      <c r="A449" s="9"/>
      <c r="B449" s="9"/>
      <c r="C449" s="9"/>
      <c r="D449" s="9"/>
      <c r="E449" s="9"/>
      <c r="F449" s="9"/>
      <c r="G449" s="9"/>
      <c r="H449" s="10"/>
      <c r="I449" s="9"/>
      <c r="J449" s="9"/>
      <c r="K449" s="9"/>
      <c r="L449" s="9"/>
      <c r="M449" s="9"/>
    </row>
    <row r="450" spans="1:13" ht="15" x14ac:dyDescent="0.25">
      <c r="A450" s="9"/>
      <c r="B450" s="9"/>
      <c r="C450" s="9"/>
      <c r="D450" s="9"/>
      <c r="E450" s="9"/>
      <c r="F450" s="9"/>
      <c r="G450" s="9"/>
      <c r="H450" s="10"/>
      <c r="I450" s="9"/>
      <c r="J450" s="9"/>
      <c r="K450" s="9"/>
      <c r="L450" s="9"/>
      <c r="M450" s="9"/>
    </row>
    <row r="451" spans="1:13" ht="15" x14ac:dyDescent="0.25">
      <c r="A451" s="9"/>
      <c r="B451" s="9"/>
      <c r="C451" s="9"/>
      <c r="D451" s="9"/>
      <c r="E451" s="9"/>
      <c r="F451" s="9"/>
      <c r="G451" s="9"/>
      <c r="H451" s="10"/>
      <c r="I451" s="9"/>
      <c r="J451" s="9"/>
      <c r="K451" s="9"/>
      <c r="L451" s="9"/>
      <c r="M451" s="9"/>
    </row>
    <row r="452" spans="1:13" ht="15" x14ac:dyDescent="0.25">
      <c r="A452" s="9"/>
      <c r="B452" s="9"/>
      <c r="C452" s="9"/>
      <c r="D452" s="9"/>
      <c r="E452" s="9"/>
      <c r="F452" s="9"/>
      <c r="G452" s="9"/>
      <c r="H452" s="10"/>
      <c r="I452" s="9"/>
      <c r="J452" s="9"/>
      <c r="K452" s="9"/>
      <c r="L452" s="9"/>
      <c r="M452" s="9"/>
    </row>
    <row r="453" spans="1:13" ht="15" x14ac:dyDescent="0.25">
      <c r="A453" s="9"/>
      <c r="B453" s="9"/>
      <c r="C453" s="9"/>
      <c r="D453" s="9"/>
      <c r="E453" s="9"/>
      <c r="F453" s="9"/>
      <c r="G453" s="9"/>
      <c r="H453" s="10"/>
      <c r="I453" s="9"/>
      <c r="J453" s="9"/>
      <c r="K453" s="9"/>
      <c r="L453" s="9"/>
      <c r="M453" s="9"/>
    </row>
    <row r="454" spans="1:13" ht="15" x14ac:dyDescent="0.25">
      <c r="A454" s="9"/>
      <c r="B454" s="9"/>
      <c r="C454" s="9"/>
      <c r="D454" s="9"/>
      <c r="E454" s="9"/>
      <c r="F454" s="9"/>
      <c r="G454" s="9"/>
      <c r="H454" s="10"/>
      <c r="I454" s="9"/>
      <c r="J454" s="9"/>
      <c r="K454" s="9"/>
      <c r="L454" s="9"/>
      <c r="M454" s="9"/>
    </row>
    <row r="455" spans="1:13" ht="15" x14ac:dyDescent="0.25">
      <c r="A455" s="9"/>
      <c r="B455" s="9"/>
      <c r="C455" s="9"/>
      <c r="D455" s="9"/>
      <c r="E455" s="9"/>
      <c r="F455" s="9"/>
      <c r="G455" s="9"/>
      <c r="H455" s="10"/>
      <c r="I455" s="9"/>
      <c r="J455" s="9"/>
      <c r="K455" s="9"/>
      <c r="L455" s="9"/>
      <c r="M455" s="9"/>
    </row>
    <row r="456" spans="1:13" ht="15" x14ac:dyDescent="0.25">
      <c r="A456" s="9"/>
      <c r="B456" s="9"/>
      <c r="C456" s="9"/>
      <c r="D456" s="9"/>
      <c r="E456" s="9"/>
      <c r="F456" s="9"/>
      <c r="G456" s="9"/>
      <c r="H456" s="10"/>
      <c r="I456" s="9"/>
      <c r="J456" s="9"/>
      <c r="K456" s="9"/>
      <c r="L456" s="9"/>
      <c r="M456" s="9"/>
    </row>
    <row r="457" spans="1:13" ht="15" x14ac:dyDescent="0.25">
      <c r="A457" s="9"/>
      <c r="B457" s="9"/>
      <c r="C457" s="9"/>
      <c r="D457" s="9"/>
      <c r="E457" s="9"/>
      <c r="F457" s="9"/>
      <c r="G457" s="9"/>
      <c r="H457" s="10"/>
      <c r="I457" s="9"/>
      <c r="J457" s="9"/>
      <c r="K457" s="9"/>
      <c r="L457" s="9"/>
      <c r="M457" s="9"/>
    </row>
    <row r="458" spans="1:13" ht="15" x14ac:dyDescent="0.25">
      <c r="A458" s="9"/>
      <c r="B458" s="9"/>
      <c r="C458" s="9"/>
      <c r="D458" s="9"/>
      <c r="E458" s="9"/>
      <c r="F458" s="9"/>
      <c r="G458" s="9"/>
      <c r="H458" s="10"/>
      <c r="I458" s="9"/>
      <c r="J458" s="9"/>
      <c r="K458" s="9"/>
      <c r="L458" s="9"/>
      <c r="M458" s="9"/>
    </row>
    <row r="459" spans="1:13" ht="15" x14ac:dyDescent="0.25">
      <c r="A459" s="9"/>
      <c r="B459" s="9"/>
      <c r="C459" s="9"/>
      <c r="D459" s="9"/>
      <c r="E459" s="9"/>
      <c r="F459" s="9"/>
      <c r="G459" s="9"/>
      <c r="H459" s="10"/>
      <c r="I459" s="9"/>
      <c r="J459" s="9"/>
      <c r="K459" s="9"/>
      <c r="L459" s="9"/>
      <c r="M459" s="9"/>
    </row>
    <row r="460" spans="1:13" ht="15" x14ac:dyDescent="0.25">
      <c r="A460" s="9"/>
      <c r="B460" s="9"/>
      <c r="C460" s="9"/>
      <c r="D460" s="9"/>
      <c r="E460" s="9"/>
      <c r="F460" s="9"/>
      <c r="G460" s="9"/>
      <c r="H460" s="10"/>
      <c r="I460" s="9"/>
      <c r="J460" s="9"/>
      <c r="K460" s="9"/>
      <c r="L460" s="9"/>
      <c r="M460" s="9"/>
    </row>
    <row r="461" spans="1:13" ht="15" x14ac:dyDescent="0.25">
      <c r="A461" s="9"/>
      <c r="B461" s="9"/>
      <c r="C461" s="9"/>
      <c r="D461" s="9"/>
      <c r="E461" s="9"/>
      <c r="F461" s="9"/>
      <c r="G461" s="9"/>
      <c r="H461" s="10"/>
      <c r="I461" s="9"/>
      <c r="J461" s="9"/>
      <c r="K461" s="9"/>
      <c r="L461" s="9"/>
      <c r="M461" s="9"/>
    </row>
    <row r="462" spans="1:13" ht="15" x14ac:dyDescent="0.25">
      <c r="A462" s="9"/>
      <c r="B462" s="9"/>
      <c r="C462" s="9"/>
      <c r="D462" s="9"/>
      <c r="E462" s="9"/>
      <c r="F462" s="9"/>
      <c r="G462" s="9"/>
      <c r="H462" s="10"/>
      <c r="I462" s="9"/>
      <c r="J462" s="9"/>
      <c r="K462" s="9"/>
      <c r="L462" s="9"/>
      <c r="M462" s="9"/>
    </row>
    <row r="463" spans="1:13" ht="15" x14ac:dyDescent="0.25">
      <c r="A463" s="9"/>
      <c r="B463" s="9"/>
      <c r="C463" s="9"/>
      <c r="D463" s="9"/>
      <c r="E463" s="9"/>
      <c r="F463" s="9"/>
      <c r="G463" s="9"/>
      <c r="H463" s="10"/>
      <c r="I463" s="9"/>
      <c r="J463" s="9"/>
      <c r="K463" s="9"/>
      <c r="L463" s="9"/>
      <c r="M463" s="9"/>
    </row>
    <row r="464" spans="1:13" ht="15" x14ac:dyDescent="0.25">
      <c r="A464" s="9"/>
      <c r="B464" s="9"/>
      <c r="C464" s="9"/>
      <c r="D464" s="9"/>
      <c r="E464" s="9"/>
      <c r="F464" s="9"/>
      <c r="G464" s="9"/>
      <c r="H464" s="10"/>
      <c r="I464" s="9"/>
      <c r="J464" s="9"/>
      <c r="K464" s="9"/>
      <c r="L464" s="9"/>
      <c r="M464" s="9"/>
    </row>
    <row r="465" spans="1:13" ht="15" x14ac:dyDescent="0.25">
      <c r="A465" s="9"/>
      <c r="B465" s="9"/>
      <c r="C465" s="9"/>
      <c r="D465" s="9"/>
      <c r="E465" s="9"/>
      <c r="F465" s="9"/>
      <c r="G465" s="9"/>
      <c r="H465" s="10"/>
      <c r="I465" s="9"/>
      <c r="J465" s="9"/>
      <c r="K465" s="9"/>
      <c r="L465" s="9"/>
      <c r="M465" s="9"/>
    </row>
    <row r="466" spans="1:13" ht="15" x14ac:dyDescent="0.25">
      <c r="A466" s="9"/>
      <c r="B466" s="9"/>
      <c r="C466" s="9"/>
      <c r="D466" s="9"/>
      <c r="E466" s="9"/>
      <c r="F466" s="9"/>
      <c r="G466" s="9"/>
      <c r="H466" s="10"/>
      <c r="I466" s="9"/>
      <c r="J466" s="9"/>
      <c r="K466" s="9"/>
      <c r="L466" s="9"/>
      <c r="M466" s="9"/>
    </row>
    <row r="467" spans="1:13" ht="15" x14ac:dyDescent="0.25">
      <c r="A467" s="9"/>
      <c r="B467" s="9"/>
      <c r="C467" s="9"/>
      <c r="D467" s="9"/>
      <c r="E467" s="9"/>
      <c r="F467" s="9"/>
      <c r="G467" s="9"/>
      <c r="H467" s="10"/>
      <c r="I467" s="9"/>
      <c r="J467" s="9"/>
      <c r="K467" s="9"/>
      <c r="L467" s="9"/>
      <c r="M467" s="9"/>
    </row>
    <row r="468" spans="1:13" ht="15" x14ac:dyDescent="0.25">
      <c r="A468" s="9"/>
      <c r="B468" s="9"/>
      <c r="C468" s="9"/>
      <c r="D468" s="9"/>
      <c r="E468" s="9"/>
      <c r="F468" s="9"/>
      <c r="G468" s="9"/>
      <c r="H468" s="10"/>
      <c r="I468" s="9"/>
      <c r="J468" s="9"/>
      <c r="K468" s="9"/>
      <c r="L468" s="9"/>
      <c r="M468" s="9"/>
    </row>
    <row r="469" spans="1:13" ht="15" x14ac:dyDescent="0.25">
      <c r="A469" s="9"/>
      <c r="B469" s="9"/>
      <c r="C469" s="9"/>
      <c r="D469" s="9"/>
      <c r="E469" s="9"/>
      <c r="F469" s="9"/>
      <c r="G469" s="9"/>
      <c r="H469" s="10"/>
      <c r="I469" s="9"/>
      <c r="J469" s="9"/>
      <c r="K469" s="9"/>
      <c r="L469" s="9"/>
      <c r="M469" s="9"/>
    </row>
    <row r="470" spans="1:13" ht="15" x14ac:dyDescent="0.25">
      <c r="A470" s="9"/>
      <c r="B470" s="9"/>
      <c r="C470" s="9"/>
      <c r="D470" s="9"/>
      <c r="E470" s="9"/>
      <c r="F470" s="9"/>
      <c r="G470" s="9"/>
      <c r="H470" s="10"/>
      <c r="I470" s="9"/>
      <c r="J470" s="9"/>
      <c r="K470" s="9"/>
      <c r="L470" s="9"/>
      <c r="M470" s="9"/>
    </row>
    <row r="471" spans="1:13" ht="15" x14ac:dyDescent="0.25">
      <c r="A471" s="9"/>
      <c r="B471" s="9"/>
      <c r="C471" s="9"/>
      <c r="D471" s="9"/>
      <c r="E471" s="9"/>
      <c r="F471" s="9"/>
      <c r="G471" s="9"/>
      <c r="H471" s="10"/>
      <c r="I471" s="9"/>
      <c r="J471" s="9"/>
      <c r="K471" s="9"/>
      <c r="L471" s="9"/>
      <c r="M471" s="9"/>
    </row>
    <row r="472" spans="1:13" ht="15" x14ac:dyDescent="0.25">
      <c r="A472" s="9"/>
      <c r="B472" s="9"/>
      <c r="C472" s="9"/>
      <c r="D472" s="9"/>
      <c r="E472" s="9"/>
      <c r="F472" s="9"/>
      <c r="G472" s="9"/>
      <c r="H472" s="10"/>
      <c r="I472" s="9"/>
      <c r="J472" s="9"/>
      <c r="K472" s="9"/>
      <c r="L472" s="9"/>
      <c r="M472" s="9"/>
    </row>
    <row r="473" spans="1:13" ht="15" x14ac:dyDescent="0.25">
      <c r="A473" s="9"/>
      <c r="B473" s="9"/>
      <c r="C473" s="9"/>
      <c r="D473" s="9"/>
      <c r="E473" s="9"/>
      <c r="F473" s="9"/>
      <c r="G473" s="9"/>
      <c r="H473" s="10"/>
      <c r="I473" s="9"/>
      <c r="J473" s="9"/>
      <c r="K473" s="9"/>
      <c r="L473" s="9"/>
      <c r="M473" s="9"/>
    </row>
    <row r="474" spans="1:13" ht="15" x14ac:dyDescent="0.25">
      <c r="A474" s="9"/>
      <c r="B474" s="9"/>
      <c r="C474" s="9"/>
      <c r="D474" s="9"/>
      <c r="E474" s="9"/>
      <c r="F474" s="9"/>
      <c r="G474" s="9"/>
      <c r="H474" s="10"/>
      <c r="I474" s="9"/>
      <c r="J474" s="9"/>
      <c r="K474" s="9"/>
      <c r="L474" s="9"/>
      <c r="M474" s="9"/>
    </row>
    <row r="475" spans="1:13" ht="15" x14ac:dyDescent="0.25">
      <c r="A475" s="9"/>
      <c r="B475" s="9"/>
      <c r="C475" s="9"/>
      <c r="D475" s="9"/>
      <c r="E475" s="9"/>
      <c r="F475" s="9"/>
      <c r="G475" s="9"/>
      <c r="H475" s="10"/>
      <c r="I475" s="9"/>
      <c r="J475" s="9"/>
      <c r="K475" s="9"/>
      <c r="L475" s="9"/>
      <c r="M475" s="9"/>
    </row>
    <row r="476" spans="1:13" ht="15" x14ac:dyDescent="0.25">
      <c r="A476" s="9"/>
      <c r="B476" s="9"/>
      <c r="C476" s="9"/>
      <c r="D476" s="9"/>
      <c r="E476" s="9"/>
      <c r="F476" s="9"/>
      <c r="G476" s="9"/>
      <c r="H476" s="10"/>
      <c r="I476" s="9"/>
      <c r="J476" s="9"/>
      <c r="K476" s="9"/>
      <c r="L476" s="9"/>
      <c r="M476" s="9"/>
    </row>
    <row r="477" spans="1:13" ht="15" x14ac:dyDescent="0.25">
      <c r="A477" s="9"/>
      <c r="B477" s="9"/>
      <c r="C477" s="9"/>
      <c r="D477" s="9"/>
      <c r="E477" s="9"/>
      <c r="F477" s="9"/>
      <c r="G477" s="9"/>
      <c r="H477" s="10"/>
      <c r="I477" s="9"/>
      <c r="J477" s="9"/>
      <c r="K477" s="9"/>
      <c r="L477" s="9"/>
      <c r="M477" s="9"/>
    </row>
    <row r="478" spans="1:13" ht="15" x14ac:dyDescent="0.25">
      <c r="A478" s="9"/>
      <c r="B478" s="9"/>
      <c r="C478" s="9"/>
      <c r="D478" s="9"/>
      <c r="E478" s="9"/>
      <c r="F478" s="9"/>
      <c r="G478" s="9"/>
      <c r="H478" s="10"/>
      <c r="I478" s="9"/>
      <c r="J478" s="9"/>
      <c r="K478" s="9"/>
      <c r="L478" s="9"/>
      <c r="M478" s="9"/>
    </row>
    <row r="479" spans="1:13" ht="15" x14ac:dyDescent="0.25">
      <c r="A479" s="9"/>
      <c r="B479" s="9"/>
      <c r="C479" s="9"/>
      <c r="D479" s="9"/>
      <c r="E479" s="9"/>
      <c r="F479" s="9"/>
      <c r="G479" s="9"/>
      <c r="H479" s="10"/>
      <c r="I479" s="9"/>
      <c r="J479" s="9"/>
      <c r="K479" s="9"/>
      <c r="L479" s="9"/>
      <c r="M479" s="9"/>
    </row>
    <row r="480" spans="1:13" ht="15" x14ac:dyDescent="0.25">
      <c r="A480" s="9"/>
      <c r="B480" s="9"/>
      <c r="C480" s="9"/>
      <c r="D480" s="9"/>
      <c r="E480" s="9"/>
      <c r="F480" s="9"/>
      <c r="G480" s="9"/>
      <c r="H480" s="10"/>
      <c r="I480" s="9"/>
      <c r="J480" s="9"/>
      <c r="K480" s="9"/>
      <c r="L480" s="9"/>
      <c r="M480" s="9"/>
    </row>
    <row r="481" spans="1:13" ht="15" x14ac:dyDescent="0.25">
      <c r="A481" s="9"/>
      <c r="B481" s="9"/>
      <c r="C481" s="9"/>
      <c r="D481" s="9"/>
      <c r="E481" s="9"/>
      <c r="F481" s="9"/>
      <c r="G481" s="9"/>
      <c r="H481" s="10"/>
      <c r="I481" s="9"/>
      <c r="J481" s="9"/>
      <c r="K481" s="9"/>
      <c r="L481" s="9"/>
      <c r="M481" s="9"/>
    </row>
    <row r="482" spans="1:13" ht="15" x14ac:dyDescent="0.25">
      <c r="A482" s="9"/>
      <c r="B482" s="9"/>
      <c r="C482" s="9"/>
      <c r="D482" s="9"/>
      <c r="E482" s="9"/>
      <c r="F482" s="9"/>
      <c r="G482" s="9"/>
      <c r="H482" s="10"/>
      <c r="I482" s="9"/>
      <c r="J482" s="9"/>
      <c r="K482" s="9"/>
      <c r="L482" s="9"/>
      <c r="M482" s="9"/>
    </row>
    <row r="483" spans="1:13" ht="15" x14ac:dyDescent="0.25">
      <c r="A483" s="9"/>
      <c r="B483" s="9"/>
      <c r="C483" s="9"/>
      <c r="D483" s="9"/>
      <c r="E483" s="9"/>
      <c r="F483" s="9"/>
      <c r="G483" s="9"/>
      <c r="H483" s="10"/>
      <c r="I483" s="9"/>
      <c r="J483" s="9"/>
      <c r="K483" s="9"/>
      <c r="L483" s="9"/>
      <c r="M483" s="9"/>
    </row>
    <row r="484" spans="1:13" ht="15" x14ac:dyDescent="0.25">
      <c r="A484" s="9"/>
      <c r="B484" s="9"/>
      <c r="C484" s="9"/>
      <c r="D484" s="9"/>
      <c r="E484" s="9"/>
      <c r="F484" s="9"/>
      <c r="G484" s="9"/>
      <c r="H484" s="10"/>
      <c r="I484" s="9"/>
      <c r="J484" s="9"/>
      <c r="K484" s="9"/>
      <c r="L484" s="9"/>
      <c r="M484" s="9"/>
    </row>
    <row r="485" spans="1:13" ht="15" x14ac:dyDescent="0.25">
      <c r="A485" s="9"/>
      <c r="B485" s="9"/>
      <c r="C485" s="9"/>
      <c r="D485" s="9"/>
      <c r="E485" s="9"/>
      <c r="F485" s="9"/>
      <c r="G485" s="9"/>
      <c r="H485" s="10"/>
      <c r="I485" s="9"/>
      <c r="J485" s="9"/>
      <c r="K485" s="9"/>
      <c r="L485" s="9"/>
      <c r="M485" s="9"/>
    </row>
    <row r="486" spans="1:13" ht="15" x14ac:dyDescent="0.25">
      <c r="A486" s="9"/>
      <c r="B486" s="9"/>
      <c r="C486" s="9"/>
      <c r="D486" s="9"/>
      <c r="E486" s="9"/>
      <c r="F486" s="9"/>
      <c r="G486" s="9"/>
      <c r="H486" s="10"/>
      <c r="I486" s="9"/>
      <c r="J486" s="9"/>
      <c r="K486" s="9"/>
      <c r="L486" s="9"/>
      <c r="M486" s="9"/>
    </row>
    <row r="487" spans="1:13" ht="15" x14ac:dyDescent="0.25">
      <c r="A487" s="9"/>
      <c r="B487" s="9"/>
      <c r="C487" s="9"/>
      <c r="D487" s="9"/>
      <c r="E487" s="9"/>
      <c r="F487" s="9"/>
      <c r="G487" s="9"/>
      <c r="H487" s="10"/>
      <c r="I487" s="9"/>
      <c r="J487" s="9"/>
      <c r="K487" s="9"/>
      <c r="L487" s="9"/>
      <c r="M487" s="9"/>
    </row>
    <row r="488" spans="1:13" ht="15" x14ac:dyDescent="0.25">
      <c r="A488" s="9"/>
      <c r="B488" s="9"/>
      <c r="C488" s="9"/>
      <c r="D488" s="9"/>
      <c r="E488" s="9"/>
      <c r="F488" s="9"/>
      <c r="G488" s="9"/>
      <c r="H488" s="10"/>
      <c r="I488" s="9"/>
      <c r="J488" s="9"/>
      <c r="K488" s="9"/>
      <c r="L488" s="9"/>
      <c r="M488" s="9"/>
    </row>
    <row r="489" spans="1:13" ht="15" x14ac:dyDescent="0.25">
      <c r="A489" s="9"/>
      <c r="B489" s="9"/>
      <c r="C489" s="9"/>
      <c r="D489" s="9"/>
      <c r="E489" s="9"/>
      <c r="F489" s="9"/>
      <c r="G489" s="9"/>
      <c r="H489" s="10"/>
      <c r="I489" s="9"/>
      <c r="J489" s="9"/>
      <c r="K489" s="9"/>
      <c r="L489" s="9"/>
      <c r="M489" s="9"/>
    </row>
    <row r="490" spans="1:13" ht="15" x14ac:dyDescent="0.25">
      <c r="A490" s="9"/>
      <c r="B490" s="9"/>
      <c r="C490" s="9"/>
      <c r="D490" s="9"/>
      <c r="E490" s="9"/>
      <c r="F490" s="9"/>
      <c r="G490" s="9"/>
      <c r="H490" s="10"/>
      <c r="I490" s="9"/>
      <c r="J490" s="9"/>
      <c r="K490" s="9"/>
      <c r="L490" s="9"/>
      <c r="M490" s="9"/>
    </row>
    <row r="491" spans="1:13" ht="15" x14ac:dyDescent="0.25">
      <c r="A491" s="9"/>
      <c r="B491" s="9"/>
      <c r="C491" s="9"/>
      <c r="D491" s="9"/>
      <c r="E491" s="9"/>
      <c r="F491" s="9"/>
      <c r="G491" s="9"/>
      <c r="H491" s="10"/>
      <c r="I491" s="9"/>
      <c r="J491" s="9"/>
      <c r="K491" s="9"/>
      <c r="L491" s="9"/>
      <c r="M491" s="9"/>
    </row>
    <row r="492" spans="1:13" ht="15" x14ac:dyDescent="0.25">
      <c r="A492" s="9"/>
      <c r="B492" s="9"/>
      <c r="C492" s="9"/>
      <c r="D492" s="9"/>
      <c r="E492" s="9"/>
      <c r="F492" s="9"/>
      <c r="G492" s="9"/>
      <c r="H492" s="10"/>
      <c r="I492" s="9"/>
      <c r="J492" s="9"/>
      <c r="K492" s="9"/>
      <c r="L492" s="9"/>
      <c r="M492" s="9"/>
    </row>
    <row r="493" spans="1:13" ht="15" x14ac:dyDescent="0.25">
      <c r="A493" s="9"/>
      <c r="B493" s="9"/>
      <c r="C493" s="9"/>
      <c r="D493" s="9"/>
      <c r="E493" s="9"/>
      <c r="F493" s="9"/>
      <c r="G493" s="9"/>
      <c r="H493" s="10"/>
      <c r="I493" s="9"/>
      <c r="J493" s="9"/>
      <c r="K493" s="9"/>
      <c r="L493" s="9"/>
      <c r="M493" s="9"/>
    </row>
    <row r="494" spans="1:13" ht="15" x14ac:dyDescent="0.25">
      <c r="A494" s="9"/>
      <c r="B494" s="9"/>
      <c r="C494" s="9"/>
      <c r="D494" s="9"/>
      <c r="E494" s="9"/>
      <c r="F494" s="9"/>
      <c r="G494" s="9"/>
      <c r="H494" s="10"/>
      <c r="I494" s="9"/>
      <c r="J494" s="9"/>
      <c r="K494" s="9"/>
      <c r="L494" s="9"/>
      <c r="M494" s="9"/>
    </row>
    <row r="495" spans="1:13" ht="15" x14ac:dyDescent="0.25">
      <c r="A495" s="9"/>
      <c r="B495" s="9"/>
      <c r="C495" s="9"/>
      <c r="D495" s="9"/>
      <c r="E495" s="9"/>
      <c r="F495" s="9"/>
      <c r="G495" s="9"/>
      <c r="H495" s="10"/>
      <c r="I495" s="9"/>
      <c r="J495" s="9"/>
      <c r="K495" s="9"/>
      <c r="L495" s="9"/>
      <c r="M495" s="9"/>
    </row>
    <row r="496" spans="1:13" ht="15" x14ac:dyDescent="0.25">
      <c r="A496" s="9"/>
      <c r="B496" s="9"/>
      <c r="C496" s="9"/>
      <c r="D496" s="9"/>
      <c r="E496" s="9"/>
      <c r="F496" s="9"/>
      <c r="G496" s="9"/>
      <c r="H496" s="10"/>
      <c r="I496" s="9"/>
      <c r="J496" s="9"/>
      <c r="K496" s="9"/>
      <c r="L496" s="9"/>
      <c r="M496" s="9"/>
    </row>
    <row r="497" spans="1:13" ht="15" x14ac:dyDescent="0.25">
      <c r="A497" s="9"/>
      <c r="B497" s="9"/>
      <c r="C497" s="9"/>
      <c r="D497" s="9"/>
      <c r="E497" s="9"/>
      <c r="F497" s="9"/>
      <c r="G497" s="9"/>
      <c r="H497" s="10"/>
      <c r="I497" s="9"/>
      <c r="J497" s="9"/>
      <c r="K497" s="9"/>
      <c r="L497" s="9"/>
      <c r="M497" s="9"/>
    </row>
    <row r="498" spans="1:13" ht="15" x14ac:dyDescent="0.25">
      <c r="A498" s="9"/>
      <c r="B498" s="9"/>
      <c r="C498" s="9"/>
      <c r="D498" s="9"/>
      <c r="E498" s="9"/>
      <c r="F498" s="9"/>
      <c r="G498" s="9"/>
      <c r="H498" s="10"/>
      <c r="I498" s="9"/>
      <c r="J498" s="9"/>
      <c r="K498" s="9"/>
      <c r="L498" s="9"/>
      <c r="M498" s="9"/>
    </row>
    <row r="499" spans="1:13" ht="15" x14ac:dyDescent="0.25">
      <c r="A499" s="9"/>
      <c r="B499" s="9"/>
      <c r="C499" s="9"/>
      <c r="D499" s="9"/>
      <c r="E499" s="9"/>
      <c r="F499" s="9"/>
      <c r="G499" s="9"/>
      <c r="H499" s="10"/>
      <c r="I499" s="9"/>
      <c r="J499" s="9"/>
      <c r="K499" s="9"/>
      <c r="L499" s="9"/>
      <c r="M499" s="9"/>
    </row>
    <row r="500" spans="1:13" ht="15" x14ac:dyDescent="0.25">
      <c r="A500" s="9"/>
      <c r="B500" s="9"/>
      <c r="C500" s="9"/>
      <c r="D500" s="9"/>
      <c r="E500" s="9"/>
      <c r="F500" s="9"/>
      <c r="G500" s="9"/>
      <c r="H500" s="10"/>
      <c r="I500" s="9"/>
      <c r="J500" s="9"/>
      <c r="K500" s="9"/>
      <c r="L500" s="9"/>
      <c r="M500" s="9"/>
    </row>
    <row r="501" spans="1:13" ht="15" x14ac:dyDescent="0.25">
      <c r="A501" s="9"/>
      <c r="B501" s="9"/>
      <c r="C501" s="9"/>
      <c r="D501" s="9"/>
      <c r="E501" s="9"/>
      <c r="F501" s="9"/>
      <c r="G501" s="9"/>
      <c r="H501" s="10"/>
      <c r="I501" s="9"/>
      <c r="J501" s="9"/>
      <c r="K501" s="9"/>
      <c r="L501" s="9"/>
      <c r="M501" s="9"/>
    </row>
    <row r="502" spans="1:13" ht="15" x14ac:dyDescent="0.25">
      <c r="A502" s="9"/>
      <c r="B502" s="9"/>
      <c r="C502" s="9"/>
      <c r="D502" s="9"/>
      <c r="E502" s="9"/>
      <c r="F502" s="9"/>
      <c r="G502" s="9"/>
      <c r="H502" s="10"/>
      <c r="I502" s="9"/>
      <c r="J502" s="9"/>
      <c r="K502" s="9"/>
      <c r="L502" s="9"/>
      <c r="M502" s="9"/>
    </row>
    <row r="503" spans="1:13" ht="15" x14ac:dyDescent="0.25">
      <c r="A503" s="9"/>
      <c r="B503" s="9"/>
      <c r="C503" s="9"/>
      <c r="D503" s="9"/>
      <c r="E503" s="9"/>
      <c r="F503" s="9"/>
      <c r="G503" s="9"/>
      <c r="H503" s="10"/>
      <c r="I503" s="9"/>
      <c r="J503" s="9"/>
      <c r="K503" s="9"/>
      <c r="L503" s="9"/>
      <c r="M503" s="9"/>
    </row>
    <row r="504" spans="1:13" ht="15" x14ac:dyDescent="0.25">
      <c r="A504" s="9"/>
      <c r="B504" s="9"/>
      <c r="C504" s="9"/>
      <c r="D504" s="9"/>
      <c r="E504" s="9"/>
      <c r="F504" s="9"/>
      <c r="G504" s="9"/>
      <c r="H504" s="10"/>
      <c r="I504" s="9"/>
      <c r="J504" s="9"/>
      <c r="K504" s="9"/>
      <c r="L504" s="9"/>
      <c r="M504" s="9"/>
    </row>
    <row r="505" spans="1:13" ht="15" x14ac:dyDescent="0.25">
      <c r="A505" s="9"/>
      <c r="B505" s="9"/>
      <c r="C505" s="9"/>
      <c r="D505" s="9"/>
      <c r="E505" s="9"/>
      <c r="F505" s="9"/>
      <c r="G505" s="9"/>
      <c r="H505" s="10"/>
      <c r="I505" s="9"/>
      <c r="J505" s="9"/>
      <c r="K505" s="9"/>
      <c r="L505" s="9"/>
      <c r="M505" s="9"/>
    </row>
    <row r="506" spans="1:13" ht="15" x14ac:dyDescent="0.25">
      <c r="A506" s="9"/>
      <c r="B506" s="9"/>
      <c r="C506" s="9"/>
      <c r="D506" s="9"/>
      <c r="E506" s="9"/>
      <c r="F506" s="9"/>
      <c r="G506" s="9"/>
      <c r="H506" s="10"/>
      <c r="I506" s="9"/>
      <c r="J506" s="9"/>
      <c r="K506" s="9"/>
      <c r="L506" s="9"/>
      <c r="M506" s="9"/>
    </row>
    <row r="507" spans="1:13" ht="15" x14ac:dyDescent="0.25">
      <c r="A507" s="9"/>
      <c r="B507" s="9"/>
      <c r="C507" s="9"/>
      <c r="D507" s="9"/>
      <c r="E507" s="9"/>
      <c r="F507" s="9"/>
      <c r="G507" s="9"/>
      <c r="H507" s="10"/>
      <c r="I507" s="9"/>
      <c r="J507" s="9"/>
      <c r="K507" s="9"/>
      <c r="L507" s="9"/>
      <c r="M507" s="9"/>
    </row>
    <row r="508" spans="1:13" ht="15" x14ac:dyDescent="0.25">
      <c r="A508" s="9"/>
      <c r="B508" s="9"/>
      <c r="C508" s="9"/>
      <c r="D508" s="9"/>
      <c r="E508" s="9"/>
      <c r="F508" s="9"/>
      <c r="G508" s="9"/>
      <c r="H508" s="10"/>
      <c r="I508" s="9"/>
      <c r="J508" s="9"/>
      <c r="K508" s="9"/>
      <c r="L508" s="9"/>
      <c r="M508" s="9"/>
    </row>
    <row r="509" spans="1:13" ht="15" x14ac:dyDescent="0.25">
      <c r="A509" s="9"/>
      <c r="B509" s="9"/>
      <c r="C509" s="9"/>
      <c r="D509" s="9"/>
      <c r="E509" s="9"/>
      <c r="F509" s="9"/>
      <c r="G509" s="9"/>
      <c r="H509" s="10"/>
      <c r="I509" s="9"/>
      <c r="J509" s="9"/>
      <c r="K509" s="9"/>
      <c r="L509" s="9"/>
      <c r="M509" s="9"/>
    </row>
    <row r="510" spans="1:13" ht="15" x14ac:dyDescent="0.25">
      <c r="A510" s="9"/>
      <c r="B510" s="9"/>
      <c r="C510" s="9"/>
      <c r="D510" s="9"/>
      <c r="E510" s="9"/>
      <c r="F510" s="9"/>
      <c r="G510" s="9"/>
      <c r="H510" s="10"/>
      <c r="I510" s="9"/>
      <c r="J510" s="9"/>
      <c r="K510" s="9"/>
      <c r="L510" s="9"/>
      <c r="M510" s="9"/>
    </row>
    <row r="511" spans="1:13" ht="15" x14ac:dyDescent="0.25">
      <c r="A511" s="9"/>
      <c r="B511" s="9"/>
      <c r="C511" s="9"/>
      <c r="D511" s="9"/>
      <c r="E511" s="9"/>
      <c r="F511" s="9"/>
      <c r="G511" s="9"/>
      <c r="H511" s="10"/>
      <c r="I511" s="9"/>
      <c r="J511" s="9"/>
      <c r="K511" s="9"/>
      <c r="L511" s="9"/>
      <c r="M511" s="9"/>
    </row>
    <row r="512" spans="1:13" ht="15" x14ac:dyDescent="0.25">
      <c r="A512" s="9"/>
      <c r="B512" s="9"/>
      <c r="C512" s="9"/>
      <c r="D512" s="9"/>
      <c r="E512" s="9"/>
      <c r="F512" s="9"/>
      <c r="G512" s="9"/>
      <c r="H512" s="10"/>
      <c r="I512" s="9"/>
      <c r="J512" s="9"/>
      <c r="K512" s="9"/>
      <c r="L512" s="9"/>
      <c r="M512" s="9"/>
    </row>
    <row r="513" spans="1:13" ht="15" x14ac:dyDescent="0.25">
      <c r="A513" s="9"/>
      <c r="B513" s="9"/>
      <c r="C513" s="9"/>
      <c r="D513" s="9"/>
      <c r="E513" s="9"/>
      <c r="F513" s="9"/>
      <c r="G513" s="9"/>
      <c r="H513" s="10"/>
      <c r="I513" s="9"/>
      <c r="J513" s="9"/>
      <c r="K513" s="9"/>
      <c r="L513" s="9"/>
      <c r="M513" s="9"/>
    </row>
    <row r="514" spans="1:13" ht="15" x14ac:dyDescent="0.25">
      <c r="A514" s="9"/>
      <c r="B514" s="9"/>
      <c r="C514" s="9"/>
      <c r="D514" s="9"/>
      <c r="E514" s="9"/>
      <c r="F514" s="9"/>
      <c r="G514" s="9"/>
      <c r="H514" s="10"/>
      <c r="I514" s="9"/>
      <c r="J514" s="9"/>
      <c r="K514" s="9"/>
      <c r="L514" s="9"/>
      <c r="M514" s="9"/>
    </row>
    <row r="515" spans="1:13" ht="15" x14ac:dyDescent="0.25">
      <c r="A515" s="9"/>
      <c r="B515" s="9"/>
      <c r="C515" s="9"/>
      <c r="D515" s="9"/>
      <c r="E515" s="9"/>
      <c r="F515" s="9"/>
      <c r="G515" s="9"/>
      <c r="H515" s="10"/>
      <c r="I515" s="9"/>
      <c r="J515" s="9"/>
      <c r="K515" s="9"/>
      <c r="L515" s="9"/>
      <c r="M515" s="9"/>
    </row>
    <row r="516" spans="1:13" ht="15" x14ac:dyDescent="0.25">
      <c r="A516" s="9"/>
      <c r="B516" s="9"/>
      <c r="C516" s="9"/>
      <c r="D516" s="9"/>
      <c r="E516" s="9"/>
      <c r="F516" s="9"/>
      <c r="G516" s="9"/>
      <c r="H516" s="10"/>
      <c r="I516" s="9"/>
      <c r="J516" s="9"/>
      <c r="K516" s="9"/>
      <c r="L516" s="9"/>
      <c r="M516" s="9"/>
    </row>
    <row r="517" spans="1:13" ht="15" x14ac:dyDescent="0.25">
      <c r="A517" s="9"/>
      <c r="B517" s="9"/>
      <c r="C517" s="9"/>
      <c r="D517" s="9"/>
      <c r="E517" s="9"/>
      <c r="F517" s="9"/>
      <c r="G517" s="9"/>
      <c r="H517" s="10"/>
      <c r="I517" s="9"/>
      <c r="J517" s="9"/>
      <c r="K517" s="9"/>
      <c r="L517" s="9"/>
      <c r="M517" s="9"/>
    </row>
    <row r="518" spans="1:13" ht="15" x14ac:dyDescent="0.25">
      <c r="A518" s="9"/>
      <c r="B518" s="9"/>
      <c r="C518" s="9"/>
      <c r="D518" s="9"/>
      <c r="E518" s="9"/>
      <c r="F518" s="9"/>
      <c r="G518" s="9"/>
      <c r="H518" s="10"/>
      <c r="I518" s="9"/>
      <c r="J518" s="9"/>
      <c r="K518" s="9"/>
      <c r="L518" s="9"/>
      <c r="M518" s="9"/>
    </row>
    <row r="519" spans="1:13" ht="15" x14ac:dyDescent="0.25">
      <c r="A519" s="9"/>
      <c r="B519" s="9"/>
      <c r="C519" s="9"/>
      <c r="D519" s="9"/>
      <c r="E519" s="9"/>
      <c r="F519" s="9"/>
      <c r="G519" s="9"/>
      <c r="H519" s="10"/>
      <c r="I519" s="9"/>
      <c r="J519" s="9"/>
      <c r="K519" s="9"/>
      <c r="L519" s="9"/>
      <c r="M519" s="9"/>
    </row>
    <row r="520" spans="1:13" ht="15" x14ac:dyDescent="0.25">
      <c r="A520" s="9"/>
      <c r="B520" s="9"/>
      <c r="C520" s="9"/>
      <c r="D520" s="9"/>
      <c r="E520" s="9"/>
      <c r="F520" s="9"/>
      <c r="G520" s="9"/>
      <c r="H520" s="10"/>
      <c r="I520" s="9"/>
      <c r="J520" s="9"/>
      <c r="K520" s="9"/>
      <c r="L520" s="9"/>
      <c r="M520" s="9"/>
    </row>
    <row r="521" spans="1:13" ht="15" x14ac:dyDescent="0.25">
      <c r="A521" s="9"/>
      <c r="B521" s="9"/>
      <c r="C521" s="9"/>
      <c r="D521" s="9"/>
      <c r="E521" s="9"/>
      <c r="F521" s="9"/>
      <c r="G521" s="9"/>
      <c r="H521" s="10"/>
      <c r="I521" s="9"/>
      <c r="J521" s="9"/>
      <c r="K521" s="9"/>
      <c r="L521" s="9"/>
      <c r="M521" s="9"/>
    </row>
    <row r="522" spans="1:13" ht="15" x14ac:dyDescent="0.25">
      <c r="A522" s="9"/>
      <c r="B522" s="9"/>
      <c r="C522" s="9"/>
      <c r="D522" s="9"/>
      <c r="E522" s="9"/>
      <c r="F522" s="9"/>
      <c r="G522" s="9"/>
      <c r="H522" s="10"/>
      <c r="I522" s="9"/>
      <c r="J522" s="9"/>
      <c r="K522" s="9"/>
      <c r="L522" s="9"/>
      <c r="M522" s="9"/>
    </row>
    <row r="523" spans="1:13" ht="15" x14ac:dyDescent="0.25">
      <c r="A523" s="9"/>
      <c r="B523" s="9"/>
      <c r="C523" s="9"/>
      <c r="D523" s="9"/>
      <c r="E523" s="9"/>
      <c r="F523" s="9"/>
      <c r="G523" s="9"/>
      <c r="H523" s="10"/>
      <c r="I523" s="9"/>
      <c r="J523" s="9"/>
      <c r="K523" s="9"/>
      <c r="L523" s="9"/>
      <c r="M523" s="9"/>
    </row>
    <row r="524" spans="1:13" ht="15" x14ac:dyDescent="0.25">
      <c r="A524" s="9"/>
      <c r="B524" s="9"/>
      <c r="C524" s="9"/>
      <c r="D524" s="9"/>
      <c r="E524" s="9"/>
      <c r="F524" s="9"/>
      <c r="G524" s="9"/>
      <c r="H524" s="10"/>
      <c r="I524" s="9"/>
      <c r="J524" s="9"/>
      <c r="K524" s="9"/>
      <c r="L524" s="9"/>
      <c r="M524" s="9"/>
    </row>
    <row r="525" spans="1:13" ht="15" x14ac:dyDescent="0.25">
      <c r="A525" s="9"/>
      <c r="B525" s="9"/>
      <c r="C525" s="9"/>
      <c r="D525" s="9"/>
      <c r="E525" s="9"/>
      <c r="F525" s="9"/>
      <c r="G525" s="9"/>
      <c r="H525" s="10"/>
      <c r="I525" s="9"/>
      <c r="J525" s="9"/>
      <c r="K525" s="9"/>
      <c r="L525" s="9"/>
      <c r="M525" s="9"/>
    </row>
    <row r="526" spans="1:13" ht="15" x14ac:dyDescent="0.25">
      <c r="A526" s="9"/>
      <c r="B526" s="9"/>
      <c r="C526" s="9"/>
      <c r="D526" s="9"/>
      <c r="E526" s="9"/>
      <c r="F526" s="9"/>
      <c r="G526" s="9"/>
      <c r="H526" s="10"/>
      <c r="I526" s="9"/>
      <c r="J526" s="9"/>
      <c r="K526" s="9"/>
      <c r="L526" s="9"/>
      <c r="M526" s="9"/>
    </row>
    <row r="527" spans="1:13" ht="15" x14ac:dyDescent="0.25">
      <c r="A527" s="9"/>
      <c r="B527" s="9"/>
      <c r="C527" s="9"/>
      <c r="D527" s="9"/>
      <c r="E527" s="9"/>
      <c r="F527" s="9"/>
      <c r="G527" s="9"/>
      <c r="H527" s="10"/>
      <c r="I527" s="9"/>
      <c r="J527" s="9"/>
      <c r="K527" s="9"/>
      <c r="L527" s="9"/>
      <c r="M527" s="9"/>
    </row>
    <row r="528" spans="1:13" ht="15" x14ac:dyDescent="0.25">
      <c r="A528" s="9"/>
      <c r="B528" s="9"/>
      <c r="C528" s="9"/>
      <c r="D528" s="9"/>
      <c r="E528" s="9"/>
      <c r="F528" s="9"/>
      <c r="G528" s="9"/>
      <c r="H528" s="10"/>
      <c r="I528" s="9"/>
      <c r="J528" s="9"/>
      <c r="K528" s="9"/>
      <c r="L528" s="9"/>
      <c r="M528" s="9"/>
    </row>
    <row r="529" spans="1:13" ht="15" x14ac:dyDescent="0.25">
      <c r="A529" s="9"/>
      <c r="B529" s="9"/>
      <c r="C529" s="9"/>
      <c r="D529" s="9"/>
      <c r="E529" s="9"/>
      <c r="F529" s="9"/>
      <c r="G529" s="9"/>
      <c r="H529" s="10"/>
      <c r="I529" s="9"/>
      <c r="J529" s="9"/>
      <c r="K529" s="9"/>
      <c r="L529" s="9"/>
      <c r="M529" s="9"/>
    </row>
    <row r="530" spans="1:13" ht="15" x14ac:dyDescent="0.25">
      <c r="A530" s="9"/>
      <c r="B530" s="9"/>
      <c r="C530" s="9"/>
      <c r="D530" s="9"/>
      <c r="E530" s="9"/>
      <c r="F530" s="9"/>
      <c r="G530" s="9"/>
      <c r="H530" s="10"/>
      <c r="I530" s="9"/>
      <c r="J530" s="9"/>
      <c r="K530" s="9"/>
      <c r="L530" s="9"/>
      <c r="M530" s="9"/>
    </row>
    <row r="531" spans="1:13" ht="15" x14ac:dyDescent="0.25">
      <c r="A531" s="9"/>
      <c r="B531" s="9"/>
      <c r="C531" s="9"/>
      <c r="D531" s="9"/>
      <c r="E531" s="9"/>
      <c r="F531" s="9"/>
      <c r="G531" s="9"/>
      <c r="H531" s="10"/>
      <c r="I531" s="9"/>
      <c r="J531" s="9"/>
      <c r="K531" s="9"/>
      <c r="L531" s="9"/>
      <c r="M531" s="9"/>
    </row>
    <row r="532" spans="1:13" ht="15" x14ac:dyDescent="0.25">
      <c r="A532" s="9"/>
      <c r="B532" s="9"/>
      <c r="C532" s="9"/>
      <c r="D532" s="9"/>
      <c r="E532" s="9"/>
      <c r="F532" s="9"/>
      <c r="G532" s="9"/>
      <c r="H532" s="10"/>
      <c r="I532" s="9"/>
      <c r="J532" s="9"/>
      <c r="K532" s="9"/>
      <c r="L532" s="9"/>
      <c r="M532" s="9"/>
    </row>
    <row r="533" spans="1:13" ht="15" x14ac:dyDescent="0.25">
      <c r="A533" s="9"/>
      <c r="B533" s="9"/>
      <c r="C533" s="9"/>
      <c r="D533" s="9"/>
      <c r="E533" s="9"/>
      <c r="F533" s="9"/>
      <c r="G533" s="9"/>
      <c r="H533" s="10"/>
      <c r="I533" s="9"/>
      <c r="J533" s="9"/>
      <c r="K533" s="9"/>
      <c r="L533" s="9"/>
      <c r="M533" s="9"/>
    </row>
    <row r="534" spans="1:13" ht="15" x14ac:dyDescent="0.25">
      <c r="A534" s="9"/>
      <c r="B534" s="9"/>
      <c r="C534" s="9"/>
      <c r="D534" s="9"/>
      <c r="E534" s="9"/>
      <c r="F534" s="9"/>
      <c r="G534" s="9"/>
      <c r="H534" s="10"/>
      <c r="I534" s="9"/>
      <c r="J534" s="9"/>
      <c r="K534" s="9"/>
      <c r="L534" s="9"/>
      <c r="M534" s="9"/>
    </row>
    <row r="535" spans="1:13" ht="15" x14ac:dyDescent="0.25">
      <c r="A535" s="9"/>
      <c r="B535" s="9"/>
      <c r="C535" s="9"/>
      <c r="D535" s="9"/>
      <c r="E535" s="9"/>
      <c r="F535" s="9"/>
      <c r="G535" s="9"/>
      <c r="H535" s="10"/>
      <c r="I535" s="9"/>
      <c r="J535" s="9"/>
      <c r="K535" s="9"/>
      <c r="L535" s="9"/>
      <c r="M535" s="9"/>
    </row>
    <row r="536" spans="1:13" ht="15" x14ac:dyDescent="0.25">
      <c r="A536" s="9"/>
      <c r="B536" s="9"/>
      <c r="C536" s="9"/>
      <c r="D536" s="9"/>
      <c r="E536" s="9"/>
      <c r="F536" s="9"/>
      <c r="G536" s="9"/>
      <c r="H536" s="10"/>
      <c r="I536" s="9"/>
      <c r="J536" s="9"/>
      <c r="K536" s="9"/>
      <c r="L536" s="9"/>
      <c r="M536" s="9"/>
    </row>
    <row r="537" spans="1:13" ht="15" x14ac:dyDescent="0.25">
      <c r="A537" s="9"/>
      <c r="B537" s="9"/>
      <c r="C537" s="9"/>
      <c r="D537" s="9"/>
      <c r="E537" s="9"/>
      <c r="F537" s="9"/>
      <c r="G537" s="9"/>
      <c r="H537" s="10"/>
      <c r="I537" s="9"/>
      <c r="J537" s="9"/>
      <c r="K537" s="9"/>
      <c r="L537" s="9"/>
      <c r="M537" s="9"/>
    </row>
    <row r="538" spans="1:13" ht="15" x14ac:dyDescent="0.25">
      <c r="A538" s="9"/>
      <c r="B538" s="9"/>
      <c r="C538" s="9"/>
      <c r="D538" s="9"/>
      <c r="E538" s="9"/>
      <c r="F538" s="9"/>
      <c r="G538" s="9"/>
      <c r="H538" s="10"/>
      <c r="I538" s="9"/>
      <c r="J538" s="9"/>
      <c r="K538" s="9"/>
      <c r="L538" s="9"/>
      <c r="M538" s="9"/>
    </row>
    <row r="539" spans="1:13" ht="15" x14ac:dyDescent="0.25">
      <c r="A539" s="9"/>
      <c r="B539" s="9"/>
      <c r="C539" s="9"/>
      <c r="D539" s="9"/>
      <c r="E539" s="9"/>
      <c r="F539" s="9"/>
      <c r="G539" s="9"/>
      <c r="H539" s="10"/>
      <c r="I539" s="9"/>
      <c r="J539" s="9"/>
      <c r="K539" s="9"/>
      <c r="L539" s="9"/>
      <c r="M539" s="9"/>
    </row>
    <row r="540" spans="1:13" ht="15" x14ac:dyDescent="0.25">
      <c r="A540" s="9"/>
      <c r="B540" s="9"/>
      <c r="C540" s="9"/>
      <c r="D540" s="9"/>
      <c r="E540" s="9"/>
      <c r="F540" s="9"/>
      <c r="G540" s="9"/>
      <c r="H540" s="10"/>
      <c r="I540" s="9"/>
      <c r="J540" s="9"/>
      <c r="K540" s="9"/>
      <c r="L540" s="9"/>
      <c r="M540" s="9"/>
    </row>
    <row r="541" spans="1:13" ht="15" x14ac:dyDescent="0.25">
      <c r="A541" s="9"/>
      <c r="B541" s="9"/>
      <c r="C541" s="9"/>
      <c r="D541" s="9"/>
      <c r="E541" s="9"/>
      <c r="F541" s="9"/>
      <c r="G541" s="9"/>
      <c r="H541" s="10"/>
      <c r="I541" s="9"/>
      <c r="J541" s="9"/>
      <c r="K541" s="9"/>
      <c r="L541" s="9"/>
      <c r="M541" s="9"/>
    </row>
    <row r="542" spans="1:13" ht="15" x14ac:dyDescent="0.25">
      <c r="A542" s="9"/>
      <c r="B542" s="9"/>
      <c r="C542" s="9"/>
      <c r="D542" s="9"/>
      <c r="E542" s="9"/>
      <c r="F542" s="9"/>
      <c r="G542" s="9"/>
      <c r="H542" s="10"/>
      <c r="I542" s="9"/>
      <c r="J542" s="9"/>
      <c r="K542" s="9"/>
      <c r="L542" s="9"/>
      <c r="M542" s="9"/>
    </row>
    <row r="543" spans="1:13" ht="15" x14ac:dyDescent="0.25">
      <c r="A543" s="9"/>
      <c r="B543" s="9"/>
      <c r="C543" s="9"/>
      <c r="D543" s="9"/>
      <c r="E543" s="9"/>
      <c r="F543" s="9"/>
      <c r="G543" s="9"/>
      <c r="H543" s="10"/>
      <c r="I543" s="9"/>
      <c r="J543" s="9"/>
      <c r="K543" s="9"/>
      <c r="L543" s="9"/>
      <c r="M543" s="9"/>
    </row>
    <row r="544" spans="1:13" ht="15" x14ac:dyDescent="0.25">
      <c r="A544" s="9"/>
      <c r="B544" s="9"/>
      <c r="C544" s="9"/>
      <c r="D544" s="9"/>
      <c r="E544" s="9"/>
      <c r="F544" s="9"/>
      <c r="G544" s="9"/>
      <c r="H544" s="10"/>
      <c r="I544" s="9"/>
      <c r="J544" s="9"/>
      <c r="K544" s="9"/>
      <c r="L544" s="9"/>
      <c r="M544" s="9"/>
    </row>
    <row r="545" spans="1:13" ht="15" x14ac:dyDescent="0.25">
      <c r="A545" s="9"/>
      <c r="B545" s="9"/>
      <c r="C545" s="9"/>
      <c r="D545" s="9"/>
      <c r="E545" s="9"/>
      <c r="F545" s="9"/>
      <c r="G545" s="9"/>
      <c r="H545" s="10"/>
      <c r="I545" s="9"/>
      <c r="J545" s="9"/>
      <c r="K545" s="9"/>
      <c r="L545" s="9"/>
      <c r="M545" s="9"/>
    </row>
    <row r="546" spans="1:13" ht="15" x14ac:dyDescent="0.25">
      <c r="A546" s="9"/>
      <c r="B546" s="9"/>
      <c r="C546" s="9"/>
      <c r="D546" s="9"/>
      <c r="E546" s="9"/>
      <c r="F546" s="9"/>
      <c r="G546" s="9"/>
      <c r="H546" s="10"/>
      <c r="I546" s="9"/>
      <c r="J546" s="9"/>
      <c r="K546" s="9"/>
      <c r="L546" s="9"/>
      <c r="M546" s="9"/>
    </row>
    <row r="547" spans="1:13" ht="15" x14ac:dyDescent="0.25">
      <c r="A547" s="9"/>
      <c r="B547" s="9"/>
      <c r="C547" s="9"/>
      <c r="D547" s="9"/>
      <c r="E547" s="9"/>
      <c r="F547" s="9"/>
      <c r="G547" s="9"/>
      <c r="H547" s="10"/>
      <c r="I547" s="9"/>
      <c r="J547" s="9"/>
      <c r="K547" s="9"/>
      <c r="L547" s="9"/>
      <c r="M547" s="9"/>
    </row>
    <row r="548" spans="1:13" ht="15" x14ac:dyDescent="0.25">
      <c r="A548" s="9"/>
      <c r="B548" s="9"/>
      <c r="C548" s="9"/>
      <c r="D548" s="9"/>
      <c r="E548" s="9"/>
      <c r="F548" s="9"/>
      <c r="G548" s="9"/>
      <c r="H548" s="10"/>
      <c r="I548" s="9"/>
      <c r="J548" s="9"/>
      <c r="K548" s="9"/>
      <c r="L548" s="9"/>
      <c r="M548" s="9"/>
    </row>
    <row r="549" spans="1:13" ht="15" x14ac:dyDescent="0.25">
      <c r="A549" s="9"/>
      <c r="B549" s="9"/>
      <c r="C549" s="9"/>
      <c r="D549" s="9"/>
      <c r="E549" s="9"/>
      <c r="F549" s="9"/>
      <c r="G549" s="9"/>
      <c r="H549" s="10"/>
      <c r="I549" s="9"/>
      <c r="J549" s="9"/>
      <c r="K549" s="9"/>
      <c r="L549" s="9"/>
      <c r="M549" s="9"/>
    </row>
    <row r="550" spans="1:13" ht="15" x14ac:dyDescent="0.25">
      <c r="A550" s="9"/>
      <c r="B550" s="9"/>
      <c r="C550" s="9"/>
      <c r="D550" s="9"/>
      <c r="E550" s="9"/>
      <c r="F550" s="9"/>
      <c r="G550" s="9"/>
      <c r="H550" s="10"/>
      <c r="I550" s="9"/>
      <c r="J550" s="9"/>
      <c r="K550" s="9"/>
      <c r="L550" s="9"/>
      <c r="M550" s="9"/>
    </row>
    <row r="551" spans="1:13" ht="15" x14ac:dyDescent="0.25">
      <c r="A551" s="9"/>
      <c r="B551" s="9"/>
      <c r="C551" s="9"/>
      <c r="D551" s="9"/>
      <c r="E551" s="9"/>
      <c r="F551" s="9"/>
      <c r="G551" s="9"/>
      <c r="H551" s="10"/>
      <c r="I551" s="9"/>
      <c r="J551" s="9"/>
      <c r="K551" s="9"/>
      <c r="L551" s="9"/>
      <c r="M551" s="9"/>
    </row>
    <row r="552" spans="1:13" ht="15" x14ac:dyDescent="0.25">
      <c r="A552" s="9"/>
      <c r="B552" s="9"/>
      <c r="C552" s="9"/>
      <c r="D552" s="9"/>
      <c r="E552" s="9"/>
      <c r="F552" s="9"/>
      <c r="G552" s="9"/>
      <c r="H552" s="10"/>
      <c r="I552" s="9"/>
      <c r="J552" s="9"/>
      <c r="K552" s="9"/>
      <c r="L552" s="9"/>
      <c r="M552" s="9"/>
    </row>
    <row r="553" spans="1:13" ht="15" x14ac:dyDescent="0.25">
      <c r="A553" s="9"/>
      <c r="B553" s="9"/>
      <c r="C553" s="9"/>
      <c r="D553" s="9"/>
      <c r="E553" s="9"/>
      <c r="F553" s="9"/>
      <c r="G553" s="9"/>
      <c r="H553" s="10"/>
      <c r="I553" s="9"/>
      <c r="J553" s="9"/>
      <c r="K553" s="9"/>
      <c r="L553" s="9"/>
      <c r="M553" s="9"/>
    </row>
    <row r="554" spans="1:13" ht="15" x14ac:dyDescent="0.25">
      <c r="A554" s="9"/>
      <c r="B554" s="9"/>
      <c r="C554" s="9"/>
      <c r="D554" s="9"/>
      <c r="E554" s="9"/>
      <c r="F554" s="9"/>
      <c r="G554" s="9"/>
      <c r="H554" s="10"/>
      <c r="I554" s="9"/>
      <c r="J554" s="9"/>
      <c r="K554" s="9"/>
      <c r="L554" s="9"/>
      <c r="M554" s="9"/>
    </row>
    <row r="555" spans="1:13" ht="15" x14ac:dyDescent="0.25">
      <c r="A555" s="9"/>
      <c r="B555" s="9"/>
      <c r="C555" s="9"/>
      <c r="D555" s="9"/>
      <c r="E555" s="9"/>
      <c r="F555" s="9"/>
      <c r="G555" s="9"/>
      <c r="H555" s="10"/>
      <c r="I555" s="9"/>
      <c r="J555" s="9"/>
      <c r="K555" s="9"/>
      <c r="L555" s="9"/>
      <c r="M555" s="9"/>
    </row>
    <row r="556" spans="1:13" ht="15" x14ac:dyDescent="0.25">
      <c r="A556" s="9"/>
      <c r="B556" s="9"/>
      <c r="C556" s="9"/>
      <c r="D556" s="9"/>
      <c r="E556" s="9"/>
      <c r="F556" s="9"/>
      <c r="G556" s="9"/>
      <c r="H556" s="10"/>
      <c r="I556" s="9"/>
      <c r="J556" s="9"/>
      <c r="K556" s="9"/>
      <c r="L556" s="9"/>
      <c r="M556" s="9"/>
    </row>
    <row r="557" spans="1:13" ht="15" x14ac:dyDescent="0.25">
      <c r="A557" s="9"/>
      <c r="B557" s="9"/>
      <c r="C557" s="9"/>
      <c r="D557" s="9"/>
      <c r="E557" s="9"/>
      <c r="F557" s="9"/>
      <c r="G557" s="9"/>
      <c r="H557" s="10"/>
      <c r="I557" s="9"/>
      <c r="J557" s="9"/>
      <c r="K557" s="9"/>
      <c r="L557" s="9"/>
      <c r="M557" s="9"/>
    </row>
    <row r="558" spans="1:13" ht="15" x14ac:dyDescent="0.25">
      <c r="A558" s="9"/>
      <c r="B558" s="9"/>
      <c r="C558" s="9"/>
      <c r="D558" s="9"/>
      <c r="E558" s="9"/>
      <c r="F558" s="9"/>
      <c r="G558" s="9"/>
      <c r="H558" s="10"/>
      <c r="I558" s="9"/>
      <c r="J558" s="9"/>
      <c r="K558" s="9"/>
      <c r="L558" s="9"/>
      <c r="M558" s="9"/>
    </row>
    <row r="559" spans="1:13" ht="15" x14ac:dyDescent="0.25">
      <c r="A559" s="9"/>
      <c r="B559" s="9"/>
      <c r="C559" s="9"/>
      <c r="D559" s="9"/>
      <c r="E559" s="9"/>
      <c r="F559" s="9"/>
      <c r="G559" s="9"/>
      <c r="H559" s="10"/>
      <c r="I559" s="9"/>
      <c r="J559" s="9"/>
      <c r="K559" s="9"/>
      <c r="L559" s="9"/>
      <c r="M559" s="9"/>
    </row>
    <row r="560" spans="1:13" ht="15" x14ac:dyDescent="0.25">
      <c r="A560" s="9"/>
      <c r="B560" s="9"/>
      <c r="C560" s="9"/>
      <c r="D560" s="9"/>
      <c r="E560" s="9"/>
      <c r="F560" s="9"/>
      <c r="G560" s="9"/>
      <c r="H560" s="10"/>
      <c r="I560" s="9"/>
      <c r="J560" s="9"/>
      <c r="K560" s="9"/>
      <c r="L560" s="9"/>
      <c r="M560" s="9"/>
    </row>
    <row r="561" spans="1:13" ht="15" x14ac:dyDescent="0.25">
      <c r="A561" s="9"/>
      <c r="B561" s="9"/>
      <c r="C561" s="9"/>
      <c r="D561" s="9"/>
      <c r="E561" s="9"/>
      <c r="F561" s="9"/>
      <c r="G561" s="9"/>
      <c r="H561" s="10"/>
      <c r="I561" s="9"/>
      <c r="J561" s="9"/>
      <c r="K561" s="9"/>
      <c r="L561" s="9"/>
      <c r="M561" s="9"/>
    </row>
    <row r="562" spans="1:13" ht="15" x14ac:dyDescent="0.25">
      <c r="A562" s="9"/>
      <c r="B562" s="9"/>
      <c r="C562" s="9"/>
      <c r="D562" s="9"/>
      <c r="E562" s="9"/>
      <c r="F562" s="9"/>
      <c r="G562" s="9"/>
      <c r="H562" s="10"/>
      <c r="I562" s="9"/>
      <c r="J562" s="9"/>
      <c r="K562" s="9"/>
      <c r="L562" s="9"/>
      <c r="M562" s="9"/>
    </row>
    <row r="563" spans="1:13" ht="15" x14ac:dyDescent="0.25">
      <c r="A563" s="9"/>
      <c r="B563" s="9"/>
      <c r="C563" s="9"/>
      <c r="D563" s="9"/>
      <c r="E563" s="9"/>
      <c r="F563" s="9"/>
      <c r="G563" s="9"/>
      <c r="H563" s="10"/>
      <c r="I563" s="9"/>
      <c r="J563" s="9"/>
      <c r="K563" s="9"/>
      <c r="L563" s="9"/>
      <c r="M563" s="9"/>
    </row>
    <row r="564" spans="1:13" ht="15" x14ac:dyDescent="0.25">
      <c r="A564" s="9"/>
      <c r="B564" s="9"/>
      <c r="C564" s="9"/>
      <c r="D564" s="9"/>
      <c r="E564" s="9"/>
      <c r="F564" s="9"/>
      <c r="G564" s="9"/>
      <c r="H564" s="10"/>
      <c r="I564" s="9"/>
      <c r="J564" s="9"/>
      <c r="K564" s="9"/>
      <c r="L564" s="9"/>
      <c r="M564" s="9"/>
    </row>
    <row r="565" spans="1:13" ht="15" x14ac:dyDescent="0.25">
      <c r="A565" s="9"/>
      <c r="B565" s="9"/>
      <c r="C565" s="9"/>
      <c r="D565" s="9"/>
      <c r="E565" s="9"/>
      <c r="F565" s="9"/>
      <c r="G565" s="9"/>
      <c r="H565" s="10"/>
      <c r="I565" s="9"/>
      <c r="J565" s="9"/>
      <c r="K565" s="9"/>
      <c r="L565" s="9"/>
      <c r="M565" s="9"/>
    </row>
    <row r="566" spans="1:13" ht="15" x14ac:dyDescent="0.25">
      <c r="A566" s="9"/>
      <c r="B566" s="9"/>
      <c r="C566" s="9"/>
      <c r="D566" s="9"/>
      <c r="E566" s="9"/>
      <c r="F566" s="9"/>
      <c r="G566" s="9"/>
      <c r="H566" s="10"/>
      <c r="I566" s="9"/>
      <c r="J566" s="9"/>
      <c r="K566" s="9"/>
      <c r="L566" s="9"/>
      <c r="M566" s="9"/>
    </row>
    <row r="567" spans="1:13" ht="15" x14ac:dyDescent="0.25">
      <c r="A567" s="9"/>
      <c r="B567" s="9"/>
      <c r="C567" s="9"/>
      <c r="D567" s="9"/>
      <c r="E567" s="9"/>
      <c r="F567" s="9"/>
      <c r="G567" s="9"/>
      <c r="H567" s="10"/>
      <c r="I567" s="9"/>
      <c r="J567" s="9"/>
      <c r="K567" s="9"/>
      <c r="L567" s="9"/>
      <c r="M567" s="9"/>
    </row>
    <row r="568" spans="1:13" ht="15" x14ac:dyDescent="0.25">
      <c r="A568" s="9"/>
      <c r="B568" s="9"/>
      <c r="C568" s="9"/>
      <c r="D568" s="9"/>
      <c r="E568" s="9"/>
      <c r="F568" s="9"/>
      <c r="G568" s="9"/>
      <c r="H568" s="10"/>
      <c r="I568" s="9"/>
      <c r="J568" s="9"/>
      <c r="K568" s="9"/>
      <c r="L568" s="9"/>
      <c r="M568" s="9"/>
    </row>
    <row r="569" spans="1:13" ht="15" x14ac:dyDescent="0.25">
      <c r="A569" s="9"/>
      <c r="B569" s="9"/>
      <c r="C569" s="9"/>
      <c r="D569" s="9"/>
      <c r="E569" s="9"/>
      <c r="F569" s="9"/>
      <c r="G569" s="9"/>
      <c r="H569" s="10"/>
      <c r="I569" s="9"/>
      <c r="J569" s="9"/>
      <c r="K569" s="9"/>
      <c r="L569" s="9"/>
      <c r="M569" s="9"/>
    </row>
    <row r="570" spans="1:13" ht="15" x14ac:dyDescent="0.25">
      <c r="A570" s="9"/>
      <c r="B570" s="9"/>
      <c r="C570" s="9"/>
      <c r="D570" s="9"/>
      <c r="E570" s="9"/>
      <c r="F570" s="9"/>
      <c r="G570" s="9"/>
      <c r="H570" s="10"/>
      <c r="I570" s="9"/>
      <c r="J570" s="9"/>
      <c r="K570" s="9"/>
      <c r="L570" s="9"/>
      <c r="M570" s="9"/>
    </row>
    <row r="571" spans="1:13" ht="15" x14ac:dyDescent="0.25">
      <c r="A571" s="9"/>
      <c r="B571" s="9"/>
      <c r="C571" s="9"/>
      <c r="D571" s="9"/>
      <c r="E571" s="9"/>
      <c r="F571" s="9"/>
      <c r="G571" s="9"/>
      <c r="H571" s="10"/>
      <c r="I571" s="9"/>
      <c r="J571" s="9"/>
      <c r="K571" s="9"/>
      <c r="L571" s="9"/>
      <c r="M571" s="9"/>
    </row>
    <row r="572" spans="1:13" ht="15" x14ac:dyDescent="0.25">
      <c r="A572" s="9"/>
      <c r="B572" s="9"/>
      <c r="C572" s="9"/>
      <c r="D572" s="9"/>
      <c r="E572" s="9"/>
      <c r="F572" s="9"/>
      <c r="G572" s="9"/>
      <c r="H572" s="10"/>
      <c r="I572" s="9"/>
      <c r="J572" s="9"/>
      <c r="K572" s="9"/>
      <c r="L572" s="9"/>
      <c r="M572" s="9"/>
    </row>
    <row r="573" spans="1:13" ht="15" x14ac:dyDescent="0.25">
      <c r="A573" s="9"/>
      <c r="B573" s="9"/>
      <c r="C573" s="9"/>
      <c r="D573" s="9"/>
      <c r="E573" s="9"/>
      <c r="F573" s="9"/>
      <c r="G573" s="9"/>
      <c r="H573" s="10"/>
      <c r="I573" s="9"/>
      <c r="J573" s="9"/>
      <c r="K573" s="9"/>
      <c r="L573" s="9"/>
      <c r="M573" s="9"/>
    </row>
    <row r="574" spans="1:13" ht="15" x14ac:dyDescent="0.25">
      <c r="A574" s="9"/>
      <c r="B574" s="9"/>
      <c r="C574" s="9"/>
      <c r="D574" s="9"/>
      <c r="E574" s="9"/>
      <c r="F574" s="9"/>
      <c r="G574" s="9"/>
      <c r="H574" s="10"/>
      <c r="I574" s="9"/>
      <c r="J574" s="9"/>
      <c r="K574" s="9"/>
      <c r="L574" s="9"/>
      <c r="M574" s="9"/>
    </row>
    <row r="575" spans="1:13" ht="15" x14ac:dyDescent="0.25">
      <c r="A575" s="9"/>
      <c r="B575" s="9"/>
      <c r="C575" s="9"/>
      <c r="D575" s="9"/>
      <c r="E575" s="9"/>
      <c r="F575" s="9"/>
      <c r="G575" s="9"/>
      <c r="H575" s="10"/>
      <c r="I575" s="9"/>
      <c r="J575" s="9"/>
      <c r="K575" s="9"/>
      <c r="L575" s="9"/>
      <c r="M575" s="9"/>
    </row>
    <row r="576" spans="1:13" ht="15" x14ac:dyDescent="0.25">
      <c r="A576" s="9"/>
      <c r="B576" s="9"/>
      <c r="C576" s="9"/>
      <c r="D576" s="9"/>
      <c r="E576" s="9"/>
      <c r="F576" s="9"/>
      <c r="G576" s="9"/>
      <c r="H576" s="10"/>
      <c r="I576" s="9"/>
      <c r="J576" s="9"/>
      <c r="K576" s="9"/>
      <c r="L576" s="9"/>
      <c r="M576" s="9"/>
    </row>
    <row r="577" spans="1:13" ht="15" x14ac:dyDescent="0.25">
      <c r="A577" s="9"/>
      <c r="B577" s="9"/>
      <c r="C577" s="9"/>
      <c r="D577" s="9"/>
      <c r="E577" s="9"/>
      <c r="F577" s="9"/>
      <c r="G577" s="9"/>
      <c r="H577" s="10"/>
      <c r="I577" s="9"/>
      <c r="J577" s="9"/>
      <c r="K577" s="9"/>
      <c r="L577" s="9"/>
      <c r="M577" s="9"/>
    </row>
    <row r="578" spans="1:13" ht="15" x14ac:dyDescent="0.25">
      <c r="A578" s="9"/>
      <c r="B578" s="9"/>
      <c r="C578" s="9"/>
      <c r="D578" s="9"/>
      <c r="E578" s="9"/>
      <c r="F578" s="9"/>
      <c r="G578" s="9"/>
      <c r="H578" s="10"/>
      <c r="I578" s="9"/>
      <c r="J578" s="9"/>
      <c r="K578" s="9"/>
      <c r="L578" s="9"/>
      <c r="M578" s="9"/>
    </row>
    <row r="579" spans="1:13" ht="15" x14ac:dyDescent="0.25">
      <c r="A579" s="9"/>
      <c r="B579" s="9"/>
      <c r="C579" s="9"/>
      <c r="D579" s="9"/>
      <c r="E579" s="9"/>
      <c r="F579" s="9"/>
      <c r="G579" s="9"/>
      <c r="H579" s="10"/>
      <c r="I579" s="9"/>
      <c r="J579" s="9"/>
      <c r="K579" s="9"/>
      <c r="L579" s="9"/>
      <c r="M579" s="9"/>
    </row>
    <row r="580" spans="1:13" ht="15" x14ac:dyDescent="0.25">
      <c r="A580" s="9"/>
      <c r="B580" s="9"/>
      <c r="C580" s="9"/>
      <c r="D580" s="9"/>
      <c r="E580" s="9"/>
      <c r="F580" s="9"/>
      <c r="G580" s="9"/>
      <c r="H580" s="10"/>
      <c r="I580" s="9"/>
      <c r="J580" s="9"/>
      <c r="K580" s="9"/>
      <c r="L580" s="9"/>
      <c r="M580" s="9"/>
    </row>
    <row r="581" spans="1:13" ht="15" x14ac:dyDescent="0.25">
      <c r="A581" s="9"/>
      <c r="B581" s="9"/>
      <c r="C581" s="9"/>
      <c r="D581" s="9"/>
      <c r="E581" s="9"/>
      <c r="F581" s="9"/>
      <c r="G581" s="9"/>
      <c r="H581" s="10"/>
      <c r="I581" s="9"/>
      <c r="J581" s="9"/>
      <c r="K581" s="9"/>
      <c r="L581" s="9"/>
      <c r="M581" s="9"/>
    </row>
    <row r="582" spans="1:13" ht="15" x14ac:dyDescent="0.25">
      <c r="A582" s="9"/>
      <c r="B582" s="9"/>
      <c r="C582" s="9"/>
      <c r="D582" s="9"/>
      <c r="E582" s="9"/>
      <c r="F582" s="9"/>
      <c r="G582" s="9"/>
      <c r="H582" s="10"/>
      <c r="I582" s="9"/>
      <c r="J582" s="9"/>
      <c r="K582" s="9"/>
      <c r="L582" s="9"/>
      <c r="M582" s="9"/>
    </row>
    <row r="583" spans="1:13" ht="15" x14ac:dyDescent="0.25">
      <c r="A583" s="9"/>
      <c r="B583" s="9"/>
      <c r="C583" s="9"/>
      <c r="D583" s="9"/>
      <c r="E583" s="9"/>
      <c r="F583" s="9"/>
      <c r="G583" s="9"/>
      <c r="H583" s="10"/>
      <c r="I583" s="9"/>
      <c r="J583" s="9"/>
      <c r="K583" s="9"/>
      <c r="L583" s="9"/>
      <c r="M583" s="9"/>
    </row>
    <row r="584" spans="1:13" ht="15" x14ac:dyDescent="0.25">
      <c r="A584" s="9"/>
      <c r="B584" s="9"/>
      <c r="C584" s="9"/>
      <c r="D584" s="9"/>
      <c r="E584" s="9"/>
      <c r="F584" s="9"/>
      <c r="G584" s="9"/>
      <c r="H584" s="10"/>
      <c r="I584" s="9"/>
      <c r="J584" s="9"/>
      <c r="K584" s="9"/>
      <c r="L584" s="9"/>
      <c r="M584" s="9"/>
    </row>
    <row r="585" spans="1:13" ht="15" x14ac:dyDescent="0.25">
      <c r="A585" s="9"/>
      <c r="B585" s="9"/>
      <c r="C585" s="9"/>
      <c r="D585" s="9"/>
      <c r="E585" s="9"/>
      <c r="F585" s="9"/>
      <c r="G585" s="9"/>
      <c r="H585" s="10"/>
      <c r="I585" s="9"/>
      <c r="J585" s="9"/>
      <c r="K585" s="9"/>
      <c r="L585" s="9"/>
      <c r="M585" s="9"/>
    </row>
    <row r="586" spans="1:13" ht="15" x14ac:dyDescent="0.25">
      <c r="A586" s="9"/>
      <c r="B586" s="9"/>
      <c r="C586" s="9"/>
      <c r="D586" s="9"/>
      <c r="E586" s="9"/>
      <c r="F586" s="9"/>
      <c r="G586" s="9"/>
      <c r="H586" s="10"/>
      <c r="I586" s="9"/>
      <c r="J586" s="9"/>
      <c r="K586" s="9"/>
      <c r="L586" s="9"/>
      <c r="M586" s="9"/>
    </row>
    <row r="587" spans="1:13" ht="15" x14ac:dyDescent="0.25">
      <c r="A587" s="9"/>
      <c r="B587" s="9"/>
      <c r="C587" s="9"/>
      <c r="D587" s="9"/>
      <c r="E587" s="9"/>
      <c r="F587" s="9"/>
      <c r="G587" s="9"/>
      <c r="H587" s="10"/>
      <c r="I587" s="9"/>
      <c r="J587" s="9"/>
      <c r="K587" s="9"/>
      <c r="L587" s="9"/>
      <c r="M587" s="9"/>
    </row>
    <row r="588" spans="1:13" ht="15" x14ac:dyDescent="0.25">
      <c r="A588" s="9"/>
      <c r="B588" s="9"/>
      <c r="C588" s="9"/>
      <c r="D588" s="9"/>
      <c r="E588" s="9"/>
      <c r="F588" s="9"/>
      <c r="G588" s="9"/>
      <c r="H588" s="10"/>
      <c r="I588" s="9"/>
      <c r="J588" s="9"/>
      <c r="K588" s="9"/>
      <c r="L588" s="9"/>
      <c r="M588" s="9"/>
    </row>
    <row r="589" spans="1:13" ht="15" x14ac:dyDescent="0.25">
      <c r="A589" s="9"/>
      <c r="B589" s="9"/>
      <c r="C589" s="9"/>
      <c r="D589" s="9"/>
      <c r="E589" s="9"/>
      <c r="F589" s="9"/>
      <c r="G589" s="9"/>
      <c r="H589" s="10"/>
      <c r="I589" s="9"/>
      <c r="J589" s="9"/>
      <c r="K589" s="9"/>
      <c r="L589" s="9"/>
      <c r="M589" s="9"/>
    </row>
    <row r="590" spans="1:13" ht="15" x14ac:dyDescent="0.25">
      <c r="A590" s="9"/>
      <c r="B590" s="9"/>
      <c r="C590" s="9"/>
      <c r="D590" s="9"/>
      <c r="E590" s="9"/>
      <c r="F590" s="9"/>
      <c r="G590" s="9"/>
      <c r="H590" s="10"/>
      <c r="I590" s="9"/>
      <c r="J590" s="9"/>
      <c r="K590" s="9"/>
      <c r="L590" s="9"/>
      <c r="M590" s="9"/>
    </row>
    <row r="591" spans="1:13" ht="15" x14ac:dyDescent="0.25">
      <c r="A591" s="9"/>
      <c r="B591" s="9"/>
      <c r="C591" s="9"/>
      <c r="D591" s="9"/>
      <c r="E591" s="9"/>
      <c r="F591" s="9"/>
      <c r="G591" s="9"/>
      <c r="H591" s="10"/>
      <c r="I591" s="9"/>
      <c r="J591" s="9"/>
      <c r="K591" s="9"/>
      <c r="L591" s="9"/>
      <c r="M591" s="9"/>
    </row>
    <row r="592" spans="1:13" ht="15" x14ac:dyDescent="0.25">
      <c r="A592" s="9"/>
      <c r="B592" s="9"/>
      <c r="C592" s="9"/>
      <c r="D592" s="9"/>
      <c r="E592" s="9"/>
      <c r="F592" s="9"/>
      <c r="G592" s="9"/>
      <c r="H592" s="10"/>
      <c r="I592" s="9"/>
      <c r="J592" s="9"/>
      <c r="K592" s="9"/>
      <c r="L592" s="9"/>
      <c r="M592" s="9"/>
    </row>
    <row r="593" spans="1:13" ht="15" x14ac:dyDescent="0.25">
      <c r="A593" s="9"/>
      <c r="B593" s="9"/>
      <c r="C593" s="9"/>
      <c r="D593" s="9"/>
      <c r="E593" s="9"/>
      <c r="F593" s="9"/>
      <c r="G593" s="9"/>
      <c r="H593" s="10"/>
      <c r="I593" s="9"/>
      <c r="J593" s="9"/>
      <c r="K593" s="9"/>
      <c r="L593" s="9"/>
      <c r="M593" s="9"/>
    </row>
    <row r="594" spans="1:13" ht="15" x14ac:dyDescent="0.25">
      <c r="A594" s="9"/>
      <c r="B594" s="9"/>
      <c r="C594" s="9"/>
      <c r="D594" s="9"/>
      <c r="E594" s="9"/>
      <c r="F594" s="9"/>
      <c r="G594" s="9"/>
      <c r="H594" s="10"/>
      <c r="I594" s="9"/>
      <c r="J594" s="9"/>
      <c r="K594" s="9"/>
      <c r="L594" s="9"/>
      <c r="M594" s="9"/>
    </row>
    <row r="595" spans="1:13" ht="15" x14ac:dyDescent="0.25">
      <c r="A595" s="9"/>
      <c r="B595" s="9"/>
      <c r="C595" s="9"/>
      <c r="D595" s="9"/>
      <c r="E595" s="9"/>
      <c r="F595" s="9"/>
      <c r="G595" s="9"/>
      <c r="H595" s="10"/>
      <c r="I595" s="9"/>
      <c r="J595" s="9"/>
      <c r="K595" s="9"/>
      <c r="L595" s="9"/>
      <c r="M595" s="9"/>
    </row>
    <row r="596" spans="1:13" ht="15" x14ac:dyDescent="0.25">
      <c r="A596" s="9"/>
      <c r="B596" s="9"/>
      <c r="C596" s="9"/>
      <c r="D596" s="9"/>
      <c r="E596" s="9"/>
      <c r="F596" s="9"/>
      <c r="G596" s="9"/>
      <c r="H596" s="10"/>
      <c r="I596" s="9"/>
      <c r="J596" s="9"/>
      <c r="K596" s="9"/>
      <c r="L596" s="9"/>
      <c r="M596" s="9"/>
    </row>
    <row r="597" spans="1:13" ht="15" x14ac:dyDescent="0.25">
      <c r="A597" s="9"/>
      <c r="B597" s="9"/>
      <c r="C597" s="9"/>
      <c r="D597" s="9"/>
      <c r="E597" s="9"/>
      <c r="F597" s="9"/>
      <c r="G597" s="9"/>
      <c r="H597" s="10"/>
      <c r="I597" s="9"/>
      <c r="J597" s="9"/>
      <c r="K597" s="9"/>
      <c r="L597" s="9"/>
      <c r="M597" s="9"/>
    </row>
    <row r="598" spans="1:13" ht="15" x14ac:dyDescent="0.25">
      <c r="A598" s="9"/>
      <c r="B598" s="9"/>
      <c r="C598" s="9"/>
      <c r="D598" s="9"/>
      <c r="E598" s="9"/>
      <c r="F598" s="9"/>
      <c r="G598" s="9"/>
      <c r="H598" s="10"/>
      <c r="I598" s="9"/>
      <c r="J598" s="9"/>
      <c r="K598" s="9"/>
      <c r="L598" s="9"/>
      <c r="M598" s="9"/>
    </row>
    <row r="599" spans="1:13" ht="15" x14ac:dyDescent="0.25">
      <c r="A599" s="9"/>
      <c r="B599" s="9"/>
      <c r="C599" s="9"/>
      <c r="D599" s="9"/>
      <c r="E599" s="9"/>
      <c r="F599" s="9"/>
      <c r="G599" s="9"/>
      <c r="H599" s="10"/>
      <c r="I599" s="9"/>
      <c r="J599" s="9"/>
      <c r="K599" s="9"/>
      <c r="L599" s="9"/>
      <c r="M599" s="9"/>
    </row>
    <row r="600" spans="1:13" ht="15" x14ac:dyDescent="0.25">
      <c r="A600" s="9"/>
      <c r="B600" s="9"/>
      <c r="C600" s="9"/>
      <c r="D600" s="9"/>
      <c r="E600" s="9"/>
      <c r="F600" s="9"/>
      <c r="G600" s="9"/>
      <c r="H600" s="10"/>
      <c r="I600" s="9"/>
      <c r="J600" s="9"/>
      <c r="K600" s="9"/>
      <c r="L600" s="9"/>
      <c r="M600" s="9"/>
    </row>
    <row r="601" spans="1:13" ht="15" x14ac:dyDescent="0.25">
      <c r="A601" s="9"/>
      <c r="B601" s="9"/>
      <c r="C601" s="9"/>
      <c r="D601" s="9"/>
      <c r="E601" s="9"/>
      <c r="F601" s="9"/>
      <c r="G601" s="9"/>
      <c r="H601" s="10"/>
      <c r="I601" s="9"/>
      <c r="J601" s="9"/>
      <c r="K601" s="9"/>
      <c r="L601" s="9"/>
      <c r="M601" s="9"/>
    </row>
    <row r="602" spans="1:13" ht="15" x14ac:dyDescent="0.25">
      <c r="A602" s="9"/>
      <c r="B602" s="9"/>
      <c r="C602" s="9"/>
      <c r="D602" s="9"/>
      <c r="E602" s="9"/>
      <c r="F602" s="9"/>
      <c r="G602" s="9"/>
      <c r="H602" s="10"/>
      <c r="I602" s="9"/>
      <c r="J602" s="9"/>
      <c r="K602" s="9"/>
      <c r="L602" s="9"/>
      <c r="M602" s="9"/>
    </row>
    <row r="603" spans="1:13" ht="15" x14ac:dyDescent="0.25">
      <c r="A603" s="9"/>
      <c r="B603" s="9"/>
      <c r="C603" s="9"/>
      <c r="D603" s="9"/>
      <c r="E603" s="9"/>
      <c r="F603" s="9"/>
      <c r="G603" s="9"/>
      <c r="H603" s="10"/>
      <c r="I603" s="9"/>
      <c r="J603" s="9"/>
      <c r="K603" s="9"/>
      <c r="L603" s="9"/>
      <c r="M603" s="9"/>
    </row>
    <row r="604" spans="1:13" ht="15" x14ac:dyDescent="0.25">
      <c r="A604" s="9"/>
      <c r="B604" s="9"/>
      <c r="C604" s="9"/>
      <c r="D604" s="9"/>
      <c r="E604" s="9"/>
      <c r="F604" s="9"/>
      <c r="G604" s="9"/>
      <c r="H604" s="10"/>
      <c r="I604" s="9"/>
      <c r="J604" s="9"/>
      <c r="K604" s="9"/>
      <c r="L604" s="9"/>
      <c r="M604" s="9"/>
    </row>
    <row r="605" spans="1:13" ht="15" x14ac:dyDescent="0.25">
      <c r="A605" s="9"/>
      <c r="B605" s="9"/>
      <c r="C605" s="9"/>
      <c r="D605" s="9"/>
      <c r="E605" s="9"/>
      <c r="F605" s="9"/>
      <c r="G605" s="9"/>
      <c r="H605" s="10"/>
      <c r="I605" s="9"/>
      <c r="J605" s="9"/>
      <c r="K605" s="9"/>
      <c r="L605" s="9"/>
      <c r="M605" s="9"/>
    </row>
    <row r="606" spans="1:13" ht="15" x14ac:dyDescent="0.25">
      <c r="A606" s="9"/>
      <c r="B606" s="9"/>
      <c r="C606" s="9"/>
      <c r="D606" s="9"/>
      <c r="E606" s="9"/>
      <c r="F606" s="9"/>
      <c r="G606" s="9"/>
      <c r="H606" s="10"/>
      <c r="I606" s="9"/>
      <c r="J606" s="9"/>
      <c r="K606" s="9"/>
      <c r="L606" s="9"/>
      <c r="M606" s="9"/>
    </row>
    <row r="607" spans="1:13" ht="15" x14ac:dyDescent="0.25">
      <c r="A607" s="9"/>
      <c r="B607" s="9"/>
      <c r="C607" s="9"/>
      <c r="D607" s="9"/>
      <c r="E607" s="9"/>
      <c r="F607" s="9"/>
      <c r="G607" s="9"/>
      <c r="H607" s="10"/>
      <c r="I607" s="9"/>
      <c r="J607" s="9"/>
      <c r="K607" s="9"/>
      <c r="L607" s="9"/>
      <c r="M607" s="9"/>
    </row>
    <row r="608" spans="1:13" ht="15" x14ac:dyDescent="0.25">
      <c r="A608" s="9"/>
      <c r="B608" s="9"/>
      <c r="C608" s="9"/>
      <c r="D608" s="9"/>
      <c r="E608" s="9"/>
      <c r="F608" s="9"/>
      <c r="G608" s="9"/>
      <c r="H608" s="10"/>
      <c r="I608" s="9"/>
      <c r="J608" s="9"/>
      <c r="K608" s="9"/>
      <c r="L608" s="9"/>
      <c r="M608" s="9"/>
    </row>
    <row r="609" spans="1:13" ht="15" x14ac:dyDescent="0.25">
      <c r="A609" s="9"/>
      <c r="B609" s="9"/>
      <c r="C609" s="9"/>
      <c r="D609" s="9"/>
      <c r="E609" s="9"/>
      <c r="F609" s="9"/>
      <c r="G609" s="9"/>
      <c r="H609" s="10"/>
      <c r="I609" s="9"/>
      <c r="J609" s="9"/>
      <c r="K609" s="9"/>
      <c r="L609" s="9"/>
      <c r="M609" s="9"/>
    </row>
    <row r="610" spans="1:13" ht="15" x14ac:dyDescent="0.25">
      <c r="A610" s="9"/>
      <c r="B610" s="9"/>
      <c r="C610" s="9"/>
      <c r="D610" s="9"/>
      <c r="E610" s="9"/>
      <c r="F610" s="9"/>
      <c r="G610" s="9"/>
      <c r="H610" s="10"/>
      <c r="I610" s="9"/>
      <c r="J610" s="9"/>
      <c r="K610" s="9"/>
      <c r="L610" s="9"/>
      <c r="M610" s="9"/>
    </row>
    <row r="611" spans="1:13" ht="15" x14ac:dyDescent="0.25">
      <c r="A611" s="9"/>
      <c r="B611" s="9"/>
      <c r="C611" s="9"/>
      <c r="D611" s="9"/>
      <c r="E611" s="9"/>
      <c r="F611" s="9"/>
      <c r="G611" s="9"/>
      <c r="H611" s="10"/>
      <c r="I611" s="9"/>
      <c r="J611" s="9"/>
      <c r="K611" s="9"/>
      <c r="L611" s="9"/>
      <c r="M611" s="9"/>
    </row>
    <row r="612" spans="1:13" ht="15" x14ac:dyDescent="0.25">
      <c r="A612" s="9"/>
      <c r="B612" s="9"/>
      <c r="C612" s="9"/>
      <c r="D612" s="9"/>
      <c r="E612" s="9"/>
      <c r="F612" s="9"/>
      <c r="G612" s="9"/>
      <c r="H612" s="10"/>
      <c r="I612" s="9"/>
      <c r="J612" s="9"/>
      <c r="K612" s="9"/>
      <c r="L612" s="9"/>
      <c r="M612" s="9"/>
    </row>
    <row r="613" spans="1:13" ht="15" x14ac:dyDescent="0.25">
      <c r="A613" s="9"/>
      <c r="B613" s="9"/>
      <c r="C613" s="9"/>
      <c r="D613" s="9"/>
      <c r="E613" s="9"/>
      <c r="F613" s="9"/>
      <c r="G613" s="9"/>
      <c r="H613" s="10"/>
      <c r="I613" s="9"/>
      <c r="J613" s="9"/>
      <c r="K613" s="9"/>
      <c r="L613" s="9"/>
      <c r="M613" s="9"/>
    </row>
    <row r="614" spans="1:13" ht="15" x14ac:dyDescent="0.25">
      <c r="A614" s="9"/>
      <c r="B614" s="9"/>
      <c r="C614" s="9"/>
      <c r="D614" s="9"/>
      <c r="E614" s="9"/>
      <c r="F614" s="9"/>
      <c r="G614" s="9"/>
      <c r="H614" s="10"/>
      <c r="I614" s="9"/>
      <c r="J614" s="9"/>
      <c r="K614" s="9"/>
      <c r="L614" s="9"/>
      <c r="M614" s="9"/>
    </row>
    <row r="615" spans="1:13" ht="15" x14ac:dyDescent="0.25">
      <c r="A615" s="9"/>
      <c r="B615" s="9"/>
      <c r="C615" s="9"/>
      <c r="D615" s="9"/>
      <c r="E615" s="9"/>
      <c r="F615" s="9"/>
      <c r="G615" s="9"/>
      <c r="H615" s="10"/>
      <c r="I615" s="9"/>
      <c r="J615" s="9"/>
      <c r="K615" s="9"/>
      <c r="L615" s="9"/>
      <c r="M615" s="9"/>
    </row>
    <row r="616" spans="1:13" ht="15" x14ac:dyDescent="0.25">
      <c r="A616" s="9"/>
      <c r="B616" s="9"/>
      <c r="C616" s="9"/>
      <c r="D616" s="9"/>
      <c r="E616" s="9"/>
      <c r="F616" s="9"/>
      <c r="G616" s="9"/>
      <c r="H616" s="10"/>
      <c r="I616" s="9"/>
      <c r="J616" s="9"/>
      <c r="K616" s="9"/>
      <c r="L616" s="9"/>
      <c r="M616" s="9"/>
    </row>
    <row r="617" spans="1:13" ht="15" x14ac:dyDescent="0.25">
      <c r="A617" s="9"/>
      <c r="B617" s="9"/>
      <c r="C617" s="9"/>
      <c r="D617" s="9"/>
      <c r="E617" s="9"/>
      <c r="F617" s="9"/>
      <c r="G617" s="9"/>
      <c r="H617" s="10"/>
      <c r="I617" s="9"/>
      <c r="J617" s="9"/>
      <c r="K617" s="9"/>
      <c r="L617" s="9"/>
      <c r="M617" s="9"/>
    </row>
    <row r="618" spans="1:13" ht="15" x14ac:dyDescent="0.25">
      <c r="A618" s="9"/>
      <c r="B618" s="9"/>
      <c r="C618" s="9"/>
      <c r="D618" s="9"/>
      <c r="E618" s="9"/>
      <c r="F618" s="9"/>
      <c r="G618" s="9"/>
      <c r="H618" s="10"/>
      <c r="I618" s="9"/>
      <c r="J618" s="9"/>
      <c r="K618" s="9"/>
      <c r="L618" s="9"/>
      <c r="M618" s="9"/>
    </row>
    <row r="619" spans="1:13" ht="15" x14ac:dyDescent="0.25">
      <c r="A619" s="9"/>
      <c r="B619" s="9"/>
      <c r="C619" s="9"/>
      <c r="D619" s="9"/>
      <c r="E619" s="9"/>
      <c r="F619" s="9"/>
      <c r="G619" s="9"/>
      <c r="H619" s="10"/>
      <c r="I619" s="9"/>
      <c r="J619" s="9"/>
      <c r="K619" s="9"/>
      <c r="L619" s="9"/>
      <c r="M619" s="9"/>
    </row>
    <row r="620" spans="1:13" ht="15" x14ac:dyDescent="0.25">
      <c r="A620" s="9"/>
      <c r="B620" s="9"/>
      <c r="C620" s="9"/>
      <c r="D620" s="9"/>
      <c r="E620" s="9"/>
      <c r="F620" s="9"/>
      <c r="G620" s="9"/>
      <c r="H620" s="10"/>
      <c r="I620" s="9"/>
      <c r="J620" s="9"/>
      <c r="K620" s="9"/>
      <c r="L620" s="9"/>
      <c r="M620" s="9"/>
    </row>
    <row r="621" spans="1:13" ht="15" x14ac:dyDescent="0.25">
      <c r="A621" s="9"/>
      <c r="B621" s="9"/>
      <c r="C621" s="9"/>
      <c r="D621" s="9"/>
      <c r="E621" s="9"/>
      <c r="F621" s="9"/>
      <c r="G621" s="9"/>
      <c r="H621" s="10"/>
      <c r="I621" s="9"/>
      <c r="J621" s="9"/>
      <c r="K621" s="9"/>
      <c r="L621" s="9"/>
      <c r="M621" s="9"/>
    </row>
    <row r="622" spans="1:13" ht="15" x14ac:dyDescent="0.25">
      <c r="A622" s="9"/>
      <c r="B622" s="9"/>
      <c r="C622" s="9"/>
      <c r="D622" s="9"/>
      <c r="E622" s="9"/>
      <c r="F622" s="9"/>
      <c r="G622" s="9"/>
      <c r="H622" s="10"/>
      <c r="I622" s="9"/>
      <c r="J622" s="9"/>
      <c r="K622" s="9"/>
      <c r="L622" s="9"/>
      <c r="M622" s="9"/>
    </row>
    <row r="623" spans="1:13" ht="15" x14ac:dyDescent="0.25">
      <c r="A623" s="9"/>
      <c r="B623" s="9"/>
      <c r="C623" s="9"/>
      <c r="D623" s="9"/>
      <c r="E623" s="9"/>
      <c r="F623" s="9"/>
      <c r="G623" s="9"/>
      <c r="H623" s="10"/>
      <c r="I623" s="9"/>
      <c r="J623" s="9"/>
      <c r="K623" s="9"/>
      <c r="L623" s="9"/>
      <c r="M623" s="9"/>
    </row>
    <row r="624" spans="1:13" ht="15" x14ac:dyDescent="0.25">
      <c r="A624" s="9"/>
      <c r="B624" s="9"/>
      <c r="C624" s="9"/>
      <c r="D624" s="9"/>
      <c r="E624" s="9"/>
      <c r="F624" s="9"/>
      <c r="G624" s="9"/>
      <c r="H624" s="10"/>
      <c r="I624" s="9"/>
      <c r="J624" s="9"/>
      <c r="K624" s="9"/>
      <c r="L624" s="9"/>
      <c r="M624" s="9"/>
    </row>
    <row r="625" spans="1:13" ht="15" x14ac:dyDescent="0.25">
      <c r="A625" s="9"/>
      <c r="B625" s="9"/>
      <c r="C625" s="9"/>
      <c r="D625" s="9"/>
      <c r="E625" s="9"/>
      <c r="F625" s="9"/>
      <c r="G625" s="9"/>
      <c r="H625" s="10"/>
      <c r="I625" s="9"/>
      <c r="J625" s="9"/>
      <c r="K625" s="9"/>
      <c r="L625" s="9"/>
      <c r="M625" s="9"/>
    </row>
    <row r="626" spans="1:13" ht="15" x14ac:dyDescent="0.25">
      <c r="A626" s="9"/>
      <c r="B626" s="9"/>
      <c r="C626" s="9"/>
      <c r="D626" s="9"/>
      <c r="E626" s="9"/>
      <c r="F626" s="9"/>
      <c r="G626" s="9"/>
      <c r="H626" s="10"/>
      <c r="I626" s="9"/>
      <c r="J626" s="9"/>
      <c r="K626" s="9"/>
      <c r="L626" s="9"/>
      <c r="M626" s="9"/>
    </row>
    <row r="627" spans="1:13" ht="15" x14ac:dyDescent="0.25">
      <c r="A627" s="9"/>
      <c r="B627" s="9"/>
      <c r="C627" s="9"/>
      <c r="D627" s="9"/>
      <c r="E627" s="9"/>
      <c r="F627" s="9"/>
      <c r="G627" s="9"/>
      <c r="H627" s="10"/>
      <c r="I627" s="9"/>
      <c r="J627" s="9"/>
      <c r="K627" s="9"/>
      <c r="L627" s="9"/>
      <c r="M627" s="9"/>
    </row>
    <row r="628" spans="1:13" ht="15" x14ac:dyDescent="0.25">
      <c r="A628" s="9"/>
      <c r="B628" s="9"/>
      <c r="C628" s="9"/>
      <c r="D628" s="9"/>
      <c r="E628" s="9"/>
      <c r="F628" s="9"/>
      <c r="G628" s="9"/>
      <c r="H628" s="10"/>
      <c r="I628" s="9"/>
      <c r="J628" s="9"/>
      <c r="K628" s="9"/>
      <c r="L628" s="9"/>
      <c r="M628" s="9"/>
    </row>
    <row r="629" spans="1:13" ht="15" x14ac:dyDescent="0.25">
      <c r="A629" s="9"/>
      <c r="B629" s="9"/>
      <c r="C629" s="9"/>
      <c r="D629" s="9"/>
      <c r="E629" s="9"/>
      <c r="F629" s="9"/>
      <c r="G629" s="9"/>
      <c r="H629" s="10"/>
      <c r="I629" s="9"/>
      <c r="J629" s="9"/>
      <c r="K629" s="9"/>
      <c r="L629" s="9"/>
      <c r="M629" s="9"/>
    </row>
    <row r="630" spans="1:13" ht="15" x14ac:dyDescent="0.25">
      <c r="A630" s="9"/>
      <c r="B630" s="9"/>
      <c r="C630" s="9"/>
      <c r="D630" s="9"/>
      <c r="E630" s="9"/>
      <c r="F630" s="9"/>
      <c r="G630" s="9"/>
      <c r="H630" s="10"/>
      <c r="I630" s="9"/>
      <c r="J630" s="9"/>
      <c r="K630" s="9"/>
      <c r="L630" s="9"/>
      <c r="M630" s="9"/>
    </row>
    <row r="631" spans="1:13" ht="15" x14ac:dyDescent="0.25">
      <c r="A631" s="9"/>
      <c r="B631" s="9"/>
      <c r="C631" s="9"/>
      <c r="D631" s="9"/>
      <c r="E631" s="9"/>
      <c r="F631" s="9"/>
      <c r="G631" s="9"/>
      <c r="H631" s="10"/>
      <c r="I631" s="9"/>
      <c r="J631" s="9"/>
      <c r="K631" s="9"/>
      <c r="L631" s="9"/>
      <c r="M631" s="9"/>
    </row>
    <row r="632" spans="1:13" ht="15" x14ac:dyDescent="0.25">
      <c r="A632" s="9"/>
      <c r="B632" s="9"/>
      <c r="C632" s="9"/>
      <c r="D632" s="9"/>
      <c r="E632" s="9"/>
      <c r="F632" s="9"/>
      <c r="G632" s="9"/>
      <c r="H632" s="10"/>
      <c r="I632" s="9"/>
      <c r="J632" s="9"/>
      <c r="K632" s="9"/>
      <c r="L632" s="9"/>
      <c r="M632" s="9"/>
    </row>
    <row r="633" spans="1:13" ht="15" x14ac:dyDescent="0.25">
      <c r="A633" s="9"/>
      <c r="B633" s="9"/>
      <c r="C633" s="9"/>
      <c r="D633" s="9"/>
      <c r="E633" s="9"/>
      <c r="F633" s="9"/>
      <c r="G633" s="9"/>
      <c r="H633" s="10"/>
      <c r="I633" s="9"/>
      <c r="J633" s="9"/>
      <c r="K633" s="9"/>
      <c r="L633" s="9"/>
      <c r="M633" s="9"/>
    </row>
    <row r="634" spans="1:13" ht="15" x14ac:dyDescent="0.25">
      <c r="A634" s="9"/>
      <c r="B634" s="9"/>
      <c r="C634" s="9"/>
      <c r="D634" s="9"/>
      <c r="E634" s="9"/>
      <c r="F634" s="9"/>
      <c r="G634" s="9"/>
      <c r="H634" s="10"/>
      <c r="I634" s="9"/>
      <c r="J634" s="9"/>
      <c r="K634" s="9"/>
      <c r="L634" s="9"/>
      <c r="M634" s="9"/>
    </row>
    <row r="635" spans="1:13" ht="15" x14ac:dyDescent="0.25">
      <c r="A635" s="9"/>
      <c r="B635" s="9"/>
      <c r="C635" s="9"/>
      <c r="D635" s="9"/>
      <c r="E635" s="9"/>
      <c r="F635" s="9"/>
      <c r="G635" s="9"/>
      <c r="H635" s="10"/>
      <c r="I635" s="9"/>
      <c r="J635" s="9"/>
      <c r="K635" s="9"/>
      <c r="L635" s="9"/>
      <c r="M635" s="9"/>
    </row>
    <row r="636" spans="1:13" ht="15" x14ac:dyDescent="0.25">
      <c r="A636" s="9"/>
      <c r="B636" s="9"/>
      <c r="C636" s="9"/>
      <c r="D636" s="9"/>
      <c r="E636" s="9"/>
      <c r="F636" s="9"/>
      <c r="G636" s="9"/>
      <c r="H636" s="10"/>
      <c r="I636" s="9"/>
      <c r="J636" s="9"/>
      <c r="K636" s="9"/>
      <c r="L636" s="9"/>
      <c r="M636" s="9"/>
    </row>
    <row r="637" spans="1:13" ht="15" x14ac:dyDescent="0.25">
      <c r="A637" s="9"/>
      <c r="B637" s="9"/>
      <c r="C637" s="9"/>
      <c r="D637" s="9"/>
      <c r="E637" s="9"/>
      <c r="F637" s="9"/>
      <c r="G637" s="9"/>
      <c r="H637" s="10"/>
      <c r="I637" s="9"/>
      <c r="J637" s="9"/>
      <c r="K637" s="9"/>
      <c r="L637" s="9"/>
      <c r="M637" s="9"/>
    </row>
    <row r="638" spans="1:13" ht="15" x14ac:dyDescent="0.25">
      <c r="A638" s="9"/>
      <c r="B638" s="9"/>
      <c r="C638" s="9"/>
      <c r="D638" s="9"/>
      <c r="E638" s="9"/>
      <c r="F638" s="9"/>
      <c r="G638" s="9"/>
      <c r="H638" s="10"/>
      <c r="I638" s="9"/>
      <c r="J638" s="9"/>
      <c r="K638" s="9"/>
      <c r="L638" s="9"/>
      <c r="M638" s="9"/>
    </row>
    <row r="639" spans="1:13" ht="15" x14ac:dyDescent="0.25">
      <c r="A639" s="9"/>
      <c r="B639" s="9"/>
      <c r="C639" s="9"/>
      <c r="D639" s="9"/>
      <c r="E639" s="9"/>
      <c r="F639" s="9"/>
      <c r="G639" s="9"/>
      <c r="H639" s="10"/>
      <c r="I639" s="9"/>
      <c r="J639" s="9"/>
      <c r="K639" s="9"/>
      <c r="L639" s="9"/>
      <c r="M639" s="9"/>
    </row>
    <row r="640" spans="1:13" ht="15" x14ac:dyDescent="0.25">
      <c r="A640" s="9"/>
      <c r="B640" s="9"/>
      <c r="C640" s="9"/>
      <c r="D640" s="9"/>
      <c r="E640" s="9"/>
      <c r="F640" s="9"/>
      <c r="G640" s="9"/>
      <c r="H640" s="10"/>
      <c r="I640" s="9"/>
      <c r="J640" s="9"/>
      <c r="K640" s="9"/>
      <c r="L640" s="9"/>
      <c r="M640" s="9"/>
    </row>
    <row r="641" spans="1:13" ht="15" x14ac:dyDescent="0.25">
      <c r="A641" s="9"/>
      <c r="B641" s="9"/>
      <c r="C641" s="9"/>
      <c r="D641" s="9"/>
      <c r="E641" s="9"/>
      <c r="F641" s="9"/>
      <c r="G641" s="9"/>
      <c r="H641" s="10"/>
      <c r="I641" s="9"/>
      <c r="J641" s="9"/>
      <c r="K641" s="9"/>
      <c r="L641" s="9"/>
      <c r="M641" s="9"/>
    </row>
    <row r="642" spans="1:13" ht="15" x14ac:dyDescent="0.25">
      <c r="A642" s="9"/>
      <c r="B642" s="9"/>
      <c r="C642" s="9"/>
      <c r="D642" s="9"/>
      <c r="E642" s="9"/>
      <c r="F642" s="9"/>
      <c r="G642" s="9"/>
      <c r="H642" s="10"/>
      <c r="I642" s="9"/>
      <c r="J642" s="9"/>
      <c r="K642" s="9"/>
      <c r="L642" s="9"/>
      <c r="M642" s="9"/>
    </row>
    <row r="643" spans="1:13" ht="15" x14ac:dyDescent="0.25">
      <c r="A643" s="9"/>
      <c r="B643" s="9"/>
      <c r="C643" s="9"/>
      <c r="D643" s="9"/>
      <c r="E643" s="9"/>
      <c r="F643" s="9"/>
      <c r="G643" s="9"/>
      <c r="H643" s="10"/>
      <c r="I643" s="9"/>
      <c r="J643" s="9"/>
      <c r="K643" s="9"/>
      <c r="L643" s="9"/>
      <c r="M643" s="9"/>
    </row>
    <row r="644" spans="1:13" ht="15" x14ac:dyDescent="0.25">
      <c r="A644" s="9"/>
      <c r="B644" s="9"/>
      <c r="C644" s="9"/>
      <c r="D644" s="9"/>
      <c r="E644" s="9"/>
      <c r="F644" s="9"/>
      <c r="G644" s="9"/>
      <c r="H644" s="10"/>
      <c r="I644" s="9"/>
      <c r="J644" s="9"/>
      <c r="K644" s="9"/>
      <c r="L644" s="9"/>
      <c r="M644" s="9"/>
    </row>
    <row r="645" spans="1:13" ht="15" x14ac:dyDescent="0.25">
      <c r="A645" s="9"/>
      <c r="B645" s="9"/>
      <c r="C645" s="9"/>
      <c r="D645" s="9"/>
      <c r="E645" s="9"/>
      <c r="F645" s="9"/>
      <c r="G645" s="9"/>
      <c r="H645" s="10"/>
      <c r="I645" s="9"/>
      <c r="J645" s="9"/>
      <c r="K645" s="9"/>
      <c r="L645" s="9"/>
      <c r="M645" s="9"/>
    </row>
    <row r="646" spans="1:13" ht="15" x14ac:dyDescent="0.25">
      <c r="A646" s="9"/>
      <c r="B646" s="9"/>
      <c r="C646" s="9"/>
      <c r="D646" s="9"/>
      <c r="E646" s="9"/>
      <c r="F646" s="9"/>
      <c r="G646" s="9"/>
      <c r="H646" s="10"/>
      <c r="I646" s="9"/>
      <c r="J646" s="9"/>
      <c r="K646" s="9"/>
      <c r="L646" s="9"/>
      <c r="M646" s="9"/>
    </row>
    <row r="647" spans="1:13" ht="15" x14ac:dyDescent="0.25">
      <c r="A647" s="9"/>
      <c r="B647" s="9"/>
      <c r="C647" s="9"/>
      <c r="D647" s="9"/>
      <c r="E647" s="9"/>
      <c r="F647" s="9"/>
      <c r="G647" s="9"/>
      <c r="H647" s="10"/>
      <c r="I647" s="9"/>
      <c r="J647" s="9"/>
      <c r="K647" s="9"/>
      <c r="L647" s="9"/>
      <c r="M647" s="9"/>
    </row>
    <row r="648" spans="1:13" ht="15" x14ac:dyDescent="0.25">
      <c r="A648" s="9"/>
      <c r="B648" s="9"/>
      <c r="C648" s="9"/>
      <c r="D648" s="9"/>
      <c r="E648" s="9"/>
      <c r="F648" s="9"/>
      <c r="G648" s="9"/>
      <c r="H648" s="10"/>
      <c r="I648" s="9"/>
      <c r="J648" s="9"/>
      <c r="K648" s="9"/>
      <c r="L648" s="9"/>
      <c r="M648" s="9"/>
    </row>
    <row r="649" spans="1:13" ht="15" x14ac:dyDescent="0.25">
      <c r="A649" s="9"/>
      <c r="B649" s="9"/>
      <c r="C649" s="9"/>
      <c r="D649" s="9"/>
      <c r="E649" s="9"/>
      <c r="F649" s="9"/>
      <c r="G649" s="9"/>
      <c r="H649" s="10"/>
      <c r="I649" s="9"/>
      <c r="J649" s="9"/>
      <c r="K649" s="9"/>
      <c r="L649" s="9"/>
      <c r="M649" s="9"/>
    </row>
    <row r="650" spans="1:13" ht="15" x14ac:dyDescent="0.25">
      <c r="A650" s="9"/>
      <c r="B650" s="9"/>
      <c r="C650" s="9"/>
      <c r="D650" s="9"/>
      <c r="E650" s="9"/>
      <c r="F650" s="9"/>
      <c r="G650" s="9"/>
      <c r="H650" s="10"/>
      <c r="I650" s="9"/>
      <c r="J650" s="9"/>
      <c r="K650" s="9"/>
      <c r="L650" s="9"/>
      <c r="M650" s="9"/>
    </row>
    <row r="651" spans="1:13" ht="15" x14ac:dyDescent="0.25">
      <c r="A651" s="9"/>
      <c r="B651" s="9"/>
      <c r="C651" s="9"/>
      <c r="D651" s="9"/>
      <c r="E651" s="9"/>
      <c r="F651" s="9"/>
      <c r="G651" s="9"/>
      <c r="H651" s="10"/>
      <c r="I651" s="9"/>
      <c r="J651" s="9"/>
      <c r="K651" s="9"/>
      <c r="L651" s="9"/>
      <c r="M651" s="9"/>
    </row>
    <row r="652" spans="1:13" ht="15" x14ac:dyDescent="0.25">
      <c r="A652" s="9"/>
      <c r="B652" s="9"/>
      <c r="C652" s="9"/>
      <c r="D652" s="9"/>
      <c r="E652" s="9"/>
      <c r="F652" s="9"/>
      <c r="G652" s="9"/>
      <c r="H652" s="10"/>
      <c r="I652" s="9"/>
      <c r="J652" s="9"/>
      <c r="K652" s="9"/>
      <c r="L652" s="9"/>
      <c r="M652" s="9"/>
    </row>
    <row r="653" spans="1:13" ht="15" x14ac:dyDescent="0.25">
      <c r="A653" s="9"/>
      <c r="B653" s="9"/>
      <c r="C653" s="9"/>
      <c r="D653" s="9"/>
      <c r="E653" s="9"/>
      <c r="F653" s="9"/>
      <c r="G653" s="9"/>
      <c r="H653" s="10"/>
      <c r="I653" s="9"/>
      <c r="J653" s="9"/>
      <c r="K653" s="9"/>
      <c r="L653" s="9"/>
      <c r="M653" s="9"/>
    </row>
    <row r="654" spans="1:13" ht="15" x14ac:dyDescent="0.25">
      <c r="A654" s="9"/>
      <c r="B654" s="9"/>
      <c r="C654" s="9"/>
      <c r="D654" s="9"/>
      <c r="E654" s="9"/>
      <c r="F654" s="9"/>
      <c r="G654" s="9"/>
      <c r="H654" s="10"/>
      <c r="I654" s="9"/>
      <c r="J654" s="9"/>
      <c r="K654" s="9"/>
      <c r="L654" s="9"/>
      <c r="M654" s="9"/>
    </row>
    <row r="655" spans="1:13" ht="15" x14ac:dyDescent="0.25">
      <c r="A655" s="9"/>
      <c r="B655" s="9"/>
      <c r="C655" s="9"/>
      <c r="D655" s="9"/>
      <c r="E655" s="9"/>
      <c r="F655" s="9"/>
      <c r="G655" s="9"/>
      <c r="H655" s="10"/>
      <c r="I655" s="9"/>
      <c r="J655" s="9"/>
      <c r="K655" s="9"/>
      <c r="L655" s="9"/>
      <c r="M655" s="9"/>
    </row>
    <row r="656" spans="1:13" ht="15" x14ac:dyDescent="0.25">
      <c r="A656" s="9"/>
      <c r="B656" s="9"/>
      <c r="C656" s="9"/>
      <c r="D656" s="9"/>
      <c r="E656" s="9"/>
      <c r="F656" s="9"/>
      <c r="G656" s="9"/>
      <c r="H656" s="10"/>
      <c r="I656" s="9"/>
      <c r="J656" s="9"/>
      <c r="K656" s="9"/>
      <c r="L656" s="9"/>
      <c r="M656" s="9"/>
    </row>
    <row r="657" spans="1:13" ht="15" x14ac:dyDescent="0.25">
      <c r="A657" s="9"/>
      <c r="B657" s="9"/>
      <c r="C657" s="9"/>
      <c r="D657" s="9"/>
      <c r="E657" s="9"/>
      <c r="F657" s="9"/>
      <c r="G657" s="9"/>
      <c r="H657" s="10"/>
      <c r="I657" s="9"/>
      <c r="J657" s="9"/>
      <c r="K657" s="9"/>
      <c r="L657" s="9"/>
      <c r="M657" s="9"/>
    </row>
    <row r="658" spans="1:13" ht="15" x14ac:dyDescent="0.25">
      <c r="A658" s="9"/>
      <c r="B658" s="9"/>
      <c r="C658" s="9"/>
      <c r="D658" s="9"/>
      <c r="E658" s="9"/>
      <c r="F658" s="9"/>
      <c r="G658" s="9"/>
      <c r="H658" s="10"/>
      <c r="I658" s="9"/>
      <c r="J658" s="9"/>
      <c r="K658" s="9"/>
      <c r="L658" s="9"/>
      <c r="M658" s="9"/>
    </row>
    <row r="659" spans="1:13" ht="15" x14ac:dyDescent="0.25">
      <c r="A659" s="9"/>
      <c r="B659" s="9"/>
      <c r="C659" s="9"/>
      <c r="D659" s="9"/>
      <c r="E659" s="9"/>
      <c r="F659" s="9"/>
      <c r="G659" s="9"/>
      <c r="H659" s="10"/>
      <c r="I659" s="9"/>
      <c r="J659" s="9"/>
      <c r="K659" s="9"/>
      <c r="L659" s="9"/>
      <c r="M659" s="9"/>
    </row>
    <row r="660" spans="1:13" ht="15" x14ac:dyDescent="0.25">
      <c r="A660" s="9"/>
      <c r="B660" s="9"/>
      <c r="C660" s="9"/>
      <c r="D660" s="9"/>
      <c r="E660" s="9"/>
      <c r="F660" s="9"/>
      <c r="G660" s="9"/>
      <c r="H660" s="10"/>
      <c r="I660" s="9"/>
      <c r="J660" s="9"/>
      <c r="K660" s="9"/>
      <c r="L660" s="9"/>
      <c r="M660" s="9"/>
    </row>
    <row r="661" spans="1:13" ht="15" x14ac:dyDescent="0.25">
      <c r="A661" s="9"/>
      <c r="B661" s="9"/>
      <c r="C661" s="9"/>
      <c r="D661" s="9"/>
      <c r="E661" s="9"/>
      <c r="F661" s="9"/>
      <c r="G661" s="9"/>
      <c r="H661" s="10"/>
      <c r="I661" s="9"/>
      <c r="J661" s="9"/>
      <c r="K661" s="9"/>
      <c r="L661" s="9"/>
      <c r="M661" s="9"/>
    </row>
    <row r="662" spans="1:13" ht="15" x14ac:dyDescent="0.25">
      <c r="A662" s="9"/>
      <c r="B662" s="9"/>
      <c r="C662" s="9"/>
      <c r="D662" s="9"/>
      <c r="E662" s="9"/>
      <c r="F662" s="9"/>
      <c r="G662" s="9"/>
      <c r="H662" s="10"/>
      <c r="I662" s="9"/>
      <c r="J662" s="9"/>
      <c r="K662" s="9"/>
      <c r="L662" s="9"/>
      <c r="M662" s="9"/>
    </row>
    <row r="663" spans="1:13" ht="15" x14ac:dyDescent="0.25">
      <c r="A663" s="9"/>
      <c r="B663" s="9"/>
      <c r="C663" s="9"/>
      <c r="D663" s="9"/>
      <c r="E663" s="9"/>
      <c r="F663" s="9"/>
      <c r="G663" s="9"/>
      <c r="H663" s="10"/>
      <c r="I663" s="9"/>
      <c r="J663" s="9"/>
      <c r="K663" s="9"/>
      <c r="L663" s="9"/>
      <c r="M663" s="9"/>
    </row>
    <row r="664" spans="1:13" ht="15" x14ac:dyDescent="0.25">
      <c r="A664" s="9"/>
      <c r="B664" s="9"/>
      <c r="C664" s="9"/>
      <c r="D664" s="9"/>
      <c r="E664" s="9"/>
      <c r="F664" s="9"/>
      <c r="G664" s="9"/>
      <c r="H664" s="10"/>
      <c r="I664" s="9"/>
      <c r="J664" s="9"/>
      <c r="K664" s="9"/>
      <c r="L664" s="9"/>
      <c r="M664" s="9"/>
    </row>
    <row r="665" spans="1:13" ht="15" x14ac:dyDescent="0.25">
      <c r="A665" s="9"/>
      <c r="B665" s="9"/>
      <c r="C665" s="9"/>
      <c r="D665" s="9"/>
      <c r="E665" s="9"/>
      <c r="F665" s="9"/>
      <c r="G665" s="9"/>
      <c r="H665" s="10"/>
      <c r="I665" s="9"/>
      <c r="J665" s="9"/>
      <c r="K665" s="9"/>
      <c r="L665" s="9"/>
      <c r="M665" s="9"/>
    </row>
    <row r="666" spans="1:13" ht="15" x14ac:dyDescent="0.25">
      <c r="A666" s="9"/>
      <c r="B666" s="9"/>
      <c r="C666" s="9"/>
      <c r="D666" s="9"/>
      <c r="E666" s="9"/>
      <c r="F666" s="9"/>
      <c r="G666" s="9"/>
      <c r="H666" s="10"/>
      <c r="I666" s="9"/>
      <c r="J666" s="9"/>
      <c r="K666" s="9"/>
      <c r="L666" s="9"/>
      <c r="M666" s="9"/>
    </row>
    <row r="667" spans="1:13" ht="15" x14ac:dyDescent="0.25">
      <c r="A667" s="9"/>
      <c r="B667" s="9"/>
      <c r="C667" s="9"/>
      <c r="D667" s="9"/>
      <c r="E667" s="9"/>
      <c r="F667" s="9"/>
      <c r="G667" s="9"/>
      <c r="H667" s="10"/>
      <c r="I667" s="9"/>
      <c r="J667" s="9"/>
      <c r="K667" s="9"/>
      <c r="L667" s="9"/>
      <c r="M667" s="9"/>
    </row>
    <row r="668" spans="1:13" ht="15" x14ac:dyDescent="0.25">
      <c r="A668" s="9"/>
      <c r="B668" s="9"/>
      <c r="C668" s="9"/>
      <c r="D668" s="9"/>
      <c r="E668" s="9"/>
      <c r="F668" s="9"/>
      <c r="G668" s="9"/>
      <c r="H668" s="10"/>
      <c r="I668" s="9"/>
      <c r="J668" s="9"/>
      <c r="K668" s="9"/>
      <c r="L668" s="9"/>
      <c r="M668" s="9"/>
    </row>
    <row r="669" spans="1:13" ht="15" x14ac:dyDescent="0.25">
      <c r="A669" s="9"/>
      <c r="B669" s="9"/>
      <c r="C669" s="9"/>
      <c r="D669" s="9"/>
      <c r="E669" s="9"/>
      <c r="F669" s="9"/>
      <c r="G669" s="9"/>
      <c r="H669" s="10"/>
      <c r="I669" s="9"/>
      <c r="J669" s="9"/>
      <c r="K669" s="9"/>
      <c r="L669" s="9"/>
      <c r="M669" s="9"/>
    </row>
    <row r="670" spans="1:13" ht="15" x14ac:dyDescent="0.25">
      <c r="A670" s="9"/>
      <c r="B670" s="9"/>
      <c r="C670" s="9"/>
      <c r="D670" s="9"/>
      <c r="E670" s="9"/>
      <c r="F670" s="9"/>
      <c r="G670" s="9"/>
      <c r="H670" s="10"/>
      <c r="I670" s="9"/>
      <c r="J670" s="9"/>
      <c r="K670" s="9"/>
      <c r="L670" s="9"/>
      <c r="M670" s="9"/>
    </row>
    <row r="671" spans="1:13" ht="15" x14ac:dyDescent="0.25">
      <c r="A671" s="9"/>
      <c r="B671" s="9"/>
      <c r="C671" s="9"/>
      <c r="D671" s="9"/>
      <c r="E671" s="9"/>
      <c r="F671" s="9"/>
      <c r="G671" s="9"/>
      <c r="H671" s="10"/>
      <c r="I671" s="9"/>
      <c r="J671" s="9"/>
      <c r="K671" s="9"/>
      <c r="L671" s="9"/>
      <c r="M671" s="9"/>
    </row>
    <row r="672" spans="1:13" ht="15" x14ac:dyDescent="0.25">
      <c r="A672" s="9"/>
      <c r="B672" s="9"/>
      <c r="C672" s="9"/>
      <c r="D672" s="9"/>
      <c r="E672" s="9"/>
      <c r="F672" s="9"/>
      <c r="G672" s="9"/>
      <c r="H672" s="10"/>
      <c r="I672" s="9"/>
      <c r="J672" s="9"/>
      <c r="K672" s="9"/>
      <c r="L672" s="9"/>
      <c r="M672" s="9"/>
    </row>
    <row r="673" spans="1:13" ht="15" x14ac:dyDescent="0.25">
      <c r="A673" s="9"/>
      <c r="B673" s="9"/>
      <c r="C673" s="9"/>
      <c r="D673" s="9"/>
      <c r="E673" s="9"/>
      <c r="F673" s="9"/>
      <c r="G673" s="9"/>
      <c r="H673" s="10"/>
      <c r="I673" s="9"/>
      <c r="J673" s="9"/>
      <c r="K673" s="9"/>
      <c r="L673" s="9"/>
      <c r="M673" s="9"/>
    </row>
    <row r="674" spans="1:13" ht="15" x14ac:dyDescent="0.25">
      <c r="A674" s="9"/>
      <c r="B674" s="9"/>
      <c r="C674" s="9"/>
      <c r="D674" s="9"/>
      <c r="E674" s="9"/>
      <c r="F674" s="9"/>
      <c r="G674" s="9"/>
      <c r="H674" s="10"/>
      <c r="I674" s="9"/>
      <c r="J674" s="9"/>
      <c r="K674" s="9"/>
      <c r="L674" s="9"/>
      <c r="M674" s="9"/>
    </row>
    <row r="675" spans="1:13" ht="15" x14ac:dyDescent="0.25">
      <c r="A675" s="9"/>
      <c r="B675" s="9"/>
      <c r="C675" s="9"/>
      <c r="D675" s="9"/>
      <c r="E675" s="9"/>
      <c r="F675" s="9"/>
      <c r="G675" s="9"/>
      <c r="H675" s="10"/>
      <c r="I675" s="9"/>
      <c r="J675" s="9"/>
      <c r="K675" s="9"/>
      <c r="L675" s="9"/>
      <c r="M675" s="9"/>
    </row>
    <row r="676" spans="1:13" ht="15" x14ac:dyDescent="0.25">
      <c r="A676" s="9"/>
      <c r="B676" s="9"/>
      <c r="C676" s="9"/>
      <c r="D676" s="9"/>
      <c r="E676" s="9"/>
      <c r="F676" s="9"/>
      <c r="G676" s="9"/>
      <c r="H676" s="10"/>
      <c r="I676" s="9"/>
      <c r="J676" s="9"/>
      <c r="K676" s="9"/>
      <c r="L676" s="9"/>
      <c r="M676" s="9"/>
    </row>
    <row r="677" spans="1:13" ht="15" x14ac:dyDescent="0.25">
      <c r="A677" s="9"/>
      <c r="B677" s="9"/>
      <c r="C677" s="9"/>
      <c r="D677" s="9"/>
      <c r="E677" s="9"/>
      <c r="F677" s="9"/>
      <c r="G677" s="9"/>
      <c r="H677" s="10"/>
      <c r="I677" s="9"/>
      <c r="J677" s="9"/>
      <c r="K677" s="9"/>
      <c r="L677" s="9"/>
      <c r="M677" s="9"/>
    </row>
    <row r="678" spans="1:13" ht="15" x14ac:dyDescent="0.25">
      <c r="A678" s="9"/>
      <c r="B678" s="9"/>
      <c r="C678" s="9"/>
      <c r="D678" s="9"/>
      <c r="E678" s="9"/>
      <c r="F678" s="9"/>
      <c r="G678" s="9"/>
      <c r="H678" s="10"/>
      <c r="I678" s="9"/>
      <c r="J678" s="9"/>
      <c r="K678" s="9"/>
      <c r="L678" s="9"/>
      <c r="M678" s="9"/>
    </row>
    <row r="679" spans="1:13" ht="15" x14ac:dyDescent="0.25">
      <c r="A679" s="9"/>
      <c r="B679" s="9"/>
      <c r="C679" s="9"/>
      <c r="D679" s="9"/>
      <c r="E679" s="9"/>
      <c r="F679" s="9"/>
      <c r="G679" s="9"/>
      <c r="H679" s="10"/>
      <c r="I679" s="9"/>
      <c r="J679" s="9"/>
      <c r="K679" s="9"/>
      <c r="L679" s="9"/>
      <c r="M679" s="9"/>
    </row>
    <row r="680" spans="1:13" ht="15" x14ac:dyDescent="0.25">
      <c r="A680" s="9"/>
      <c r="B680" s="9"/>
      <c r="C680" s="9"/>
      <c r="D680" s="9"/>
      <c r="E680" s="9"/>
      <c r="F680" s="9"/>
      <c r="G680" s="9"/>
      <c r="H680" s="10"/>
      <c r="I680" s="9"/>
      <c r="J680" s="9"/>
      <c r="K680" s="9"/>
      <c r="L680" s="9"/>
      <c r="M680" s="9"/>
    </row>
    <row r="681" spans="1:13" ht="15" x14ac:dyDescent="0.25">
      <c r="A681" s="9"/>
      <c r="B681" s="9"/>
      <c r="C681" s="9"/>
      <c r="D681" s="9"/>
      <c r="E681" s="9"/>
      <c r="F681" s="9"/>
      <c r="G681" s="9"/>
      <c r="H681" s="10"/>
      <c r="I681" s="9"/>
      <c r="J681" s="9"/>
      <c r="K681" s="9"/>
      <c r="L681" s="9"/>
      <c r="M681" s="9"/>
    </row>
    <row r="682" spans="1:13" ht="15" x14ac:dyDescent="0.25">
      <c r="A682" s="9"/>
      <c r="B682" s="9"/>
      <c r="C682" s="9"/>
      <c r="D682" s="9"/>
      <c r="E682" s="9"/>
      <c r="F682" s="9"/>
      <c r="G682" s="9"/>
      <c r="H682" s="10"/>
      <c r="I682" s="9"/>
      <c r="J682" s="9"/>
      <c r="K682" s="9"/>
      <c r="L682" s="9"/>
      <c r="M682" s="9"/>
    </row>
    <row r="683" spans="1:13" ht="15" x14ac:dyDescent="0.25">
      <c r="A683" s="9"/>
      <c r="B683" s="9"/>
      <c r="C683" s="9"/>
      <c r="D683" s="9"/>
      <c r="E683" s="9"/>
      <c r="F683" s="9"/>
      <c r="G683" s="9"/>
      <c r="H683" s="10"/>
      <c r="I683" s="9"/>
      <c r="J683" s="9"/>
      <c r="K683" s="9"/>
      <c r="L683" s="9"/>
      <c r="M683" s="9"/>
    </row>
    <row r="684" spans="1:13" ht="15" x14ac:dyDescent="0.25">
      <c r="A684" s="9"/>
      <c r="B684" s="9"/>
      <c r="C684" s="9"/>
      <c r="D684" s="9"/>
      <c r="E684" s="9"/>
      <c r="F684" s="9"/>
      <c r="G684" s="9"/>
      <c r="H684" s="10"/>
      <c r="I684" s="9"/>
      <c r="J684" s="9"/>
      <c r="K684" s="9"/>
      <c r="L684" s="9"/>
      <c r="M684" s="9"/>
    </row>
    <row r="685" spans="1:13" ht="15" x14ac:dyDescent="0.25">
      <c r="A685" s="9"/>
      <c r="B685" s="9"/>
      <c r="C685" s="9"/>
      <c r="D685" s="9"/>
      <c r="E685" s="9"/>
      <c r="F685" s="9"/>
      <c r="G685" s="9"/>
      <c r="H685" s="10"/>
      <c r="I685" s="9"/>
      <c r="J685" s="9"/>
      <c r="K685" s="9"/>
      <c r="L685" s="9"/>
      <c r="M685" s="9"/>
    </row>
    <row r="686" spans="1:13" ht="15" x14ac:dyDescent="0.25">
      <c r="A686" s="9"/>
      <c r="B686" s="9"/>
      <c r="C686" s="9"/>
      <c r="D686" s="9"/>
      <c r="E686" s="9"/>
      <c r="F686" s="9"/>
      <c r="G686" s="9"/>
      <c r="H686" s="10"/>
      <c r="I686" s="9"/>
      <c r="J686" s="9"/>
      <c r="K686" s="9"/>
      <c r="L686" s="9"/>
      <c r="M686" s="9"/>
    </row>
    <row r="687" spans="1:13" ht="15" x14ac:dyDescent="0.25">
      <c r="A687" s="9"/>
      <c r="B687" s="9"/>
      <c r="C687" s="9"/>
      <c r="D687" s="9"/>
      <c r="E687" s="9"/>
      <c r="F687" s="9"/>
      <c r="G687" s="9"/>
      <c r="H687" s="10"/>
      <c r="I687" s="9"/>
      <c r="J687" s="9"/>
      <c r="K687" s="9"/>
      <c r="L687" s="9"/>
      <c r="M687" s="9"/>
    </row>
    <row r="688" spans="1:13" ht="15" x14ac:dyDescent="0.25">
      <c r="A688" s="9"/>
      <c r="B688" s="9"/>
      <c r="C688" s="9"/>
      <c r="D688" s="9"/>
      <c r="E688" s="9"/>
      <c r="F688" s="9"/>
      <c r="G688" s="9"/>
      <c r="H688" s="10"/>
      <c r="I688" s="9"/>
      <c r="J688" s="9"/>
      <c r="K688" s="9"/>
      <c r="L688" s="9"/>
      <c r="M688" s="9"/>
    </row>
    <row r="689" spans="1:13" ht="15" x14ac:dyDescent="0.25">
      <c r="A689" s="9"/>
      <c r="B689" s="9"/>
      <c r="C689" s="9"/>
      <c r="D689" s="9"/>
      <c r="E689" s="9"/>
      <c r="F689" s="9"/>
      <c r="G689" s="9"/>
      <c r="H689" s="10"/>
      <c r="I689" s="9"/>
      <c r="J689" s="9"/>
      <c r="K689" s="9"/>
      <c r="L689" s="9"/>
      <c r="M689" s="9"/>
    </row>
    <row r="690" spans="1:13" ht="15" x14ac:dyDescent="0.25">
      <c r="A690" s="9"/>
      <c r="B690" s="9"/>
      <c r="C690" s="9"/>
      <c r="D690" s="9"/>
      <c r="E690" s="9"/>
      <c r="F690" s="9"/>
      <c r="G690" s="9"/>
      <c r="H690" s="10"/>
      <c r="I690" s="9"/>
      <c r="J690" s="9"/>
      <c r="K690" s="9"/>
      <c r="L690" s="9"/>
      <c r="M690" s="9"/>
    </row>
    <row r="691" spans="1:13" ht="15" x14ac:dyDescent="0.25">
      <c r="A691" s="9"/>
      <c r="B691" s="9"/>
      <c r="C691" s="9"/>
      <c r="D691" s="9"/>
      <c r="E691" s="9"/>
      <c r="F691" s="9"/>
      <c r="G691" s="9"/>
      <c r="H691" s="10"/>
      <c r="I691" s="9"/>
      <c r="J691" s="9"/>
      <c r="K691" s="9"/>
      <c r="L691" s="9"/>
      <c r="M691" s="9"/>
    </row>
    <row r="692" spans="1:13" ht="15" x14ac:dyDescent="0.25">
      <c r="A692" s="9"/>
      <c r="B692" s="9"/>
      <c r="C692" s="9"/>
      <c r="D692" s="9"/>
      <c r="E692" s="9"/>
      <c r="F692" s="9"/>
      <c r="G692" s="9"/>
      <c r="H692" s="10"/>
      <c r="I692" s="9"/>
      <c r="J692" s="9"/>
      <c r="K692" s="9"/>
      <c r="L692" s="9"/>
      <c r="M692" s="9"/>
    </row>
    <row r="693" spans="1:13" ht="15" x14ac:dyDescent="0.25">
      <c r="A693" s="9"/>
      <c r="B693" s="9"/>
      <c r="C693" s="9"/>
      <c r="D693" s="9"/>
      <c r="E693" s="9"/>
      <c r="F693" s="9"/>
      <c r="G693" s="9"/>
      <c r="H693" s="10"/>
      <c r="I693" s="9"/>
      <c r="J693" s="9"/>
      <c r="K693" s="9"/>
      <c r="L693" s="9"/>
      <c r="M693" s="9"/>
    </row>
    <row r="694" spans="1:13" ht="15" x14ac:dyDescent="0.25">
      <c r="A694" s="9"/>
      <c r="B694" s="9"/>
      <c r="C694" s="9"/>
      <c r="D694" s="9"/>
      <c r="E694" s="9"/>
      <c r="F694" s="9"/>
      <c r="G694" s="9"/>
      <c r="H694" s="10"/>
      <c r="I694" s="9"/>
      <c r="J694" s="9"/>
      <c r="K694" s="9"/>
      <c r="L694" s="9"/>
      <c r="M694" s="9"/>
    </row>
    <row r="695" spans="1:13" ht="15" x14ac:dyDescent="0.25">
      <c r="A695" s="9"/>
      <c r="B695" s="9"/>
      <c r="C695" s="9"/>
      <c r="D695" s="9"/>
      <c r="E695" s="9"/>
      <c r="F695" s="9"/>
      <c r="G695" s="9"/>
      <c r="H695" s="10"/>
      <c r="I695" s="9"/>
      <c r="J695" s="9"/>
      <c r="K695" s="9"/>
      <c r="L695" s="9"/>
      <c r="M695" s="9"/>
    </row>
    <row r="696" spans="1:13" ht="15" x14ac:dyDescent="0.25">
      <c r="A696" s="9"/>
      <c r="B696" s="9"/>
      <c r="C696" s="9"/>
      <c r="D696" s="9"/>
      <c r="E696" s="9"/>
      <c r="F696" s="9"/>
      <c r="G696" s="9"/>
      <c r="H696" s="10"/>
      <c r="I696" s="9"/>
      <c r="J696" s="9"/>
      <c r="K696" s="9"/>
      <c r="L696" s="9"/>
      <c r="M696" s="9"/>
    </row>
    <row r="697" spans="1:13" ht="15" x14ac:dyDescent="0.25">
      <c r="A697" s="9"/>
      <c r="B697" s="9"/>
      <c r="C697" s="9"/>
      <c r="D697" s="9"/>
      <c r="E697" s="9"/>
      <c r="F697" s="9"/>
      <c r="G697" s="9"/>
      <c r="H697" s="10"/>
      <c r="I697" s="9"/>
      <c r="J697" s="9"/>
      <c r="K697" s="9"/>
      <c r="L697" s="9"/>
      <c r="M697" s="9"/>
    </row>
    <row r="698" spans="1:13" ht="15" x14ac:dyDescent="0.25">
      <c r="A698" s="9"/>
      <c r="B698" s="9"/>
      <c r="C698" s="9"/>
      <c r="D698" s="9"/>
      <c r="E698" s="9"/>
      <c r="F698" s="9"/>
      <c r="G698" s="9"/>
      <c r="H698" s="10"/>
      <c r="I698" s="9"/>
      <c r="J698" s="9"/>
      <c r="K698" s="9"/>
      <c r="L698" s="9"/>
      <c r="M698" s="9"/>
    </row>
    <row r="699" spans="1:13" ht="15" x14ac:dyDescent="0.25">
      <c r="A699" s="9"/>
      <c r="B699" s="9"/>
      <c r="C699" s="9"/>
      <c r="D699" s="9"/>
      <c r="E699" s="9"/>
      <c r="F699" s="9"/>
      <c r="G699" s="9"/>
      <c r="H699" s="10"/>
      <c r="I699" s="9"/>
      <c r="J699" s="9"/>
      <c r="K699" s="9"/>
      <c r="L699" s="9"/>
      <c r="M699" s="9"/>
    </row>
    <row r="700" spans="1:13" ht="15" x14ac:dyDescent="0.25">
      <c r="A700" s="9"/>
      <c r="B700" s="9"/>
      <c r="C700" s="9"/>
      <c r="D700" s="9"/>
      <c r="E700" s="9"/>
      <c r="F700" s="9"/>
      <c r="G700" s="9"/>
      <c r="H700" s="10"/>
      <c r="I700" s="9"/>
      <c r="J700" s="9"/>
      <c r="K700" s="9"/>
      <c r="L700" s="9"/>
      <c r="M700" s="9"/>
    </row>
    <row r="701" spans="1:13" ht="15" x14ac:dyDescent="0.25">
      <c r="A701" s="9"/>
      <c r="B701" s="9"/>
      <c r="C701" s="9"/>
      <c r="D701" s="9"/>
      <c r="E701" s="9"/>
      <c r="F701" s="9"/>
      <c r="G701" s="9"/>
      <c r="H701" s="10"/>
      <c r="I701" s="9"/>
      <c r="J701" s="9"/>
      <c r="K701" s="9"/>
      <c r="L701" s="9"/>
      <c r="M701" s="9"/>
    </row>
    <row r="702" spans="1:13" ht="15" x14ac:dyDescent="0.25">
      <c r="A702" s="9"/>
      <c r="B702" s="9"/>
      <c r="C702" s="9"/>
      <c r="D702" s="9"/>
      <c r="E702" s="9"/>
      <c r="F702" s="9"/>
      <c r="G702" s="9"/>
      <c r="H702" s="10"/>
      <c r="I702" s="9"/>
      <c r="J702" s="9"/>
      <c r="K702" s="9"/>
      <c r="L702" s="9"/>
      <c r="M702" s="9"/>
    </row>
    <row r="703" spans="1:13" ht="15" x14ac:dyDescent="0.25">
      <c r="A703" s="9"/>
      <c r="B703" s="9"/>
      <c r="C703" s="9"/>
      <c r="D703" s="9"/>
      <c r="E703" s="9"/>
      <c r="F703" s="9"/>
      <c r="G703" s="9"/>
      <c r="H703" s="10"/>
      <c r="I703" s="9"/>
      <c r="J703" s="9"/>
      <c r="K703" s="9"/>
      <c r="L703" s="9"/>
      <c r="M703" s="9"/>
    </row>
    <row r="704" spans="1:13" ht="15" x14ac:dyDescent="0.25">
      <c r="A704" s="9"/>
      <c r="B704" s="9"/>
      <c r="C704" s="9"/>
      <c r="D704" s="9"/>
      <c r="E704" s="9"/>
      <c r="F704" s="9"/>
      <c r="G704" s="9"/>
      <c r="H704" s="10"/>
      <c r="I704" s="9"/>
      <c r="J704" s="9"/>
      <c r="K704" s="9"/>
      <c r="L704" s="9"/>
      <c r="M704" s="9"/>
    </row>
    <row r="705" spans="1:13" ht="15" x14ac:dyDescent="0.25">
      <c r="A705" s="9"/>
      <c r="B705" s="9"/>
      <c r="C705" s="9"/>
      <c r="D705" s="9"/>
      <c r="E705" s="9"/>
      <c r="F705" s="9"/>
      <c r="G705" s="9"/>
      <c r="H705" s="10"/>
      <c r="I705" s="9"/>
      <c r="J705" s="9"/>
      <c r="K705" s="9"/>
      <c r="L705" s="9"/>
      <c r="M705" s="9"/>
    </row>
    <row r="706" spans="1:13" ht="15" x14ac:dyDescent="0.25">
      <c r="A706" s="9"/>
      <c r="B706" s="9"/>
      <c r="C706" s="9"/>
      <c r="D706" s="9"/>
      <c r="E706" s="9"/>
      <c r="F706" s="9"/>
      <c r="G706" s="9"/>
      <c r="H706" s="10"/>
      <c r="I706" s="9"/>
      <c r="J706" s="9"/>
      <c r="K706" s="9"/>
      <c r="L706" s="9"/>
      <c r="M706" s="9"/>
    </row>
    <row r="707" spans="1:13" ht="15" x14ac:dyDescent="0.25">
      <c r="A707" s="9"/>
      <c r="B707" s="9"/>
      <c r="C707" s="9"/>
      <c r="D707" s="9"/>
      <c r="E707" s="9"/>
      <c r="F707" s="9"/>
      <c r="G707" s="9"/>
      <c r="H707" s="10"/>
      <c r="I707" s="9"/>
      <c r="J707" s="9"/>
      <c r="K707" s="9"/>
      <c r="L707" s="9"/>
      <c r="M707" s="9"/>
    </row>
    <row r="708" spans="1:13" ht="15" x14ac:dyDescent="0.25">
      <c r="A708" s="9"/>
      <c r="B708" s="9"/>
      <c r="C708" s="9"/>
      <c r="D708" s="9"/>
      <c r="E708" s="9"/>
      <c r="F708" s="9"/>
      <c r="G708" s="9"/>
      <c r="H708" s="10"/>
      <c r="I708" s="9"/>
      <c r="J708" s="9"/>
      <c r="K708" s="9"/>
      <c r="L708" s="9"/>
      <c r="M708" s="9"/>
    </row>
    <row r="709" spans="1:13" ht="15" x14ac:dyDescent="0.25">
      <c r="A709" s="9"/>
      <c r="B709" s="9"/>
      <c r="C709" s="9"/>
      <c r="D709" s="9"/>
      <c r="E709" s="9"/>
      <c r="F709" s="9"/>
      <c r="G709" s="9"/>
      <c r="H709" s="10"/>
      <c r="I709" s="9"/>
      <c r="J709" s="9"/>
      <c r="K709" s="9"/>
      <c r="L709" s="9"/>
      <c r="M709" s="9"/>
    </row>
    <row r="710" spans="1:13" ht="15" x14ac:dyDescent="0.25">
      <c r="A710" s="9"/>
      <c r="B710" s="9"/>
      <c r="C710" s="9"/>
      <c r="D710" s="9"/>
      <c r="E710" s="9"/>
      <c r="F710" s="9"/>
      <c r="G710" s="9"/>
      <c r="H710" s="10"/>
      <c r="I710" s="9"/>
      <c r="J710" s="9"/>
      <c r="K710" s="9"/>
      <c r="L710" s="9"/>
      <c r="M710" s="9"/>
    </row>
    <row r="711" spans="1:13" ht="15" x14ac:dyDescent="0.25">
      <c r="A711" s="9"/>
      <c r="B711" s="9"/>
      <c r="C711" s="9"/>
      <c r="D711" s="9"/>
      <c r="E711" s="9"/>
      <c r="F711" s="9"/>
      <c r="G711" s="9"/>
      <c r="H711" s="10"/>
      <c r="I711" s="9"/>
      <c r="J711" s="9"/>
      <c r="K711" s="9"/>
      <c r="L711" s="9"/>
      <c r="M711" s="9"/>
    </row>
    <row r="712" spans="1:13" ht="15" x14ac:dyDescent="0.25">
      <c r="A712" s="9"/>
      <c r="B712" s="9"/>
      <c r="C712" s="9"/>
      <c r="D712" s="9"/>
      <c r="E712" s="9"/>
      <c r="F712" s="9"/>
      <c r="G712" s="9"/>
      <c r="H712" s="10"/>
      <c r="I712" s="9"/>
      <c r="J712" s="9"/>
      <c r="K712" s="9"/>
      <c r="L712" s="9"/>
      <c r="M712" s="9"/>
    </row>
    <row r="713" spans="1:13" ht="15" x14ac:dyDescent="0.25">
      <c r="A713" s="9"/>
      <c r="B713" s="9"/>
      <c r="C713" s="9"/>
      <c r="D713" s="9"/>
      <c r="E713" s="9"/>
      <c r="F713" s="9"/>
      <c r="G713" s="9"/>
      <c r="H713" s="10"/>
      <c r="I713" s="9"/>
      <c r="J713" s="9"/>
      <c r="K713" s="9"/>
      <c r="L713" s="9"/>
      <c r="M713" s="9"/>
    </row>
    <row r="714" spans="1:13" ht="15" x14ac:dyDescent="0.25">
      <c r="A714" s="9"/>
      <c r="B714" s="9"/>
      <c r="C714" s="9"/>
      <c r="D714" s="9"/>
      <c r="E714" s="9"/>
      <c r="F714" s="9"/>
      <c r="G714" s="9"/>
      <c r="H714" s="10"/>
      <c r="I714" s="9"/>
      <c r="J714" s="9"/>
      <c r="K714" s="9"/>
      <c r="L714" s="9"/>
      <c r="M714" s="9"/>
    </row>
    <row r="715" spans="1:13" ht="15" x14ac:dyDescent="0.25">
      <c r="A715" s="9"/>
      <c r="B715" s="9"/>
      <c r="C715" s="9"/>
      <c r="D715" s="9"/>
      <c r="E715" s="9"/>
      <c r="F715" s="9"/>
      <c r="G715" s="9"/>
      <c r="H715" s="10"/>
      <c r="I715" s="9"/>
      <c r="J715" s="9"/>
      <c r="K715" s="9"/>
      <c r="L715" s="9"/>
      <c r="M715" s="9"/>
    </row>
    <row r="716" spans="1:13" ht="15" x14ac:dyDescent="0.25">
      <c r="A716" s="9"/>
      <c r="B716" s="9"/>
      <c r="C716" s="9"/>
      <c r="D716" s="9"/>
      <c r="E716" s="9"/>
      <c r="F716" s="9"/>
      <c r="G716" s="9"/>
      <c r="H716" s="10"/>
      <c r="I716" s="9"/>
      <c r="J716" s="9"/>
      <c r="K716" s="9"/>
      <c r="L716" s="9"/>
      <c r="M716" s="9"/>
    </row>
    <row r="717" spans="1:13" ht="15" x14ac:dyDescent="0.25">
      <c r="A717" s="9"/>
      <c r="B717" s="9"/>
      <c r="C717" s="9"/>
      <c r="D717" s="9"/>
      <c r="E717" s="9"/>
      <c r="F717" s="9"/>
      <c r="G717" s="9"/>
      <c r="H717" s="10"/>
      <c r="I717" s="9"/>
      <c r="J717" s="9"/>
      <c r="K717" s="9"/>
      <c r="L717" s="9"/>
      <c r="M717" s="9"/>
    </row>
    <row r="718" spans="1:13" ht="15" x14ac:dyDescent="0.25">
      <c r="A718" s="9"/>
      <c r="B718" s="9"/>
      <c r="C718" s="9"/>
      <c r="D718" s="9"/>
      <c r="E718" s="9"/>
      <c r="F718" s="9"/>
      <c r="G718" s="9"/>
      <c r="H718" s="10"/>
      <c r="I718" s="9"/>
      <c r="J718" s="9"/>
      <c r="K718" s="9"/>
      <c r="L718" s="9"/>
      <c r="M718" s="9"/>
    </row>
    <row r="719" spans="1:13" ht="15" x14ac:dyDescent="0.25">
      <c r="A719" s="9"/>
      <c r="B719" s="9"/>
      <c r="C719" s="9"/>
      <c r="D719" s="9"/>
      <c r="E719" s="9"/>
      <c r="F719" s="9"/>
      <c r="G719" s="9"/>
      <c r="H719" s="10"/>
      <c r="I719" s="9"/>
      <c r="J719" s="9"/>
      <c r="K719" s="9"/>
      <c r="L719" s="9"/>
      <c r="M719" s="9"/>
    </row>
    <row r="720" spans="1:13" ht="15" x14ac:dyDescent="0.25">
      <c r="A720" s="9"/>
      <c r="B720" s="9"/>
      <c r="C720" s="9"/>
      <c r="D720" s="9"/>
      <c r="E720" s="9"/>
      <c r="F720" s="9"/>
      <c r="G720" s="9"/>
      <c r="H720" s="10"/>
      <c r="I720" s="9"/>
      <c r="J720" s="9"/>
      <c r="K720" s="9"/>
      <c r="L720" s="9"/>
      <c r="M720" s="9"/>
    </row>
    <row r="721" spans="1:13" ht="15" x14ac:dyDescent="0.25">
      <c r="A721" s="9"/>
      <c r="B721" s="9"/>
      <c r="C721" s="9"/>
      <c r="D721" s="9"/>
      <c r="E721" s="9"/>
      <c r="F721" s="9"/>
      <c r="G721" s="9"/>
      <c r="H721" s="10"/>
      <c r="I721" s="9"/>
      <c r="J721" s="9"/>
      <c r="K721" s="9"/>
      <c r="L721" s="9"/>
      <c r="M721" s="9"/>
    </row>
    <row r="722" spans="1:13" ht="15" x14ac:dyDescent="0.25">
      <c r="A722" s="9"/>
      <c r="B722" s="9"/>
      <c r="C722" s="9"/>
      <c r="D722" s="9"/>
      <c r="E722" s="9"/>
      <c r="F722" s="9"/>
      <c r="G722" s="9"/>
      <c r="H722" s="10"/>
      <c r="I722" s="9"/>
      <c r="J722" s="9"/>
      <c r="K722" s="9"/>
      <c r="L722" s="9"/>
      <c r="M722" s="9"/>
    </row>
    <row r="723" spans="1:13" ht="15" x14ac:dyDescent="0.25">
      <c r="A723" s="9"/>
      <c r="B723" s="9"/>
      <c r="C723" s="9"/>
      <c r="D723" s="9"/>
      <c r="E723" s="9"/>
      <c r="F723" s="9"/>
      <c r="G723" s="9"/>
      <c r="H723" s="10"/>
      <c r="I723" s="9"/>
      <c r="J723" s="9"/>
      <c r="K723" s="9"/>
      <c r="L723" s="9"/>
      <c r="M723" s="9"/>
    </row>
    <row r="724" spans="1:13" ht="15" x14ac:dyDescent="0.25">
      <c r="A724" s="9"/>
      <c r="B724" s="9"/>
      <c r="C724" s="9"/>
      <c r="D724" s="9"/>
      <c r="E724" s="9"/>
      <c r="F724" s="9"/>
      <c r="G724" s="9"/>
      <c r="H724" s="10"/>
      <c r="I724" s="9"/>
      <c r="J724" s="9"/>
      <c r="K724" s="9"/>
      <c r="L724" s="9"/>
      <c r="M724" s="9"/>
    </row>
    <row r="725" spans="1:13" ht="15" x14ac:dyDescent="0.25">
      <c r="A725" s="9"/>
      <c r="B725" s="9"/>
      <c r="C725" s="9"/>
      <c r="D725" s="9"/>
      <c r="E725" s="9"/>
      <c r="F725" s="9"/>
      <c r="G725" s="9"/>
      <c r="H725" s="10"/>
      <c r="I725" s="9"/>
      <c r="J725" s="9"/>
      <c r="K725" s="9"/>
      <c r="L725" s="9"/>
      <c r="M725" s="9"/>
    </row>
    <row r="726" spans="1:13" ht="15" x14ac:dyDescent="0.25">
      <c r="A726" s="9"/>
      <c r="B726" s="9"/>
      <c r="C726" s="9"/>
      <c r="D726" s="9"/>
      <c r="E726" s="9"/>
      <c r="F726" s="9"/>
      <c r="G726" s="9"/>
      <c r="H726" s="10"/>
      <c r="I726" s="9"/>
      <c r="J726" s="9"/>
      <c r="K726" s="9"/>
      <c r="L726" s="9"/>
      <c r="M726" s="9"/>
    </row>
    <row r="727" spans="1:13" ht="15" x14ac:dyDescent="0.25">
      <c r="A727" s="9"/>
      <c r="B727" s="9"/>
      <c r="C727" s="9"/>
      <c r="D727" s="9"/>
      <c r="E727" s="9"/>
      <c r="F727" s="9"/>
      <c r="G727" s="9"/>
      <c r="H727" s="10"/>
      <c r="I727" s="9"/>
      <c r="J727" s="9"/>
      <c r="K727" s="9"/>
      <c r="L727" s="9"/>
      <c r="M727" s="9"/>
    </row>
    <row r="728" spans="1:13" ht="15" x14ac:dyDescent="0.25">
      <c r="A728" s="9"/>
      <c r="B728" s="9"/>
      <c r="C728" s="9"/>
      <c r="D728" s="9"/>
      <c r="E728" s="9"/>
      <c r="F728" s="9"/>
      <c r="G728" s="9"/>
      <c r="H728" s="10"/>
      <c r="I728" s="9"/>
      <c r="J728" s="9"/>
      <c r="K728" s="9"/>
      <c r="L728" s="9"/>
      <c r="M728" s="9"/>
    </row>
    <row r="729" spans="1:13" ht="15" x14ac:dyDescent="0.25">
      <c r="A729" s="9"/>
      <c r="B729" s="9"/>
      <c r="C729" s="9"/>
      <c r="D729" s="9"/>
      <c r="E729" s="9"/>
      <c r="F729" s="9"/>
      <c r="G729" s="9"/>
      <c r="H729" s="10"/>
      <c r="I729" s="9"/>
      <c r="J729" s="9"/>
      <c r="K729" s="9"/>
      <c r="L729" s="9"/>
      <c r="M729" s="9"/>
    </row>
    <row r="730" spans="1:13" ht="15" x14ac:dyDescent="0.25">
      <c r="A730" s="9"/>
      <c r="B730" s="9"/>
      <c r="C730" s="9"/>
      <c r="D730" s="9"/>
      <c r="E730" s="9"/>
      <c r="F730" s="9"/>
      <c r="G730" s="9"/>
      <c r="H730" s="10"/>
      <c r="I730" s="9"/>
      <c r="J730" s="9"/>
      <c r="K730" s="9"/>
      <c r="L730" s="9"/>
      <c r="M730" s="9"/>
    </row>
    <row r="731" spans="1:13" ht="15" x14ac:dyDescent="0.25">
      <c r="A731" s="9"/>
      <c r="B731" s="9"/>
      <c r="C731" s="9"/>
      <c r="D731" s="9"/>
      <c r="E731" s="9"/>
      <c r="F731" s="9"/>
      <c r="G731" s="9"/>
      <c r="H731" s="10"/>
      <c r="I731" s="9"/>
      <c r="J731" s="9"/>
      <c r="K731" s="9"/>
      <c r="L731" s="9"/>
      <c r="M731" s="9"/>
    </row>
    <row r="732" spans="1:13" ht="15" x14ac:dyDescent="0.25">
      <c r="A732" s="9"/>
      <c r="B732" s="9"/>
      <c r="C732" s="9"/>
      <c r="D732" s="9"/>
      <c r="E732" s="9"/>
      <c r="F732" s="9"/>
      <c r="G732" s="9"/>
      <c r="H732" s="10"/>
      <c r="I732" s="9"/>
      <c r="J732" s="9"/>
      <c r="K732" s="9"/>
      <c r="L732" s="9"/>
      <c r="M732" s="9"/>
    </row>
    <row r="733" spans="1:13" ht="15" x14ac:dyDescent="0.25">
      <c r="A733" s="9"/>
      <c r="B733" s="9"/>
      <c r="C733" s="9"/>
      <c r="D733" s="9"/>
      <c r="E733" s="9"/>
      <c r="F733" s="9"/>
      <c r="G733" s="9"/>
      <c r="H733" s="10"/>
      <c r="I733" s="9"/>
      <c r="J733" s="9"/>
      <c r="K733" s="9"/>
      <c r="L733" s="9"/>
      <c r="M733" s="9"/>
    </row>
    <row r="734" spans="1:13" ht="15" x14ac:dyDescent="0.25">
      <c r="A734" s="9"/>
      <c r="B734" s="9"/>
      <c r="C734" s="9"/>
      <c r="D734" s="9"/>
      <c r="E734" s="9"/>
      <c r="F734" s="9"/>
      <c r="G734" s="9"/>
      <c r="H734" s="10"/>
      <c r="I734" s="9"/>
      <c r="J734" s="9"/>
      <c r="K734" s="9"/>
      <c r="L734" s="9"/>
      <c r="M734" s="9"/>
    </row>
    <row r="735" spans="1:13" ht="15" x14ac:dyDescent="0.25">
      <c r="A735" s="9"/>
      <c r="B735" s="9"/>
      <c r="C735" s="9"/>
      <c r="D735" s="9"/>
      <c r="E735" s="9"/>
      <c r="F735" s="9"/>
      <c r="G735" s="9"/>
      <c r="H735" s="10"/>
      <c r="I735" s="9"/>
      <c r="J735" s="9"/>
      <c r="K735" s="9"/>
      <c r="L735" s="9"/>
      <c r="M735" s="9"/>
    </row>
    <row r="736" spans="1:13" ht="15" x14ac:dyDescent="0.25">
      <c r="A736" s="9"/>
      <c r="B736" s="9"/>
      <c r="C736" s="9"/>
      <c r="D736" s="9"/>
      <c r="E736" s="9"/>
      <c r="F736" s="9"/>
      <c r="G736" s="9"/>
      <c r="H736" s="10"/>
      <c r="I736" s="9"/>
      <c r="J736" s="9"/>
      <c r="K736" s="9"/>
      <c r="L736" s="9"/>
      <c r="M736" s="9"/>
    </row>
    <row r="737" spans="1:13" ht="15" x14ac:dyDescent="0.25">
      <c r="A737" s="9"/>
      <c r="B737" s="9"/>
      <c r="C737" s="9"/>
      <c r="D737" s="9"/>
      <c r="E737" s="9"/>
      <c r="F737" s="9"/>
      <c r="G737" s="9"/>
      <c r="H737" s="10"/>
      <c r="I737" s="9"/>
      <c r="J737" s="9"/>
      <c r="K737" s="9"/>
      <c r="L737" s="9"/>
      <c r="M737" s="9"/>
    </row>
    <row r="738" spans="1:13" ht="15" x14ac:dyDescent="0.25">
      <c r="A738" s="9"/>
      <c r="B738" s="9"/>
      <c r="C738" s="9"/>
      <c r="D738" s="9"/>
      <c r="E738" s="9"/>
      <c r="F738" s="9"/>
      <c r="G738" s="9"/>
      <c r="H738" s="10"/>
      <c r="I738" s="9"/>
      <c r="J738" s="9"/>
      <c r="K738" s="9"/>
      <c r="L738" s="9"/>
      <c r="M738" s="9"/>
    </row>
    <row r="739" spans="1:13" ht="15" x14ac:dyDescent="0.25">
      <c r="A739" s="9"/>
      <c r="B739" s="9"/>
      <c r="C739" s="9"/>
      <c r="D739" s="9"/>
      <c r="E739" s="9"/>
      <c r="F739" s="9"/>
      <c r="G739" s="9"/>
      <c r="H739" s="10"/>
      <c r="I739" s="9"/>
      <c r="J739" s="9"/>
      <c r="K739" s="9"/>
      <c r="L739" s="9"/>
      <c r="M739" s="9"/>
    </row>
    <row r="740" spans="1:13" ht="15" x14ac:dyDescent="0.25">
      <c r="A740" s="9"/>
      <c r="B740" s="9"/>
      <c r="C740" s="9"/>
      <c r="D740" s="9"/>
      <c r="E740" s="9"/>
      <c r="F740" s="9"/>
      <c r="G740" s="9"/>
      <c r="H740" s="10"/>
      <c r="I740" s="9"/>
      <c r="J740" s="9"/>
      <c r="K740" s="9"/>
      <c r="L740" s="9"/>
      <c r="M740" s="9"/>
    </row>
    <row r="741" spans="1:13" ht="15" x14ac:dyDescent="0.25">
      <c r="A741" s="9"/>
      <c r="B741" s="9"/>
      <c r="C741" s="9"/>
      <c r="D741" s="9"/>
      <c r="E741" s="9"/>
      <c r="F741" s="9"/>
      <c r="G741" s="9"/>
      <c r="H741" s="10"/>
      <c r="I741" s="9"/>
      <c r="J741" s="9"/>
      <c r="K741" s="9"/>
      <c r="L741" s="9"/>
      <c r="M741" s="9"/>
    </row>
    <row r="742" spans="1:13" ht="15" x14ac:dyDescent="0.25">
      <c r="A742" s="9"/>
      <c r="B742" s="9"/>
      <c r="C742" s="9"/>
      <c r="D742" s="9"/>
      <c r="E742" s="9"/>
      <c r="F742" s="9"/>
      <c r="G742" s="9"/>
      <c r="H742" s="10"/>
      <c r="I742" s="9"/>
      <c r="J742" s="9"/>
      <c r="K742" s="9"/>
      <c r="L742" s="9"/>
      <c r="M742" s="9"/>
    </row>
    <row r="743" spans="1:13" ht="15" x14ac:dyDescent="0.25">
      <c r="A743" s="9"/>
      <c r="B743" s="9"/>
      <c r="C743" s="9"/>
      <c r="D743" s="9"/>
      <c r="E743" s="9"/>
      <c r="F743" s="9"/>
      <c r="G743" s="9"/>
      <c r="H743" s="10"/>
      <c r="I743" s="9"/>
      <c r="J743" s="9"/>
      <c r="K743" s="9"/>
      <c r="L743" s="9"/>
      <c r="M743" s="9"/>
    </row>
    <row r="744" spans="1:13" ht="15" x14ac:dyDescent="0.25">
      <c r="A744" s="9"/>
      <c r="B744" s="9"/>
      <c r="C744" s="9"/>
      <c r="D744" s="9"/>
      <c r="E744" s="9"/>
      <c r="F744" s="9"/>
      <c r="G744" s="9"/>
      <c r="H744" s="10"/>
      <c r="I744" s="9"/>
      <c r="J744" s="9"/>
      <c r="K744" s="9"/>
      <c r="L744" s="9"/>
      <c r="M744" s="9"/>
    </row>
    <row r="745" spans="1:13" ht="15" x14ac:dyDescent="0.25">
      <c r="A745" s="9"/>
      <c r="B745" s="9"/>
      <c r="C745" s="9"/>
      <c r="D745" s="9"/>
      <c r="E745" s="9"/>
      <c r="F745" s="9"/>
      <c r="G745" s="9"/>
      <c r="H745" s="10"/>
      <c r="I745" s="9"/>
      <c r="J745" s="9"/>
      <c r="K745" s="9"/>
      <c r="L745" s="9"/>
      <c r="M745" s="9"/>
    </row>
    <row r="746" spans="1:13" ht="15" x14ac:dyDescent="0.25">
      <c r="A746" s="9"/>
      <c r="B746" s="9"/>
      <c r="C746" s="9"/>
      <c r="D746" s="9"/>
      <c r="E746" s="9"/>
      <c r="F746" s="9"/>
      <c r="G746" s="9"/>
      <c r="H746" s="10"/>
      <c r="I746" s="9"/>
      <c r="J746" s="9"/>
      <c r="K746" s="9"/>
      <c r="L746" s="9"/>
      <c r="M746" s="9"/>
    </row>
    <row r="747" spans="1:13" ht="15" x14ac:dyDescent="0.25">
      <c r="A747" s="9"/>
      <c r="B747" s="9"/>
      <c r="C747" s="9"/>
      <c r="D747" s="9"/>
      <c r="E747" s="9"/>
      <c r="F747" s="9"/>
      <c r="G747" s="9"/>
      <c r="H747" s="10"/>
      <c r="I747" s="9"/>
      <c r="J747" s="9"/>
      <c r="K747" s="9"/>
      <c r="L747" s="9"/>
      <c r="M747" s="9"/>
    </row>
    <row r="748" spans="1:13" ht="15" x14ac:dyDescent="0.25">
      <c r="A748" s="9"/>
      <c r="B748" s="9"/>
      <c r="C748" s="9"/>
      <c r="D748" s="9"/>
      <c r="E748" s="9"/>
      <c r="F748" s="9"/>
      <c r="G748" s="9"/>
      <c r="H748" s="10"/>
      <c r="I748" s="9"/>
      <c r="J748" s="9"/>
      <c r="K748" s="9"/>
      <c r="L748" s="9"/>
      <c r="M748" s="9"/>
    </row>
    <row r="749" spans="1:13" ht="15" x14ac:dyDescent="0.25">
      <c r="A749" s="9"/>
      <c r="B749" s="9"/>
      <c r="C749" s="9"/>
      <c r="D749" s="9"/>
      <c r="E749" s="9"/>
      <c r="F749" s="9"/>
      <c r="G749" s="9"/>
      <c r="H749" s="10"/>
      <c r="I749" s="9"/>
      <c r="J749" s="9"/>
      <c r="K749" s="9"/>
      <c r="L749" s="9"/>
      <c r="M749" s="9"/>
    </row>
    <row r="750" spans="1:13" ht="15" x14ac:dyDescent="0.25">
      <c r="A750" s="9"/>
      <c r="B750" s="9"/>
      <c r="C750" s="9"/>
      <c r="D750" s="9"/>
      <c r="E750" s="9"/>
      <c r="F750" s="9"/>
      <c r="G750" s="9"/>
      <c r="H750" s="10"/>
      <c r="I750" s="9"/>
      <c r="J750" s="9"/>
      <c r="K750" s="9"/>
      <c r="L750" s="9"/>
      <c r="M750" s="9"/>
    </row>
    <row r="751" spans="1:13" ht="15" x14ac:dyDescent="0.25">
      <c r="A751" s="9"/>
      <c r="B751" s="9"/>
      <c r="C751" s="9"/>
      <c r="D751" s="9"/>
      <c r="E751" s="9"/>
      <c r="F751" s="9"/>
      <c r="G751" s="9"/>
      <c r="H751" s="10"/>
      <c r="I751" s="9"/>
      <c r="J751" s="9"/>
      <c r="K751" s="9"/>
      <c r="L751" s="9"/>
      <c r="M751" s="9"/>
    </row>
    <row r="752" spans="1:13" ht="15" x14ac:dyDescent="0.25">
      <c r="A752" s="9"/>
      <c r="B752" s="9"/>
      <c r="C752" s="9"/>
      <c r="D752" s="9"/>
      <c r="E752" s="9"/>
      <c r="F752" s="9"/>
      <c r="G752" s="9"/>
      <c r="H752" s="10"/>
      <c r="I752" s="9"/>
      <c r="J752" s="9"/>
      <c r="K752" s="9"/>
      <c r="L752" s="9"/>
      <c r="M752" s="9"/>
    </row>
    <row r="753" spans="1:13" ht="15" x14ac:dyDescent="0.25">
      <c r="A753" s="9"/>
      <c r="B753" s="9"/>
      <c r="C753" s="9"/>
      <c r="D753" s="9"/>
      <c r="E753" s="9"/>
      <c r="F753" s="9"/>
      <c r="G753" s="9"/>
      <c r="H753" s="10"/>
      <c r="I753" s="9"/>
      <c r="J753" s="9"/>
      <c r="K753" s="9"/>
      <c r="L753" s="9"/>
      <c r="M753" s="9"/>
    </row>
    <row r="754" spans="1:13" ht="15" x14ac:dyDescent="0.25">
      <c r="A754" s="9"/>
      <c r="B754" s="9"/>
      <c r="C754" s="9"/>
      <c r="D754" s="9"/>
      <c r="E754" s="9"/>
      <c r="F754" s="9"/>
      <c r="G754" s="9"/>
      <c r="H754" s="10"/>
      <c r="I754" s="9"/>
      <c r="J754" s="9"/>
      <c r="K754" s="9"/>
      <c r="L754" s="9"/>
      <c r="M754" s="9"/>
    </row>
    <row r="755" spans="1:13" ht="15" x14ac:dyDescent="0.25">
      <c r="A755" s="9"/>
      <c r="B755" s="9"/>
      <c r="C755" s="9"/>
      <c r="D755" s="9"/>
      <c r="E755" s="9"/>
      <c r="F755" s="9"/>
      <c r="G755" s="9"/>
      <c r="H755" s="10"/>
      <c r="I755" s="9"/>
      <c r="J755" s="9"/>
      <c r="K755" s="9"/>
      <c r="L755" s="9"/>
      <c r="M755" s="9"/>
    </row>
    <row r="756" spans="1:13" ht="15" x14ac:dyDescent="0.25">
      <c r="A756" s="9"/>
      <c r="B756" s="9"/>
      <c r="C756" s="9"/>
      <c r="D756" s="9"/>
      <c r="E756" s="9"/>
      <c r="F756" s="9"/>
      <c r="G756" s="9"/>
      <c r="H756" s="10"/>
      <c r="I756" s="9"/>
      <c r="J756" s="9"/>
      <c r="K756" s="9"/>
      <c r="L756" s="9"/>
      <c r="M756" s="9"/>
    </row>
    <row r="757" spans="1:13" ht="15" x14ac:dyDescent="0.25">
      <c r="A757" s="9"/>
      <c r="B757" s="9"/>
      <c r="C757" s="9"/>
      <c r="D757" s="9"/>
      <c r="E757" s="9"/>
      <c r="F757" s="9"/>
      <c r="G757" s="9"/>
      <c r="H757" s="10"/>
      <c r="I757" s="9"/>
      <c r="J757" s="9"/>
      <c r="K757" s="9"/>
      <c r="L757" s="9"/>
      <c r="M757" s="9"/>
    </row>
    <row r="758" spans="1:13" ht="15" x14ac:dyDescent="0.25">
      <c r="A758" s="9"/>
      <c r="B758" s="9"/>
      <c r="C758" s="9"/>
      <c r="D758" s="9"/>
      <c r="E758" s="9"/>
      <c r="F758" s="9"/>
      <c r="G758" s="9"/>
      <c r="H758" s="10"/>
      <c r="I758" s="9"/>
      <c r="J758" s="9"/>
      <c r="K758" s="9"/>
      <c r="L758" s="9"/>
      <c r="M758" s="9"/>
    </row>
    <row r="759" spans="1:13" ht="15" x14ac:dyDescent="0.25">
      <c r="A759" s="9"/>
      <c r="B759" s="9"/>
      <c r="C759" s="9"/>
      <c r="D759" s="9"/>
      <c r="E759" s="9"/>
      <c r="F759" s="9"/>
      <c r="G759" s="9"/>
      <c r="H759" s="10"/>
      <c r="I759" s="9"/>
      <c r="J759" s="9"/>
      <c r="K759" s="9"/>
      <c r="L759" s="9"/>
      <c r="M759" s="9"/>
    </row>
    <row r="760" spans="1:13" ht="15" x14ac:dyDescent="0.25">
      <c r="A760" s="9"/>
      <c r="B760" s="9"/>
      <c r="C760" s="9"/>
      <c r="D760" s="9"/>
      <c r="E760" s="9"/>
      <c r="F760" s="9"/>
      <c r="G760" s="9"/>
      <c r="H760" s="10"/>
      <c r="I760" s="9"/>
      <c r="J760" s="9"/>
      <c r="K760" s="9"/>
      <c r="L760" s="9"/>
      <c r="M760" s="9"/>
    </row>
    <row r="761" spans="1:13" ht="15" x14ac:dyDescent="0.25">
      <c r="A761" s="9"/>
      <c r="B761" s="9"/>
      <c r="C761" s="9"/>
      <c r="D761" s="9"/>
      <c r="E761" s="9"/>
      <c r="F761" s="9"/>
      <c r="G761" s="9"/>
      <c r="H761" s="10"/>
      <c r="I761" s="9"/>
      <c r="J761" s="9"/>
      <c r="K761" s="9"/>
      <c r="L761" s="9"/>
      <c r="M761" s="9"/>
    </row>
    <row r="762" spans="1:13" ht="15" x14ac:dyDescent="0.25">
      <c r="A762" s="9"/>
      <c r="B762" s="9"/>
      <c r="C762" s="9"/>
      <c r="D762" s="9"/>
      <c r="E762" s="9"/>
      <c r="F762" s="9"/>
      <c r="G762" s="9"/>
      <c r="H762" s="10"/>
      <c r="I762" s="9"/>
      <c r="J762" s="9"/>
      <c r="K762" s="9"/>
      <c r="L762" s="9"/>
      <c r="M762" s="9"/>
    </row>
    <row r="763" spans="1:13" ht="15" x14ac:dyDescent="0.25">
      <c r="A763" s="9"/>
      <c r="B763" s="9"/>
      <c r="C763" s="9"/>
      <c r="D763" s="9"/>
      <c r="E763" s="9"/>
      <c r="F763" s="9"/>
      <c r="G763" s="9"/>
      <c r="H763" s="10"/>
      <c r="I763" s="9"/>
      <c r="J763" s="9"/>
      <c r="K763" s="9"/>
      <c r="L763" s="9"/>
      <c r="M763" s="9"/>
    </row>
    <row r="764" spans="1:13" ht="15" x14ac:dyDescent="0.25">
      <c r="A764" s="9"/>
      <c r="B764" s="9"/>
      <c r="C764" s="9"/>
      <c r="D764" s="9"/>
      <c r="E764" s="9"/>
      <c r="F764" s="9"/>
      <c r="G764" s="9"/>
      <c r="H764" s="10"/>
      <c r="I764" s="9"/>
      <c r="J764" s="9"/>
      <c r="K764" s="9"/>
      <c r="L764" s="9"/>
      <c r="M764" s="9"/>
    </row>
    <row r="765" spans="1:13" ht="15" x14ac:dyDescent="0.25">
      <c r="A765" s="9"/>
      <c r="B765" s="9"/>
      <c r="C765" s="9"/>
      <c r="D765" s="9"/>
      <c r="E765" s="9"/>
      <c r="F765" s="9"/>
      <c r="G765" s="9"/>
      <c r="H765" s="10"/>
      <c r="I765" s="9"/>
      <c r="J765" s="9"/>
      <c r="K765" s="9"/>
      <c r="L765" s="9"/>
      <c r="M765" s="9"/>
    </row>
    <row r="766" spans="1:13" ht="15" x14ac:dyDescent="0.25">
      <c r="A766" s="9"/>
      <c r="B766" s="9"/>
      <c r="C766" s="9"/>
      <c r="D766" s="9"/>
      <c r="E766" s="9"/>
      <c r="F766" s="9"/>
      <c r="G766" s="9"/>
      <c r="H766" s="10"/>
      <c r="I766" s="9"/>
      <c r="J766" s="9"/>
      <c r="K766" s="9"/>
      <c r="L766" s="9"/>
      <c r="M766" s="9"/>
    </row>
    <row r="767" spans="1:13" ht="15" x14ac:dyDescent="0.25">
      <c r="A767" s="9"/>
      <c r="B767" s="9"/>
      <c r="C767" s="9"/>
      <c r="D767" s="9"/>
      <c r="E767" s="9"/>
      <c r="F767" s="9"/>
      <c r="G767" s="9"/>
      <c r="H767" s="10"/>
      <c r="I767" s="9"/>
      <c r="J767" s="9"/>
      <c r="K767" s="9"/>
      <c r="L767" s="9"/>
      <c r="M767" s="9"/>
    </row>
    <row r="768" spans="1:13" ht="15" x14ac:dyDescent="0.25">
      <c r="A768" s="9"/>
      <c r="B768" s="9"/>
      <c r="C768" s="9"/>
      <c r="D768" s="9"/>
      <c r="E768" s="9"/>
      <c r="F768" s="9"/>
      <c r="G768" s="9"/>
      <c r="H768" s="10"/>
      <c r="I768" s="9"/>
      <c r="J768" s="9"/>
      <c r="K768" s="9"/>
      <c r="L768" s="9"/>
      <c r="M768" s="9"/>
    </row>
    <row r="769" spans="1:13" ht="15" x14ac:dyDescent="0.25">
      <c r="A769" s="9"/>
      <c r="B769" s="9"/>
      <c r="C769" s="9"/>
      <c r="D769" s="9"/>
      <c r="E769" s="9"/>
      <c r="F769" s="9"/>
      <c r="G769" s="9"/>
      <c r="H769" s="10"/>
      <c r="I769" s="9"/>
      <c r="J769" s="9"/>
      <c r="K769" s="9"/>
      <c r="L769" s="9"/>
      <c r="M769" s="9"/>
    </row>
    <row r="770" spans="1:13" ht="15" x14ac:dyDescent="0.25">
      <c r="A770" s="9"/>
      <c r="B770" s="9"/>
      <c r="C770" s="9"/>
      <c r="D770" s="9"/>
      <c r="E770" s="9"/>
      <c r="F770" s="9"/>
      <c r="G770" s="9"/>
      <c r="H770" s="10"/>
      <c r="I770" s="9"/>
      <c r="J770" s="9"/>
      <c r="K770" s="9"/>
      <c r="L770" s="9"/>
      <c r="M770" s="9"/>
    </row>
    <row r="771" spans="1:13" ht="15" x14ac:dyDescent="0.25">
      <c r="A771" s="9"/>
      <c r="B771" s="9"/>
      <c r="C771" s="9"/>
      <c r="D771" s="9"/>
      <c r="E771" s="9"/>
      <c r="F771" s="9"/>
      <c r="G771" s="9"/>
      <c r="H771" s="10"/>
      <c r="I771" s="9"/>
      <c r="J771" s="9"/>
      <c r="K771" s="9"/>
      <c r="L771" s="9"/>
      <c r="M771" s="9"/>
    </row>
    <row r="772" spans="1:13" ht="15" x14ac:dyDescent="0.25">
      <c r="A772" s="9"/>
      <c r="B772" s="9"/>
      <c r="C772" s="9"/>
      <c r="D772" s="9"/>
      <c r="E772" s="9"/>
      <c r="F772" s="9"/>
      <c r="G772" s="9"/>
      <c r="H772" s="10"/>
      <c r="I772" s="9"/>
      <c r="J772" s="9"/>
      <c r="K772" s="9"/>
      <c r="L772" s="9"/>
      <c r="M772" s="9"/>
    </row>
    <row r="773" spans="1:13" ht="15" x14ac:dyDescent="0.25">
      <c r="A773" s="9"/>
      <c r="B773" s="9"/>
      <c r="C773" s="9"/>
      <c r="D773" s="9"/>
      <c r="E773" s="9"/>
      <c r="F773" s="9"/>
      <c r="G773" s="9"/>
      <c r="H773" s="10"/>
      <c r="I773" s="9"/>
      <c r="J773" s="9"/>
      <c r="K773" s="9"/>
      <c r="L773" s="9"/>
      <c r="M773" s="9"/>
    </row>
    <row r="774" spans="1:13" ht="15" x14ac:dyDescent="0.25">
      <c r="A774" s="9"/>
      <c r="B774" s="9"/>
      <c r="C774" s="9"/>
      <c r="D774" s="9"/>
      <c r="E774" s="9"/>
      <c r="F774" s="9"/>
      <c r="G774" s="9"/>
      <c r="H774" s="10"/>
      <c r="I774" s="9"/>
      <c r="J774" s="9"/>
      <c r="K774" s="9"/>
      <c r="L774" s="9"/>
      <c r="M774" s="9"/>
    </row>
    <row r="775" spans="1:13" ht="15" x14ac:dyDescent="0.25">
      <c r="A775" s="9"/>
      <c r="B775" s="9"/>
      <c r="C775" s="9"/>
      <c r="D775" s="9"/>
      <c r="E775" s="9"/>
      <c r="F775" s="9"/>
      <c r="G775" s="9"/>
      <c r="H775" s="10"/>
      <c r="I775" s="9"/>
      <c r="J775" s="9"/>
      <c r="K775" s="9"/>
      <c r="L775" s="9"/>
      <c r="M775" s="9"/>
    </row>
    <row r="776" spans="1:13" ht="15" x14ac:dyDescent="0.25">
      <c r="A776" s="9"/>
      <c r="B776" s="9"/>
      <c r="C776" s="9"/>
      <c r="D776" s="9"/>
      <c r="E776" s="9"/>
      <c r="F776" s="9"/>
      <c r="G776" s="9"/>
      <c r="H776" s="10"/>
      <c r="I776" s="9"/>
      <c r="J776" s="9"/>
      <c r="K776" s="9"/>
      <c r="L776" s="9"/>
      <c r="M776" s="9"/>
    </row>
    <row r="777" spans="1:13" ht="15" x14ac:dyDescent="0.25">
      <c r="A777" s="9"/>
      <c r="B777" s="9"/>
      <c r="C777" s="9"/>
      <c r="D777" s="9"/>
      <c r="E777" s="9"/>
      <c r="F777" s="9"/>
      <c r="G777" s="9"/>
      <c r="H777" s="10"/>
      <c r="I777" s="9"/>
      <c r="J777" s="9"/>
      <c r="K777" s="9"/>
      <c r="L777" s="9"/>
      <c r="M777" s="9"/>
    </row>
    <row r="778" spans="1:13" ht="15" x14ac:dyDescent="0.25">
      <c r="A778" s="9"/>
      <c r="B778" s="9"/>
      <c r="C778" s="9"/>
      <c r="D778" s="9"/>
      <c r="E778" s="9"/>
      <c r="F778" s="9"/>
      <c r="G778" s="9"/>
      <c r="H778" s="10"/>
      <c r="I778" s="9"/>
      <c r="J778" s="9"/>
      <c r="K778" s="9"/>
      <c r="L778" s="9"/>
      <c r="M778" s="9"/>
    </row>
    <row r="779" spans="1:13" ht="15" x14ac:dyDescent="0.25">
      <c r="A779" s="9"/>
      <c r="B779" s="9"/>
      <c r="C779" s="9"/>
      <c r="D779" s="9"/>
      <c r="E779" s="9"/>
      <c r="F779" s="9"/>
      <c r="G779" s="9"/>
      <c r="H779" s="10"/>
      <c r="I779" s="9"/>
      <c r="J779" s="9"/>
      <c r="K779" s="9"/>
      <c r="L779" s="9"/>
      <c r="M779" s="9"/>
    </row>
    <row r="780" spans="1:13" ht="15" x14ac:dyDescent="0.25">
      <c r="A780" s="9"/>
      <c r="B780" s="9"/>
      <c r="C780" s="9"/>
      <c r="D780" s="9"/>
      <c r="E780" s="9"/>
      <c r="F780" s="9"/>
      <c r="G780" s="9"/>
      <c r="H780" s="10"/>
      <c r="I780" s="9"/>
      <c r="J780" s="9"/>
      <c r="K780" s="9"/>
      <c r="L780" s="9"/>
      <c r="M780" s="9"/>
    </row>
    <row r="781" spans="1:13" ht="15" x14ac:dyDescent="0.25">
      <c r="A781" s="9"/>
      <c r="B781" s="9"/>
      <c r="C781" s="9"/>
      <c r="D781" s="9"/>
      <c r="E781" s="9"/>
      <c r="F781" s="9"/>
      <c r="G781" s="9"/>
      <c r="H781" s="10"/>
      <c r="I781" s="9"/>
      <c r="J781" s="9"/>
      <c r="K781" s="9"/>
      <c r="L781" s="9"/>
      <c r="M781" s="9"/>
    </row>
    <row r="782" spans="1:13" ht="15" x14ac:dyDescent="0.25">
      <c r="A782" s="9"/>
      <c r="B782" s="9"/>
      <c r="C782" s="9"/>
      <c r="D782" s="9"/>
      <c r="E782" s="9"/>
      <c r="F782" s="9"/>
      <c r="G782" s="9"/>
      <c r="H782" s="10"/>
      <c r="I782" s="9"/>
      <c r="J782" s="9"/>
      <c r="K782" s="9"/>
      <c r="L782" s="9"/>
      <c r="M782" s="9"/>
    </row>
    <row r="783" spans="1:13" ht="15" x14ac:dyDescent="0.25">
      <c r="A783" s="9"/>
      <c r="B783" s="9"/>
      <c r="C783" s="9"/>
      <c r="D783" s="9"/>
      <c r="E783" s="9"/>
      <c r="F783" s="9"/>
      <c r="G783" s="9"/>
      <c r="H783" s="10"/>
      <c r="I783" s="9"/>
      <c r="J783" s="9"/>
      <c r="K783" s="9"/>
      <c r="L783" s="9"/>
      <c r="M783" s="9"/>
    </row>
    <row r="784" spans="1:13" ht="15" x14ac:dyDescent="0.25">
      <c r="A784" s="9"/>
      <c r="B784" s="9"/>
      <c r="C784" s="9"/>
      <c r="D784" s="9"/>
      <c r="E784" s="9"/>
      <c r="F784" s="9"/>
      <c r="G784" s="9"/>
      <c r="H784" s="10"/>
      <c r="I784" s="9"/>
      <c r="J784" s="9"/>
      <c r="K784" s="9"/>
      <c r="L784" s="9"/>
      <c r="M784" s="9"/>
    </row>
    <row r="785" spans="1:13" ht="15" x14ac:dyDescent="0.25">
      <c r="A785" s="9"/>
      <c r="B785" s="9"/>
      <c r="C785" s="9"/>
      <c r="D785" s="9"/>
      <c r="E785" s="9"/>
      <c r="F785" s="9"/>
      <c r="G785" s="9"/>
      <c r="H785" s="10"/>
      <c r="I785" s="9"/>
      <c r="J785" s="9"/>
      <c r="K785" s="9"/>
      <c r="L785" s="9"/>
      <c r="M785" s="9"/>
    </row>
    <row r="786" spans="1:13" ht="15" x14ac:dyDescent="0.25">
      <c r="A786" s="9"/>
      <c r="B786" s="9"/>
      <c r="C786" s="9"/>
      <c r="D786" s="9"/>
      <c r="E786" s="9"/>
      <c r="F786" s="9"/>
      <c r="G786" s="9"/>
      <c r="H786" s="10"/>
      <c r="I786" s="9"/>
      <c r="J786" s="9"/>
      <c r="K786" s="9"/>
      <c r="L786" s="9"/>
      <c r="M786" s="9"/>
    </row>
    <row r="787" spans="1:13" ht="15" x14ac:dyDescent="0.25">
      <c r="A787" s="9"/>
      <c r="B787" s="9"/>
      <c r="C787" s="9"/>
      <c r="D787" s="9"/>
      <c r="E787" s="9"/>
      <c r="F787" s="9"/>
      <c r="G787" s="9"/>
      <c r="H787" s="10"/>
      <c r="I787" s="9"/>
      <c r="J787" s="9"/>
      <c r="K787" s="9"/>
      <c r="L787" s="9"/>
      <c r="M787" s="9"/>
    </row>
    <row r="788" spans="1:13" ht="15" x14ac:dyDescent="0.25">
      <c r="A788" s="9"/>
      <c r="B788" s="9"/>
      <c r="C788" s="9"/>
      <c r="D788" s="9"/>
      <c r="E788" s="9"/>
      <c r="F788" s="9"/>
      <c r="G788" s="9"/>
      <c r="H788" s="10"/>
      <c r="I788" s="9"/>
      <c r="J788" s="9"/>
      <c r="K788" s="9"/>
      <c r="L788" s="9"/>
      <c r="M788" s="9"/>
    </row>
    <row r="789" spans="1:13" ht="15" x14ac:dyDescent="0.25">
      <c r="A789" s="9"/>
      <c r="B789" s="9"/>
      <c r="C789" s="9"/>
      <c r="D789" s="9"/>
      <c r="E789" s="9"/>
      <c r="F789" s="9"/>
      <c r="G789" s="9"/>
      <c r="H789" s="10"/>
      <c r="I789" s="9"/>
      <c r="J789" s="9"/>
      <c r="K789" s="9"/>
      <c r="L789" s="9"/>
      <c r="M789" s="9"/>
    </row>
    <row r="790" spans="1:13" ht="15" x14ac:dyDescent="0.25">
      <c r="A790" s="9"/>
      <c r="B790" s="9"/>
      <c r="C790" s="9"/>
      <c r="D790" s="9"/>
      <c r="E790" s="9"/>
      <c r="F790" s="9"/>
      <c r="G790" s="9"/>
      <c r="H790" s="10"/>
      <c r="I790" s="9"/>
      <c r="J790" s="9"/>
      <c r="K790" s="9"/>
      <c r="L790" s="9"/>
      <c r="M790" s="9"/>
    </row>
    <row r="791" spans="1:13" ht="15" x14ac:dyDescent="0.25">
      <c r="A791" s="9"/>
      <c r="B791" s="9"/>
      <c r="C791" s="9"/>
      <c r="D791" s="9"/>
      <c r="E791" s="9"/>
      <c r="F791" s="9"/>
      <c r="G791" s="9"/>
      <c r="H791" s="10"/>
      <c r="I791" s="9"/>
      <c r="J791" s="9"/>
      <c r="K791" s="9"/>
      <c r="L791" s="9"/>
      <c r="M791" s="9"/>
    </row>
    <row r="792" spans="1:13" ht="15" x14ac:dyDescent="0.25">
      <c r="A792" s="9"/>
      <c r="B792" s="9"/>
      <c r="C792" s="9"/>
      <c r="D792" s="9"/>
      <c r="E792" s="9"/>
      <c r="F792" s="9"/>
      <c r="G792" s="9"/>
      <c r="H792" s="10"/>
      <c r="I792" s="9"/>
      <c r="J792" s="9"/>
      <c r="K792" s="9"/>
      <c r="L792" s="9"/>
      <c r="M792" s="9"/>
    </row>
    <row r="793" spans="1:13" ht="15" x14ac:dyDescent="0.25">
      <c r="A793" s="9"/>
      <c r="B793" s="9"/>
      <c r="C793" s="9"/>
      <c r="D793" s="9"/>
      <c r="E793" s="9"/>
      <c r="F793" s="9"/>
      <c r="G793" s="9"/>
      <c r="H793" s="10"/>
      <c r="I793" s="9"/>
      <c r="J793" s="9"/>
      <c r="K793" s="9"/>
      <c r="L793" s="9"/>
      <c r="M793" s="9"/>
    </row>
    <row r="794" spans="1:13" ht="15" x14ac:dyDescent="0.25">
      <c r="A794" s="9"/>
      <c r="B794" s="9"/>
      <c r="C794" s="9"/>
      <c r="D794" s="9"/>
      <c r="E794" s="9"/>
      <c r="F794" s="9"/>
      <c r="G794" s="9"/>
      <c r="H794" s="10"/>
      <c r="I794" s="9"/>
      <c r="J794" s="9"/>
      <c r="K794" s="9"/>
      <c r="L794" s="9"/>
      <c r="M794" s="9"/>
    </row>
    <row r="795" spans="1:13" ht="15" x14ac:dyDescent="0.25">
      <c r="A795" s="9"/>
      <c r="B795" s="9"/>
      <c r="C795" s="9"/>
      <c r="D795" s="9"/>
      <c r="E795" s="9"/>
      <c r="F795" s="9"/>
      <c r="G795" s="9"/>
      <c r="H795" s="10"/>
      <c r="I795" s="9"/>
      <c r="J795" s="9"/>
      <c r="K795" s="9"/>
      <c r="L795" s="9"/>
      <c r="M795" s="9"/>
    </row>
    <row r="796" spans="1:13" ht="15" x14ac:dyDescent="0.25">
      <c r="A796" s="9"/>
      <c r="B796" s="9"/>
      <c r="C796" s="9"/>
      <c r="D796" s="9"/>
      <c r="E796" s="9"/>
      <c r="F796" s="9"/>
      <c r="G796" s="9"/>
      <c r="H796" s="10"/>
      <c r="I796" s="9"/>
      <c r="J796" s="9"/>
      <c r="K796" s="9"/>
      <c r="L796" s="9"/>
      <c r="M796" s="9"/>
    </row>
    <row r="797" spans="1:13" ht="15" x14ac:dyDescent="0.25">
      <c r="A797" s="9"/>
      <c r="B797" s="9"/>
      <c r="C797" s="9"/>
      <c r="D797" s="9"/>
      <c r="E797" s="9"/>
      <c r="F797" s="9"/>
      <c r="G797" s="9"/>
      <c r="H797" s="10"/>
      <c r="I797" s="9"/>
      <c r="J797" s="9"/>
      <c r="K797" s="9"/>
      <c r="L797" s="9"/>
      <c r="M797" s="9"/>
    </row>
    <row r="798" spans="1:13" ht="15" x14ac:dyDescent="0.25">
      <c r="A798" s="9"/>
      <c r="B798" s="9"/>
      <c r="C798" s="9"/>
      <c r="D798" s="9"/>
      <c r="E798" s="9"/>
      <c r="F798" s="9"/>
      <c r="G798" s="9"/>
      <c r="H798" s="10"/>
      <c r="I798" s="9"/>
      <c r="J798" s="9"/>
      <c r="K798" s="9"/>
      <c r="L798" s="9"/>
      <c r="M798" s="9"/>
    </row>
    <row r="799" spans="1:13" ht="15" x14ac:dyDescent="0.25">
      <c r="A799" s="9"/>
      <c r="B799" s="9"/>
      <c r="C799" s="9"/>
      <c r="D799" s="9"/>
      <c r="E799" s="9"/>
      <c r="F799" s="9"/>
      <c r="G799" s="9"/>
      <c r="H799" s="10"/>
      <c r="I799" s="9"/>
      <c r="J799" s="9"/>
      <c r="K799" s="9"/>
      <c r="L799" s="9"/>
      <c r="M799" s="9"/>
    </row>
    <row r="800" spans="1:13" ht="15" x14ac:dyDescent="0.25">
      <c r="A800" s="9"/>
      <c r="B800" s="9"/>
      <c r="C800" s="9"/>
      <c r="D800" s="9"/>
      <c r="E800" s="9"/>
      <c r="F800" s="9"/>
      <c r="G800" s="9"/>
      <c r="H800" s="10"/>
      <c r="I800" s="9"/>
      <c r="J800" s="9"/>
      <c r="K800" s="9"/>
      <c r="L800" s="9"/>
      <c r="M800" s="9"/>
    </row>
    <row r="801" spans="1:13" ht="15" x14ac:dyDescent="0.25">
      <c r="A801" s="9"/>
      <c r="B801" s="9"/>
      <c r="C801" s="9"/>
      <c r="D801" s="9"/>
      <c r="E801" s="9"/>
      <c r="F801" s="9"/>
      <c r="G801" s="9"/>
      <c r="H801" s="10"/>
      <c r="I801" s="9"/>
      <c r="J801" s="9"/>
      <c r="K801" s="9"/>
      <c r="L801" s="9"/>
      <c r="M801" s="9"/>
    </row>
    <row r="802" spans="1:13" ht="15" x14ac:dyDescent="0.25">
      <c r="A802" s="9"/>
      <c r="B802" s="9"/>
      <c r="C802" s="9"/>
      <c r="D802" s="9"/>
      <c r="E802" s="9"/>
      <c r="F802" s="9"/>
      <c r="G802" s="9"/>
      <c r="H802" s="10"/>
      <c r="I802" s="9"/>
      <c r="J802" s="9"/>
      <c r="K802" s="9"/>
      <c r="L802" s="9"/>
      <c r="M802" s="9"/>
    </row>
    <row r="803" spans="1:13" ht="15" x14ac:dyDescent="0.25">
      <c r="A803" s="9"/>
      <c r="B803" s="9"/>
      <c r="C803" s="9"/>
      <c r="D803" s="9"/>
      <c r="E803" s="9"/>
      <c r="F803" s="9"/>
      <c r="G803" s="9"/>
      <c r="H803" s="10"/>
      <c r="I803" s="9"/>
      <c r="J803" s="9"/>
      <c r="K803" s="9"/>
      <c r="L803" s="9"/>
      <c r="M803" s="9"/>
    </row>
    <row r="804" spans="1:13" ht="15" x14ac:dyDescent="0.25">
      <c r="A804" s="9"/>
      <c r="B804" s="9"/>
      <c r="C804" s="9"/>
      <c r="D804" s="9"/>
      <c r="E804" s="9"/>
      <c r="F804" s="9"/>
      <c r="G804" s="9"/>
      <c r="H804" s="10"/>
      <c r="I804" s="9"/>
      <c r="J804" s="9"/>
      <c r="K804" s="9"/>
      <c r="L804" s="9"/>
      <c r="M804" s="9"/>
    </row>
    <row r="805" spans="1:13" ht="15" x14ac:dyDescent="0.25">
      <c r="A805" s="9"/>
      <c r="B805" s="9"/>
      <c r="C805" s="9"/>
      <c r="D805" s="9"/>
      <c r="E805" s="9"/>
      <c r="F805" s="9"/>
      <c r="G805" s="9"/>
      <c r="H805" s="10"/>
      <c r="I805" s="9"/>
      <c r="J805" s="9"/>
      <c r="K805" s="9"/>
      <c r="L805" s="9"/>
      <c r="M805" s="9"/>
    </row>
    <row r="806" spans="1:13" ht="15" x14ac:dyDescent="0.25">
      <c r="A806" s="9"/>
      <c r="B806" s="9"/>
      <c r="C806" s="9"/>
      <c r="D806" s="9"/>
      <c r="E806" s="9"/>
      <c r="F806" s="9"/>
      <c r="G806" s="9"/>
      <c r="H806" s="10"/>
      <c r="I806" s="9"/>
      <c r="J806" s="9"/>
      <c r="K806" s="9"/>
      <c r="L806" s="9"/>
      <c r="M806" s="9"/>
    </row>
    <row r="807" spans="1:13" ht="15" x14ac:dyDescent="0.25">
      <c r="A807" s="9"/>
      <c r="B807" s="9"/>
      <c r="C807" s="9"/>
      <c r="D807" s="9"/>
      <c r="E807" s="9"/>
      <c r="F807" s="9"/>
      <c r="G807" s="9"/>
      <c r="H807" s="10"/>
      <c r="I807" s="9"/>
      <c r="J807" s="9"/>
      <c r="K807" s="9"/>
      <c r="L807" s="9"/>
      <c r="M807" s="9"/>
    </row>
    <row r="808" spans="1:13" ht="15" x14ac:dyDescent="0.25">
      <c r="A808" s="9"/>
      <c r="B808" s="9"/>
      <c r="C808" s="9"/>
      <c r="D808" s="9"/>
      <c r="E808" s="9"/>
      <c r="F808" s="9"/>
      <c r="G808" s="9"/>
      <c r="H808" s="10"/>
      <c r="I808" s="9"/>
      <c r="J808" s="9"/>
      <c r="K808" s="9"/>
      <c r="L808" s="9"/>
      <c r="M808" s="9"/>
    </row>
    <row r="809" spans="1:13" ht="15" x14ac:dyDescent="0.25">
      <c r="A809" s="9"/>
      <c r="B809" s="9"/>
      <c r="C809" s="9"/>
      <c r="D809" s="9"/>
      <c r="E809" s="9"/>
      <c r="F809" s="9"/>
      <c r="G809" s="9"/>
      <c r="H809" s="10"/>
      <c r="I809" s="9"/>
      <c r="J809" s="9"/>
      <c r="K809" s="9"/>
      <c r="L809" s="9"/>
      <c r="M809" s="9"/>
    </row>
    <row r="810" spans="1:13" ht="15" x14ac:dyDescent="0.25">
      <c r="A810" s="9"/>
      <c r="B810" s="9"/>
      <c r="C810" s="9"/>
      <c r="D810" s="9"/>
      <c r="E810" s="9"/>
      <c r="F810" s="9"/>
      <c r="G810" s="9"/>
      <c r="H810" s="10"/>
      <c r="I810" s="9"/>
      <c r="J810" s="9"/>
      <c r="K810" s="9"/>
      <c r="L810" s="9"/>
      <c r="M810" s="9"/>
    </row>
    <row r="811" spans="1:13" ht="15" x14ac:dyDescent="0.25">
      <c r="A811" s="9"/>
      <c r="B811" s="9"/>
      <c r="C811" s="9"/>
      <c r="D811" s="9"/>
      <c r="E811" s="9"/>
      <c r="F811" s="9"/>
      <c r="G811" s="9"/>
      <c r="H811" s="10"/>
      <c r="I811" s="9"/>
      <c r="J811" s="9"/>
      <c r="K811" s="9"/>
      <c r="L811" s="9"/>
      <c r="M811" s="9"/>
    </row>
    <row r="812" spans="1:13" ht="15" x14ac:dyDescent="0.25">
      <c r="A812" s="9"/>
      <c r="B812" s="9"/>
      <c r="C812" s="9"/>
      <c r="D812" s="9"/>
      <c r="E812" s="9"/>
      <c r="F812" s="9"/>
      <c r="G812" s="9"/>
      <c r="H812" s="10"/>
      <c r="I812" s="9"/>
      <c r="J812" s="9"/>
      <c r="K812" s="9"/>
      <c r="L812" s="9"/>
      <c r="M812" s="9"/>
    </row>
    <row r="813" spans="1:13" ht="15" x14ac:dyDescent="0.25">
      <c r="A813" s="9"/>
      <c r="B813" s="9"/>
      <c r="C813" s="9"/>
      <c r="D813" s="9"/>
      <c r="E813" s="9"/>
      <c r="F813" s="9"/>
      <c r="G813" s="9"/>
      <c r="H813" s="10"/>
      <c r="I813" s="9"/>
      <c r="J813" s="9"/>
      <c r="K813" s="9"/>
      <c r="L813" s="9"/>
      <c r="M813" s="9"/>
    </row>
    <row r="814" spans="1:13" ht="15" x14ac:dyDescent="0.25">
      <c r="A814" s="9"/>
      <c r="B814" s="9"/>
      <c r="C814" s="9"/>
      <c r="D814" s="9"/>
      <c r="E814" s="9"/>
      <c r="F814" s="9"/>
      <c r="G814" s="9"/>
      <c r="H814" s="10"/>
      <c r="I814" s="9"/>
      <c r="J814" s="9"/>
      <c r="K814" s="9"/>
      <c r="L814" s="9"/>
      <c r="M814" s="9"/>
    </row>
    <row r="815" spans="1:13" ht="15" x14ac:dyDescent="0.25">
      <c r="A815" s="9"/>
      <c r="B815" s="9"/>
      <c r="C815" s="9"/>
      <c r="D815" s="9"/>
      <c r="E815" s="9"/>
      <c r="F815" s="9"/>
      <c r="G815" s="9"/>
      <c r="H815" s="10"/>
      <c r="I815" s="9"/>
      <c r="J815" s="9"/>
      <c r="K815" s="9"/>
      <c r="L815" s="9"/>
      <c r="M815" s="9"/>
    </row>
    <row r="816" spans="1:13" ht="15" x14ac:dyDescent="0.25">
      <c r="A816" s="9"/>
      <c r="B816" s="9"/>
      <c r="C816" s="9"/>
      <c r="D816" s="9"/>
      <c r="E816" s="9"/>
      <c r="F816" s="9"/>
      <c r="G816" s="9"/>
      <c r="H816" s="10"/>
      <c r="I816" s="9"/>
      <c r="J816" s="9"/>
      <c r="K816" s="9"/>
      <c r="L816" s="9"/>
      <c r="M816" s="9"/>
    </row>
    <row r="817" spans="1:13" ht="15" x14ac:dyDescent="0.25">
      <c r="A817" s="9"/>
      <c r="B817" s="9"/>
      <c r="C817" s="9"/>
      <c r="D817" s="9"/>
      <c r="E817" s="9"/>
      <c r="F817" s="9"/>
      <c r="G817" s="9"/>
      <c r="H817" s="10"/>
      <c r="I817" s="9"/>
      <c r="J817" s="9"/>
      <c r="K817" s="9"/>
      <c r="L817" s="9"/>
      <c r="M817" s="9"/>
    </row>
    <row r="818" spans="1:13" ht="15" x14ac:dyDescent="0.25">
      <c r="A818" s="9"/>
      <c r="B818" s="9"/>
      <c r="C818" s="9"/>
      <c r="D818" s="9"/>
      <c r="E818" s="9"/>
      <c r="F818" s="9"/>
      <c r="G818" s="9"/>
      <c r="H818" s="10"/>
      <c r="I818" s="9"/>
      <c r="J818" s="9"/>
      <c r="K818" s="9"/>
      <c r="L818" s="9"/>
      <c r="M818" s="9"/>
    </row>
    <row r="819" spans="1:13" ht="15" x14ac:dyDescent="0.25">
      <c r="A819" s="9"/>
      <c r="B819" s="9"/>
      <c r="C819" s="9"/>
      <c r="D819" s="9"/>
      <c r="E819" s="9"/>
      <c r="F819" s="9"/>
      <c r="G819" s="9"/>
      <c r="H819" s="10"/>
      <c r="I819" s="9"/>
      <c r="J819" s="9"/>
      <c r="K819" s="9"/>
      <c r="L819" s="9"/>
      <c r="M819" s="9"/>
    </row>
    <row r="820" spans="1:13" ht="15" x14ac:dyDescent="0.25">
      <c r="A820" s="9"/>
      <c r="B820" s="9"/>
      <c r="C820" s="9"/>
      <c r="D820" s="9"/>
      <c r="E820" s="9"/>
      <c r="F820" s="9"/>
      <c r="G820" s="9"/>
      <c r="H820" s="10"/>
      <c r="I820" s="9"/>
      <c r="J820" s="9"/>
      <c r="K820" s="9"/>
      <c r="L820" s="9"/>
      <c r="M820" s="9"/>
    </row>
    <row r="821" spans="1:13" ht="15" x14ac:dyDescent="0.25">
      <c r="A821" s="9"/>
      <c r="B821" s="9"/>
      <c r="C821" s="9"/>
      <c r="D821" s="9"/>
      <c r="E821" s="9"/>
      <c r="F821" s="9"/>
      <c r="G821" s="9"/>
      <c r="H821" s="10"/>
      <c r="I821" s="9"/>
      <c r="J821" s="9"/>
      <c r="K821" s="9"/>
      <c r="L821" s="9"/>
      <c r="M821" s="9"/>
    </row>
    <row r="822" spans="1:13" ht="15" x14ac:dyDescent="0.25">
      <c r="A822" s="9"/>
      <c r="B822" s="9"/>
      <c r="C822" s="9"/>
      <c r="D822" s="9"/>
      <c r="E822" s="9"/>
      <c r="F822" s="9"/>
      <c r="G822" s="9"/>
      <c r="H822" s="10"/>
      <c r="I822" s="9"/>
      <c r="J822" s="9"/>
      <c r="K822" s="9"/>
      <c r="L822" s="9"/>
      <c r="M822" s="9"/>
    </row>
    <row r="823" spans="1:13" ht="15" x14ac:dyDescent="0.25">
      <c r="A823" s="9"/>
      <c r="B823" s="9"/>
      <c r="C823" s="9"/>
      <c r="D823" s="9"/>
      <c r="E823" s="9"/>
      <c r="F823" s="9"/>
      <c r="G823" s="9"/>
      <c r="H823" s="10"/>
      <c r="I823" s="9"/>
      <c r="J823" s="9"/>
      <c r="K823" s="9"/>
      <c r="L823" s="9"/>
      <c r="M823" s="9"/>
    </row>
    <row r="824" spans="1:13" ht="15" x14ac:dyDescent="0.25">
      <c r="A824" s="9"/>
      <c r="B824" s="9"/>
      <c r="C824" s="9"/>
      <c r="D824" s="9"/>
      <c r="E824" s="9"/>
      <c r="F824" s="9"/>
      <c r="G824" s="9"/>
      <c r="H824" s="10"/>
      <c r="I824" s="9"/>
      <c r="J824" s="9"/>
      <c r="K824" s="9"/>
      <c r="L824" s="9"/>
      <c r="M824" s="9"/>
    </row>
    <row r="825" spans="1:13" ht="15" x14ac:dyDescent="0.25">
      <c r="A825" s="9"/>
      <c r="B825" s="9"/>
      <c r="C825" s="9"/>
      <c r="D825" s="9"/>
      <c r="E825" s="9"/>
      <c r="F825" s="9"/>
      <c r="G825" s="9"/>
      <c r="H825" s="10"/>
      <c r="I825" s="9"/>
      <c r="J825" s="9"/>
      <c r="K825" s="9"/>
      <c r="L825" s="9"/>
      <c r="M825" s="9"/>
    </row>
    <row r="826" spans="1:13" ht="15" x14ac:dyDescent="0.25">
      <c r="A826" s="9"/>
      <c r="B826" s="9"/>
      <c r="C826" s="9"/>
      <c r="D826" s="9"/>
      <c r="E826" s="9"/>
      <c r="F826" s="9"/>
      <c r="G826" s="9"/>
      <c r="H826" s="10"/>
      <c r="I826" s="9"/>
      <c r="J826" s="9"/>
      <c r="K826" s="9"/>
      <c r="L826" s="9"/>
      <c r="M826" s="9"/>
    </row>
    <row r="827" spans="1:13" ht="15" x14ac:dyDescent="0.25">
      <c r="A827" s="9"/>
      <c r="B827" s="9"/>
      <c r="C827" s="9"/>
      <c r="D827" s="9"/>
      <c r="E827" s="9"/>
      <c r="F827" s="9"/>
      <c r="G827" s="9"/>
      <c r="H827" s="10"/>
      <c r="I827" s="9"/>
      <c r="J827" s="9"/>
      <c r="K827" s="9"/>
      <c r="L827" s="9"/>
      <c r="M827" s="9"/>
    </row>
    <row r="828" spans="1:13" ht="15" x14ac:dyDescent="0.25">
      <c r="A828" s="9"/>
      <c r="B828" s="9"/>
      <c r="C828" s="9"/>
      <c r="D828" s="9"/>
      <c r="E828" s="9"/>
      <c r="F828" s="9"/>
      <c r="G828" s="9"/>
      <c r="H828" s="10"/>
      <c r="I828" s="9"/>
      <c r="J828" s="9"/>
      <c r="K828" s="9"/>
      <c r="L828" s="9"/>
      <c r="M828" s="9"/>
    </row>
    <row r="829" spans="1:13" ht="15" x14ac:dyDescent="0.25">
      <c r="A829" s="9"/>
      <c r="B829" s="9"/>
      <c r="C829" s="9"/>
      <c r="D829" s="9"/>
      <c r="E829" s="9"/>
      <c r="F829" s="9"/>
      <c r="G829" s="9"/>
      <c r="H829" s="10"/>
      <c r="I829" s="9"/>
      <c r="J829" s="9"/>
      <c r="K829" s="9"/>
      <c r="L829" s="9"/>
      <c r="M829" s="9"/>
    </row>
    <row r="830" spans="1:13" ht="15" x14ac:dyDescent="0.25">
      <c r="A830" s="9"/>
      <c r="B830" s="9"/>
      <c r="C830" s="9"/>
      <c r="D830" s="9"/>
      <c r="E830" s="9"/>
      <c r="F830" s="9"/>
      <c r="G830" s="9"/>
      <c r="H830" s="10"/>
      <c r="I830" s="9"/>
      <c r="J830" s="9"/>
      <c r="K830" s="9"/>
      <c r="L830" s="9"/>
      <c r="M830" s="9"/>
    </row>
    <row r="831" spans="1:13" ht="15" x14ac:dyDescent="0.25">
      <c r="A831" s="9"/>
      <c r="B831" s="9"/>
      <c r="C831" s="9"/>
      <c r="D831" s="9"/>
      <c r="E831" s="9"/>
      <c r="F831" s="9"/>
      <c r="G831" s="9"/>
      <c r="H831" s="10"/>
      <c r="I831" s="9"/>
      <c r="J831" s="9"/>
      <c r="K831" s="9"/>
      <c r="L831" s="9"/>
      <c r="M831" s="9"/>
    </row>
    <row r="832" spans="1:13" ht="15" x14ac:dyDescent="0.25">
      <c r="A832" s="9"/>
      <c r="B832" s="9"/>
      <c r="C832" s="9"/>
      <c r="D832" s="9"/>
      <c r="E832" s="9"/>
      <c r="F832" s="9"/>
      <c r="G832" s="9"/>
      <c r="H832" s="10"/>
      <c r="I832" s="9"/>
      <c r="J832" s="9"/>
      <c r="K832" s="9"/>
      <c r="L832" s="9"/>
      <c r="M832" s="9"/>
    </row>
    <row r="833" spans="1:13" ht="15" x14ac:dyDescent="0.25">
      <c r="A833" s="9"/>
      <c r="B833" s="9"/>
      <c r="C833" s="9"/>
      <c r="D833" s="9"/>
      <c r="E833" s="9"/>
      <c r="F833" s="9"/>
      <c r="G833" s="9"/>
      <c r="H833" s="10"/>
      <c r="I833" s="9"/>
      <c r="J833" s="9"/>
      <c r="K833" s="9"/>
      <c r="L833" s="9"/>
      <c r="M833" s="9"/>
    </row>
    <row r="834" spans="1:13" ht="15" x14ac:dyDescent="0.25">
      <c r="A834" s="9"/>
      <c r="B834" s="9"/>
      <c r="C834" s="9"/>
      <c r="D834" s="9"/>
      <c r="E834" s="9"/>
      <c r="F834" s="9"/>
      <c r="G834" s="9"/>
      <c r="H834" s="10"/>
      <c r="I834" s="9"/>
      <c r="J834" s="9"/>
      <c r="K834" s="9"/>
      <c r="L834" s="9"/>
      <c r="M834" s="9"/>
    </row>
    <row r="835" spans="1:13" ht="15" x14ac:dyDescent="0.25">
      <c r="A835" s="9"/>
      <c r="B835" s="9"/>
      <c r="C835" s="9"/>
      <c r="D835" s="9"/>
      <c r="E835" s="9"/>
      <c r="F835" s="9"/>
      <c r="G835" s="9"/>
      <c r="H835" s="10"/>
      <c r="I835" s="9"/>
      <c r="J835" s="9"/>
      <c r="K835" s="9"/>
      <c r="L835" s="9"/>
      <c r="M835" s="9"/>
    </row>
    <row r="836" spans="1:13" ht="15" x14ac:dyDescent="0.25">
      <c r="A836" s="9"/>
      <c r="B836" s="9"/>
      <c r="C836" s="9"/>
      <c r="D836" s="9"/>
      <c r="E836" s="9"/>
      <c r="F836" s="9"/>
      <c r="G836" s="9"/>
      <c r="H836" s="10"/>
      <c r="I836" s="9"/>
      <c r="J836" s="9"/>
      <c r="K836" s="9"/>
      <c r="L836" s="9"/>
      <c r="M836" s="9"/>
    </row>
    <row r="837" spans="1:13" ht="15" x14ac:dyDescent="0.25">
      <c r="A837" s="9"/>
      <c r="B837" s="9"/>
      <c r="C837" s="9"/>
      <c r="D837" s="9"/>
      <c r="E837" s="9"/>
      <c r="F837" s="9"/>
      <c r="G837" s="9"/>
      <c r="H837" s="10"/>
      <c r="I837" s="9"/>
      <c r="J837" s="9"/>
      <c r="K837" s="9"/>
      <c r="L837" s="9"/>
      <c r="M837" s="9"/>
    </row>
    <row r="838" spans="1:13" ht="15" x14ac:dyDescent="0.25">
      <c r="A838" s="9"/>
      <c r="B838" s="9"/>
      <c r="C838" s="9"/>
      <c r="D838" s="9"/>
      <c r="E838" s="9"/>
      <c r="F838" s="9"/>
      <c r="G838" s="9"/>
      <c r="H838" s="10"/>
      <c r="I838" s="9"/>
      <c r="J838" s="9"/>
      <c r="K838" s="9"/>
      <c r="L838" s="9"/>
      <c r="M838" s="9"/>
    </row>
    <row r="839" spans="1:13" ht="15" x14ac:dyDescent="0.25">
      <c r="A839" s="9"/>
      <c r="B839" s="9"/>
      <c r="C839" s="9"/>
      <c r="D839" s="9"/>
      <c r="E839" s="9"/>
      <c r="F839" s="9"/>
      <c r="G839" s="9"/>
      <c r="H839" s="10"/>
      <c r="I839" s="9"/>
      <c r="J839" s="9"/>
      <c r="K839" s="9"/>
      <c r="L839" s="9"/>
      <c r="M839" s="9"/>
    </row>
    <row r="840" spans="1:13" ht="15" x14ac:dyDescent="0.25">
      <c r="A840" s="9"/>
      <c r="B840" s="9"/>
      <c r="C840" s="9"/>
      <c r="D840" s="9"/>
      <c r="E840" s="9"/>
      <c r="F840" s="9"/>
      <c r="G840" s="9"/>
      <c r="H840" s="10"/>
      <c r="I840" s="9"/>
      <c r="J840" s="9"/>
      <c r="K840" s="9"/>
      <c r="L840" s="9"/>
      <c r="M840" s="9"/>
    </row>
    <row r="841" spans="1:13" ht="15" x14ac:dyDescent="0.25">
      <c r="A841" s="9"/>
      <c r="B841" s="9"/>
      <c r="C841" s="9"/>
      <c r="D841" s="9"/>
      <c r="E841" s="9"/>
      <c r="F841" s="9"/>
      <c r="G841" s="9"/>
      <c r="H841" s="10"/>
      <c r="I841" s="9"/>
      <c r="J841" s="9"/>
      <c r="K841" s="9"/>
      <c r="L841" s="9"/>
      <c r="M841" s="9"/>
    </row>
    <row r="842" spans="1:13" ht="15" x14ac:dyDescent="0.25">
      <c r="A842" s="9"/>
      <c r="B842" s="9"/>
      <c r="C842" s="9"/>
      <c r="D842" s="9"/>
      <c r="E842" s="9"/>
      <c r="F842" s="9"/>
      <c r="G842" s="9"/>
      <c r="H842" s="10"/>
      <c r="I842" s="9"/>
      <c r="J842" s="9"/>
      <c r="K842" s="9"/>
      <c r="L842" s="9"/>
      <c r="M842" s="9"/>
    </row>
    <row r="843" spans="1:13" ht="15" x14ac:dyDescent="0.25">
      <c r="A843" s="9"/>
      <c r="B843" s="9"/>
      <c r="C843" s="9"/>
      <c r="D843" s="9"/>
      <c r="E843" s="9"/>
      <c r="F843" s="9"/>
      <c r="G843" s="9"/>
      <c r="H843" s="10"/>
      <c r="I843" s="9"/>
      <c r="J843" s="9"/>
      <c r="K843" s="9"/>
      <c r="L843" s="9"/>
      <c r="M843" s="9"/>
    </row>
    <row r="844" spans="1:13" ht="15" x14ac:dyDescent="0.25">
      <c r="A844" s="9"/>
      <c r="B844" s="9"/>
      <c r="C844" s="9"/>
      <c r="D844" s="9"/>
      <c r="E844" s="9"/>
      <c r="F844" s="9"/>
      <c r="G844" s="9"/>
      <c r="H844" s="10"/>
      <c r="I844" s="9"/>
      <c r="J844" s="9"/>
      <c r="K844" s="9"/>
      <c r="L844" s="9"/>
      <c r="M844" s="9"/>
    </row>
    <row r="845" spans="1:13" ht="15" x14ac:dyDescent="0.25">
      <c r="A845" s="9"/>
      <c r="B845" s="9"/>
      <c r="C845" s="9"/>
      <c r="D845" s="9"/>
      <c r="E845" s="9"/>
      <c r="F845" s="9"/>
      <c r="G845" s="9"/>
      <c r="H845" s="10"/>
      <c r="I845" s="9"/>
      <c r="J845" s="9"/>
      <c r="K845" s="9"/>
      <c r="L845" s="9"/>
      <c r="M845" s="9"/>
    </row>
    <row r="846" spans="1:13" ht="15" x14ac:dyDescent="0.25">
      <c r="A846" s="9"/>
      <c r="B846" s="9"/>
      <c r="C846" s="9"/>
      <c r="D846" s="9"/>
      <c r="E846" s="9"/>
      <c r="F846" s="9"/>
      <c r="G846" s="9"/>
      <c r="H846" s="10"/>
      <c r="I846" s="9"/>
      <c r="J846" s="9"/>
      <c r="K846" s="9"/>
      <c r="L846" s="9"/>
      <c r="M846" s="9"/>
    </row>
    <row r="847" spans="1:13" ht="15" x14ac:dyDescent="0.25">
      <c r="A847" s="9"/>
      <c r="B847" s="9"/>
      <c r="C847" s="9"/>
      <c r="D847" s="9"/>
      <c r="E847" s="9"/>
      <c r="F847" s="9"/>
      <c r="G847" s="9"/>
      <c r="H847" s="10"/>
      <c r="I847" s="9"/>
      <c r="J847" s="9"/>
      <c r="K847" s="9"/>
      <c r="L847" s="9"/>
      <c r="M847" s="9"/>
    </row>
    <row r="848" spans="1:13" ht="15" x14ac:dyDescent="0.25">
      <c r="A848" s="9"/>
      <c r="B848" s="9"/>
      <c r="C848" s="9"/>
      <c r="D848" s="9"/>
      <c r="E848" s="9"/>
      <c r="F848" s="9"/>
      <c r="G848" s="9"/>
      <c r="H848" s="10"/>
      <c r="I848" s="9"/>
      <c r="J848" s="9"/>
      <c r="K848" s="9"/>
      <c r="L848" s="9"/>
      <c r="M848" s="9"/>
    </row>
    <row r="849" spans="1:13" ht="15" x14ac:dyDescent="0.25">
      <c r="A849" s="9"/>
      <c r="B849" s="9"/>
      <c r="C849" s="9"/>
      <c r="D849" s="9"/>
      <c r="E849" s="9"/>
      <c r="F849" s="9"/>
      <c r="G849" s="9"/>
      <c r="H849" s="10"/>
      <c r="I849" s="9"/>
      <c r="J849" s="9"/>
      <c r="K849" s="9"/>
      <c r="L849" s="9"/>
      <c r="M849" s="9"/>
    </row>
    <row r="850" spans="1:13" ht="15" x14ac:dyDescent="0.25">
      <c r="A850" s="9"/>
      <c r="B850" s="9"/>
      <c r="C850" s="9"/>
      <c r="D850" s="9"/>
      <c r="E850" s="9"/>
      <c r="F850" s="9"/>
      <c r="G850" s="9"/>
      <c r="H850" s="10"/>
      <c r="I850" s="9"/>
      <c r="J850" s="9"/>
      <c r="K850" s="9"/>
      <c r="L850" s="9"/>
      <c r="M850" s="9"/>
    </row>
    <row r="851" spans="1:13" ht="15" x14ac:dyDescent="0.25">
      <c r="A851" s="9"/>
      <c r="B851" s="9"/>
      <c r="C851" s="9"/>
      <c r="D851" s="9"/>
      <c r="E851" s="9"/>
      <c r="F851" s="9"/>
      <c r="G851" s="9"/>
      <c r="H851" s="10"/>
      <c r="I851" s="9"/>
      <c r="J851" s="9"/>
      <c r="K851" s="9"/>
      <c r="L851" s="9"/>
      <c r="M851" s="9"/>
    </row>
    <row r="852" spans="1:13" ht="15" x14ac:dyDescent="0.25">
      <c r="A852" s="9"/>
      <c r="B852" s="9"/>
      <c r="C852" s="9"/>
      <c r="D852" s="9"/>
      <c r="E852" s="9"/>
      <c r="F852" s="9"/>
      <c r="G852" s="9"/>
      <c r="H852" s="10"/>
      <c r="I852" s="9"/>
      <c r="J852" s="9"/>
      <c r="K852" s="9"/>
      <c r="L852" s="9"/>
      <c r="M852" s="9"/>
    </row>
    <row r="853" spans="1:13" ht="15" x14ac:dyDescent="0.25">
      <c r="A853" s="9"/>
      <c r="B853" s="9"/>
      <c r="C853" s="9"/>
      <c r="D853" s="9"/>
      <c r="E853" s="9"/>
      <c r="F853" s="9"/>
      <c r="G853" s="9"/>
      <c r="H853" s="10"/>
      <c r="I853" s="9"/>
      <c r="J853" s="9"/>
      <c r="K853" s="9"/>
      <c r="L853" s="9"/>
      <c r="M853" s="9"/>
    </row>
    <row r="854" spans="1:13" ht="15" x14ac:dyDescent="0.25">
      <c r="A854" s="9"/>
      <c r="B854" s="9"/>
      <c r="C854" s="9"/>
      <c r="D854" s="9"/>
      <c r="E854" s="9"/>
      <c r="F854" s="9"/>
      <c r="G854" s="9"/>
      <c r="H854" s="10"/>
      <c r="I854" s="9"/>
      <c r="J854" s="9"/>
      <c r="K854" s="9"/>
      <c r="L854" s="9"/>
      <c r="M854" s="9"/>
    </row>
    <row r="855" spans="1:13" ht="15" x14ac:dyDescent="0.25">
      <c r="A855" s="9"/>
      <c r="B855" s="9"/>
      <c r="C855" s="9"/>
      <c r="D855" s="9"/>
      <c r="E855" s="9"/>
      <c r="F855" s="9"/>
      <c r="G855" s="9"/>
      <c r="H855" s="10"/>
      <c r="I855" s="9"/>
      <c r="J855" s="9"/>
      <c r="K855" s="9"/>
      <c r="L855" s="9"/>
      <c r="M855" s="9"/>
    </row>
    <row r="856" spans="1:13" ht="15" x14ac:dyDescent="0.25">
      <c r="A856" s="9"/>
      <c r="B856" s="9"/>
      <c r="C856" s="9"/>
      <c r="D856" s="9"/>
      <c r="E856" s="9"/>
      <c r="F856" s="9"/>
      <c r="G856" s="9"/>
      <c r="H856" s="10"/>
      <c r="I856" s="9"/>
      <c r="J856" s="9"/>
      <c r="K856" s="9"/>
      <c r="L856" s="9"/>
      <c r="M856" s="9"/>
    </row>
    <row r="857" spans="1:13" ht="15" x14ac:dyDescent="0.25">
      <c r="A857" s="9"/>
      <c r="B857" s="9"/>
      <c r="C857" s="9"/>
      <c r="D857" s="9"/>
      <c r="E857" s="9"/>
      <c r="F857" s="9"/>
      <c r="G857" s="9"/>
      <c r="H857" s="10"/>
      <c r="I857" s="9"/>
      <c r="J857" s="9"/>
      <c r="K857" s="9"/>
      <c r="L857" s="9"/>
      <c r="M857" s="9"/>
    </row>
    <row r="858" spans="1:13" ht="15" x14ac:dyDescent="0.25">
      <c r="A858" s="9"/>
      <c r="B858" s="9"/>
      <c r="C858" s="9"/>
      <c r="D858" s="9"/>
      <c r="E858" s="9"/>
      <c r="F858" s="9"/>
      <c r="G858" s="9"/>
      <c r="H858" s="10"/>
      <c r="I858" s="9"/>
      <c r="J858" s="9"/>
      <c r="K858" s="9"/>
      <c r="L858" s="9"/>
      <c r="M858" s="9"/>
    </row>
    <row r="859" spans="1:13" ht="15" x14ac:dyDescent="0.25">
      <c r="A859" s="9"/>
      <c r="B859" s="9"/>
      <c r="C859" s="9"/>
      <c r="D859" s="9"/>
      <c r="E859" s="9"/>
      <c r="F859" s="9"/>
      <c r="G859" s="9"/>
      <c r="H859" s="10"/>
      <c r="I859" s="9"/>
      <c r="J859" s="9"/>
      <c r="K859" s="9"/>
      <c r="L859" s="9"/>
      <c r="M859" s="9"/>
    </row>
    <row r="860" spans="1:13" ht="15" x14ac:dyDescent="0.25">
      <c r="A860" s="9"/>
      <c r="B860" s="9"/>
      <c r="C860" s="9"/>
      <c r="D860" s="9"/>
      <c r="E860" s="9"/>
      <c r="F860" s="9"/>
      <c r="G860" s="9"/>
      <c r="H860" s="10"/>
      <c r="I860" s="9"/>
      <c r="J860" s="9"/>
      <c r="K860" s="9"/>
      <c r="L860" s="9"/>
      <c r="M860" s="9"/>
    </row>
    <row r="861" spans="1:13" ht="15" x14ac:dyDescent="0.25">
      <c r="A861" s="9"/>
      <c r="B861" s="9"/>
      <c r="C861" s="9"/>
      <c r="D861" s="9"/>
      <c r="E861" s="9"/>
      <c r="F861" s="9"/>
      <c r="G861" s="9"/>
      <c r="H861" s="10"/>
      <c r="I861" s="9"/>
      <c r="J861" s="9"/>
      <c r="K861" s="9"/>
      <c r="L861" s="9"/>
      <c r="M861" s="9"/>
    </row>
    <row r="862" spans="1:13" ht="15" x14ac:dyDescent="0.25">
      <c r="A862" s="9"/>
      <c r="B862" s="9"/>
      <c r="C862" s="9"/>
      <c r="D862" s="9"/>
      <c r="E862" s="9"/>
      <c r="F862" s="9"/>
      <c r="G862" s="9"/>
      <c r="H862" s="10"/>
      <c r="I862" s="9"/>
      <c r="J862" s="9"/>
      <c r="K862" s="9"/>
      <c r="L862" s="9"/>
      <c r="M862" s="9"/>
    </row>
    <row r="863" spans="1:13" ht="15" x14ac:dyDescent="0.25">
      <c r="A863" s="9"/>
      <c r="B863" s="9"/>
      <c r="C863" s="9"/>
      <c r="D863" s="9"/>
      <c r="E863" s="9"/>
      <c r="F863" s="9"/>
      <c r="G863" s="9"/>
      <c r="H863" s="10"/>
      <c r="I863" s="9"/>
      <c r="J863" s="9"/>
      <c r="K863" s="9"/>
      <c r="L863" s="9"/>
      <c r="M863" s="9"/>
    </row>
    <row r="864" spans="1:13" ht="15" x14ac:dyDescent="0.25">
      <c r="A864" s="9"/>
      <c r="B864" s="9"/>
      <c r="C864" s="9"/>
      <c r="D864" s="9"/>
      <c r="E864" s="9"/>
      <c r="F864" s="9"/>
      <c r="G864" s="9"/>
      <c r="H864" s="10"/>
      <c r="I864" s="9"/>
      <c r="J864" s="9"/>
      <c r="K864" s="9"/>
      <c r="L864" s="9"/>
      <c r="M864" s="9"/>
    </row>
    <row r="865" spans="1:13" ht="15" x14ac:dyDescent="0.25">
      <c r="A865" s="9"/>
      <c r="B865" s="9"/>
      <c r="C865" s="9"/>
      <c r="D865" s="9"/>
      <c r="E865" s="9"/>
      <c r="F865" s="9"/>
      <c r="G865" s="9"/>
      <c r="H865" s="10"/>
      <c r="I865" s="9"/>
      <c r="J865" s="9"/>
      <c r="K865" s="9"/>
      <c r="L865" s="9"/>
      <c r="M865" s="9"/>
    </row>
    <row r="866" spans="1:13" ht="15" x14ac:dyDescent="0.25">
      <c r="A866" s="9"/>
      <c r="B866" s="9"/>
      <c r="C866" s="9"/>
      <c r="D866" s="9"/>
      <c r="E866" s="9"/>
      <c r="F866" s="9"/>
      <c r="G866" s="9"/>
      <c r="H866" s="10"/>
      <c r="I866" s="9"/>
      <c r="J866" s="9"/>
      <c r="K866" s="9"/>
      <c r="L866" s="9"/>
      <c r="M866" s="9"/>
    </row>
    <row r="867" spans="1:13" ht="15" x14ac:dyDescent="0.25">
      <c r="A867" s="9"/>
      <c r="B867" s="9"/>
      <c r="C867" s="9"/>
      <c r="D867" s="9"/>
      <c r="E867" s="9"/>
      <c r="F867" s="9"/>
      <c r="G867" s="9"/>
      <c r="H867" s="10"/>
      <c r="I867" s="9"/>
      <c r="J867" s="9"/>
      <c r="K867" s="9"/>
      <c r="L867" s="9"/>
      <c r="M867" s="9"/>
    </row>
    <row r="868" spans="1:13" ht="15" x14ac:dyDescent="0.25">
      <c r="A868" s="9"/>
      <c r="B868" s="9"/>
      <c r="C868" s="9"/>
      <c r="D868" s="9"/>
      <c r="E868" s="9"/>
      <c r="F868" s="9"/>
      <c r="G868" s="9"/>
      <c r="H868" s="10"/>
      <c r="I868" s="9"/>
      <c r="J868" s="9"/>
      <c r="K868" s="9"/>
      <c r="L868" s="9"/>
      <c r="M868" s="9"/>
    </row>
    <row r="869" spans="1:13" ht="15" x14ac:dyDescent="0.25">
      <c r="A869" s="9"/>
      <c r="B869" s="9"/>
      <c r="C869" s="9"/>
      <c r="D869" s="9"/>
      <c r="E869" s="9"/>
      <c r="F869" s="9"/>
      <c r="G869" s="9"/>
      <c r="H869" s="10"/>
      <c r="I869" s="9"/>
      <c r="J869" s="9"/>
      <c r="K869" s="9"/>
      <c r="L869" s="9"/>
      <c r="M869" s="9"/>
    </row>
    <row r="870" spans="1:13" ht="15" x14ac:dyDescent="0.25">
      <c r="A870" s="9"/>
      <c r="B870" s="9"/>
      <c r="C870" s="9"/>
      <c r="D870" s="9"/>
      <c r="E870" s="9"/>
      <c r="F870" s="9"/>
      <c r="G870" s="9"/>
      <c r="H870" s="10"/>
      <c r="I870" s="9"/>
      <c r="J870" s="9"/>
      <c r="K870" s="9"/>
      <c r="L870" s="9"/>
      <c r="M870" s="9"/>
    </row>
    <row r="871" spans="1:13" ht="15" x14ac:dyDescent="0.25">
      <c r="A871" s="9"/>
      <c r="B871" s="9"/>
      <c r="C871" s="9"/>
      <c r="D871" s="9"/>
      <c r="E871" s="9"/>
      <c r="F871" s="9"/>
      <c r="G871" s="9"/>
      <c r="H871" s="10"/>
      <c r="I871" s="9"/>
      <c r="J871" s="9"/>
      <c r="K871" s="9"/>
      <c r="L871" s="9"/>
      <c r="M871" s="9"/>
    </row>
    <row r="872" spans="1:13" ht="15" x14ac:dyDescent="0.25">
      <c r="A872" s="9"/>
      <c r="B872" s="9"/>
      <c r="C872" s="9"/>
      <c r="D872" s="9"/>
      <c r="E872" s="9"/>
      <c r="F872" s="9"/>
      <c r="G872" s="9"/>
      <c r="H872" s="10"/>
      <c r="I872" s="9"/>
      <c r="J872" s="9"/>
      <c r="K872" s="9"/>
      <c r="L872" s="9"/>
      <c r="M872" s="9"/>
    </row>
    <row r="873" spans="1:13" ht="15" x14ac:dyDescent="0.25">
      <c r="A873" s="9"/>
      <c r="B873" s="9"/>
      <c r="C873" s="9"/>
      <c r="D873" s="9"/>
      <c r="E873" s="9"/>
      <c r="F873" s="9"/>
      <c r="G873" s="9"/>
      <c r="H873" s="10"/>
      <c r="I873" s="9"/>
      <c r="J873" s="9"/>
      <c r="K873" s="9"/>
      <c r="L873" s="9"/>
      <c r="M873" s="9"/>
    </row>
    <row r="874" spans="1:13" ht="15" x14ac:dyDescent="0.25">
      <c r="A874" s="9"/>
      <c r="B874" s="9"/>
      <c r="C874" s="9"/>
      <c r="D874" s="9"/>
      <c r="E874" s="9"/>
      <c r="F874" s="9"/>
      <c r="G874" s="9"/>
      <c r="H874" s="10"/>
      <c r="I874" s="9"/>
      <c r="J874" s="9"/>
      <c r="K874" s="9"/>
      <c r="L874" s="9"/>
      <c r="M874" s="9"/>
    </row>
    <row r="875" spans="1:13" ht="15" x14ac:dyDescent="0.25">
      <c r="A875" s="9"/>
      <c r="B875" s="9"/>
      <c r="C875" s="9"/>
      <c r="D875" s="9"/>
      <c r="E875" s="9"/>
      <c r="F875" s="9"/>
      <c r="G875" s="9"/>
      <c r="H875" s="10"/>
      <c r="I875" s="9"/>
      <c r="J875" s="9"/>
      <c r="K875" s="9"/>
      <c r="L875" s="9"/>
      <c r="M875" s="9"/>
    </row>
    <row r="876" spans="1:13" ht="15" x14ac:dyDescent="0.25">
      <c r="A876" s="9"/>
      <c r="B876" s="9"/>
      <c r="C876" s="9"/>
      <c r="D876" s="9"/>
      <c r="E876" s="9"/>
      <c r="F876" s="9"/>
      <c r="G876" s="9"/>
      <c r="H876" s="10"/>
      <c r="I876" s="9"/>
      <c r="J876" s="9"/>
      <c r="K876" s="9"/>
      <c r="L876" s="9"/>
      <c r="M876" s="9"/>
    </row>
    <row r="877" spans="1:13" ht="15" x14ac:dyDescent="0.25">
      <c r="A877" s="9"/>
      <c r="B877" s="9"/>
      <c r="C877" s="9"/>
      <c r="D877" s="9"/>
      <c r="E877" s="9"/>
      <c r="F877" s="9"/>
      <c r="G877" s="9"/>
      <c r="H877" s="10"/>
      <c r="I877" s="9"/>
      <c r="J877" s="9"/>
      <c r="K877" s="9"/>
      <c r="L877" s="9"/>
      <c r="M877" s="9"/>
    </row>
    <row r="878" spans="1:13" ht="15" x14ac:dyDescent="0.25">
      <c r="A878" s="9"/>
      <c r="B878" s="9"/>
      <c r="C878" s="9"/>
      <c r="D878" s="9"/>
      <c r="E878" s="9"/>
      <c r="F878" s="9"/>
      <c r="G878" s="9"/>
      <c r="H878" s="10"/>
      <c r="I878" s="9"/>
      <c r="J878" s="9"/>
      <c r="K878" s="9"/>
      <c r="L878" s="9"/>
      <c r="M878" s="9"/>
    </row>
    <row r="879" spans="1:13" ht="15" x14ac:dyDescent="0.25">
      <c r="A879" s="9"/>
      <c r="B879" s="9"/>
      <c r="C879" s="9"/>
      <c r="D879" s="9"/>
      <c r="E879" s="9"/>
      <c r="F879" s="9"/>
      <c r="G879" s="9"/>
      <c r="H879" s="10"/>
      <c r="I879" s="9"/>
      <c r="J879" s="9"/>
      <c r="K879" s="9"/>
      <c r="L879" s="9"/>
      <c r="M879" s="9"/>
    </row>
    <row r="880" spans="1:13" ht="15" x14ac:dyDescent="0.25">
      <c r="A880" s="9"/>
      <c r="B880" s="9"/>
      <c r="C880" s="9"/>
      <c r="D880" s="9"/>
      <c r="E880" s="9"/>
      <c r="F880" s="9"/>
      <c r="G880" s="9"/>
      <c r="H880" s="10"/>
      <c r="I880" s="9"/>
      <c r="J880" s="9"/>
      <c r="K880" s="9"/>
      <c r="L880" s="9"/>
      <c r="M880" s="9"/>
    </row>
    <row r="881" spans="1:13" ht="15" x14ac:dyDescent="0.25">
      <c r="A881" s="9"/>
      <c r="B881" s="9"/>
      <c r="C881" s="9"/>
      <c r="D881" s="9"/>
      <c r="E881" s="9"/>
      <c r="F881" s="9"/>
      <c r="G881" s="9"/>
      <c r="H881" s="10"/>
      <c r="I881" s="9"/>
      <c r="J881" s="9"/>
      <c r="K881" s="9"/>
      <c r="L881" s="9"/>
      <c r="M881" s="9"/>
    </row>
    <row r="882" spans="1:13" ht="15" x14ac:dyDescent="0.25">
      <c r="A882" s="9"/>
      <c r="B882" s="9"/>
      <c r="C882" s="9"/>
      <c r="D882" s="9"/>
      <c r="E882" s="9"/>
      <c r="F882" s="9"/>
      <c r="G882" s="9"/>
      <c r="H882" s="10"/>
      <c r="I882" s="9"/>
      <c r="J882" s="9"/>
      <c r="K882" s="9"/>
      <c r="L882" s="9"/>
      <c r="M882" s="9"/>
    </row>
    <row r="883" spans="1:13" ht="15" x14ac:dyDescent="0.25">
      <c r="A883" s="9"/>
      <c r="B883" s="9"/>
      <c r="C883" s="9"/>
      <c r="D883" s="9"/>
      <c r="E883" s="9"/>
      <c r="F883" s="9"/>
      <c r="G883" s="9"/>
      <c r="H883" s="10"/>
      <c r="I883" s="9"/>
      <c r="J883" s="9"/>
      <c r="K883" s="9"/>
      <c r="L883" s="9"/>
      <c r="M883" s="9"/>
    </row>
    <row r="884" spans="1:13" ht="15" x14ac:dyDescent="0.25">
      <c r="A884" s="9"/>
      <c r="B884" s="9"/>
      <c r="C884" s="9"/>
      <c r="D884" s="9"/>
      <c r="E884" s="9"/>
      <c r="F884" s="9"/>
      <c r="G884" s="9"/>
      <c r="H884" s="10"/>
      <c r="I884" s="9"/>
      <c r="J884" s="9"/>
      <c r="K884" s="9"/>
      <c r="L884" s="9"/>
      <c r="M884" s="9"/>
    </row>
    <row r="885" spans="1:13" ht="15" x14ac:dyDescent="0.25">
      <c r="A885" s="9"/>
      <c r="B885" s="9"/>
      <c r="C885" s="9"/>
      <c r="D885" s="9"/>
      <c r="E885" s="9"/>
      <c r="F885" s="9"/>
      <c r="G885" s="9"/>
      <c r="H885" s="10"/>
      <c r="I885" s="9"/>
      <c r="J885" s="9"/>
      <c r="K885" s="9"/>
      <c r="L885" s="9"/>
      <c r="M885" s="9"/>
    </row>
    <row r="886" spans="1:13" ht="15" x14ac:dyDescent="0.25">
      <c r="A886" s="9"/>
      <c r="B886" s="9"/>
      <c r="C886" s="9"/>
      <c r="D886" s="9"/>
      <c r="E886" s="9"/>
      <c r="F886" s="9"/>
      <c r="G886" s="9"/>
      <c r="H886" s="10"/>
      <c r="I886" s="9"/>
      <c r="J886" s="9"/>
      <c r="K886" s="9"/>
      <c r="L886" s="9"/>
      <c r="M886" s="9"/>
    </row>
    <row r="887" spans="1:13" ht="15" x14ac:dyDescent="0.25">
      <c r="A887" s="9"/>
      <c r="B887" s="9"/>
      <c r="C887" s="9"/>
      <c r="D887" s="9"/>
      <c r="E887" s="9"/>
      <c r="F887" s="9"/>
      <c r="G887" s="9"/>
      <c r="H887" s="10"/>
      <c r="I887" s="9"/>
      <c r="J887" s="9"/>
      <c r="K887" s="9"/>
      <c r="L887" s="9"/>
      <c r="M887" s="9"/>
    </row>
    <row r="888" spans="1:13" ht="15" x14ac:dyDescent="0.25">
      <c r="A888" s="9"/>
      <c r="B888" s="9"/>
      <c r="C888" s="9"/>
      <c r="D888" s="9"/>
      <c r="E888" s="9"/>
      <c r="F888" s="9"/>
      <c r="G888" s="9"/>
      <c r="H888" s="10"/>
      <c r="I888" s="9"/>
      <c r="J888" s="9"/>
      <c r="K888" s="9"/>
      <c r="L888" s="9"/>
      <c r="M888" s="9"/>
    </row>
    <row r="889" spans="1:13" ht="15" x14ac:dyDescent="0.25">
      <c r="A889" s="9"/>
      <c r="B889" s="9"/>
      <c r="C889" s="9"/>
      <c r="D889" s="9"/>
      <c r="E889" s="9"/>
      <c r="F889" s="9"/>
      <c r="G889" s="9"/>
      <c r="H889" s="10"/>
      <c r="I889" s="9"/>
      <c r="J889" s="9"/>
      <c r="K889" s="9"/>
      <c r="L889" s="9"/>
      <c r="M889" s="9"/>
    </row>
    <row r="890" spans="1:13" ht="15" x14ac:dyDescent="0.25">
      <c r="A890" s="9"/>
      <c r="B890" s="9"/>
      <c r="C890" s="9"/>
      <c r="D890" s="9"/>
      <c r="E890" s="9"/>
      <c r="F890" s="9"/>
      <c r="G890" s="9"/>
      <c r="H890" s="10"/>
      <c r="I890" s="9"/>
      <c r="J890" s="9"/>
      <c r="K890" s="9"/>
      <c r="L890" s="9"/>
      <c r="M890" s="9"/>
    </row>
    <row r="891" spans="1:13" ht="15" x14ac:dyDescent="0.25">
      <c r="A891" s="9"/>
      <c r="B891" s="9"/>
      <c r="C891" s="9"/>
      <c r="D891" s="9"/>
      <c r="E891" s="9"/>
      <c r="F891" s="9"/>
      <c r="G891" s="9"/>
      <c r="H891" s="10"/>
      <c r="I891" s="9"/>
      <c r="J891" s="9"/>
      <c r="K891" s="9"/>
      <c r="L891" s="9"/>
      <c r="M891" s="9"/>
    </row>
    <row r="892" spans="1:13" ht="15" x14ac:dyDescent="0.25">
      <c r="A892" s="9"/>
      <c r="B892" s="9"/>
      <c r="C892" s="9"/>
      <c r="D892" s="9"/>
      <c r="E892" s="9"/>
      <c r="F892" s="9"/>
      <c r="G892" s="9"/>
      <c r="H892" s="10"/>
      <c r="I892" s="9"/>
      <c r="J892" s="9"/>
      <c r="K892" s="9"/>
      <c r="L892" s="9"/>
      <c r="M892" s="9"/>
    </row>
    <row r="893" spans="1:13" ht="15" x14ac:dyDescent="0.25">
      <c r="A893" s="9"/>
      <c r="B893" s="9"/>
      <c r="C893" s="9"/>
      <c r="D893" s="9"/>
      <c r="E893" s="9"/>
      <c r="F893" s="9"/>
      <c r="G893" s="9"/>
      <c r="H893" s="10"/>
      <c r="I893" s="9"/>
      <c r="J893" s="9"/>
      <c r="K893" s="9"/>
      <c r="L893" s="9"/>
      <c r="M893" s="9"/>
    </row>
    <row r="894" spans="1:13" ht="15" x14ac:dyDescent="0.25">
      <c r="A894" s="9"/>
      <c r="B894" s="9"/>
      <c r="C894" s="9"/>
      <c r="D894" s="9"/>
      <c r="E894" s="9"/>
      <c r="F894" s="9"/>
      <c r="G894" s="9"/>
      <c r="H894" s="10"/>
      <c r="I894" s="9"/>
      <c r="J894" s="9"/>
      <c r="K894" s="9"/>
      <c r="L894" s="9"/>
      <c r="M894" s="9"/>
    </row>
    <row r="895" spans="1:13" ht="15" x14ac:dyDescent="0.25">
      <c r="A895" s="9"/>
      <c r="B895" s="9"/>
      <c r="C895" s="9"/>
      <c r="D895" s="9"/>
      <c r="E895" s="9"/>
      <c r="F895" s="9"/>
      <c r="G895" s="9"/>
      <c r="H895" s="10"/>
      <c r="I895" s="9"/>
      <c r="J895" s="9"/>
      <c r="K895" s="9"/>
      <c r="L895" s="9"/>
      <c r="M895" s="9"/>
    </row>
    <row r="896" spans="1:13" ht="15" x14ac:dyDescent="0.25">
      <c r="A896" s="9"/>
      <c r="B896" s="9"/>
      <c r="C896" s="9"/>
      <c r="D896" s="9"/>
      <c r="E896" s="9"/>
      <c r="F896" s="9"/>
      <c r="G896" s="9"/>
      <c r="H896" s="10"/>
      <c r="I896" s="9"/>
      <c r="J896" s="9"/>
      <c r="K896" s="9"/>
      <c r="L896" s="9"/>
      <c r="M896" s="9"/>
    </row>
    <row r="897" spans="1:13" ht="15" x14ac:dyDescent="0.25">
      <c r="A897" s="9"/>
      <c r="B897" s="9"/>
      <c r="C897" s="9"/>
      <c r="D897" s="9"/>
      <c r="E897" s="9"/>
      <c r="F897" s="9"/>
      <c r="G897" s="9"/>
      <c r="H897" s="10"/>
      <c r="I897" s="9"/>
      <c r="J897" s="9"/>
      <c r="K897" s="9"/>
      <c r="L897" s="9"/>
      <c r="M897" s="9"/>
    </row>
    <row r="898" spans="1:13" ht="15" x14ac:dyDescent="0.25">
      <c r="A898" s="9"/>
      <c r="B898" s="9"/>
      <c r="C898" s="9"/>
      <c r="D898" s="9"/>
      <c r="E898" s="9"/>
      <c r="F898" s="9"/>
      <c r="G898" s="9"/>
      <c r="H898" s="10"/>
      <c r="I898" s="9"/>
      <c r="J898" s="9"/>
      <c r="K898" s="9"/>
      <c r="L898" s="9"/>
      <c r="M898" s="9"/>
    </row>
    <row r="899" spans="1:13" ht="15" x14ac:dyDescent="0.25">
      <c r="A899" s="9"/>
      <c r="B899" s="9"/>
      <c r="C899" s="9"/>
      <c r="D899" s="9"/>
      <c r="E899" s="9"/>
      <c r="F899" s="9"/>
      <c r="G899" s="9"/>
      <c r="H899" s="10"/>
      <c r="I899" s="9"/>
      <c r="J899" s="9"/>
      <c r="K899" s="9"/>
      <c r="L899" s="9"/>
      <c r="M899" s="9"/>
    </row>
    <row r="900" spans="1:13" ht="15" x14ac:dyDescent="0.25">
      <c r="A900" s="9"/>
      <c r="B900" s="9"/>
      <c r="C900" s="9"/>
      <c r="D900" s="9"/>
      <c r="E900" s="9"/>
      <c r="F900" s="9"/>
      <c r="G900" s="9"/>
      <c r="H900" s="10"/>
      <c r="I900" s="9"/>
      <c r="J900" s="9"/>
      <c r="K900" s="9"/>
      <c r="L900" s="9"/>
      <c r="M900" s="9"/>
    </row>
    <row r="901" spans="1:13" ht="15" x14ac:dyDescent="0.25">
      <c r="A901" s="9"/>
      <c r="B901" s="9"/>
      <c r="C901" s="9"/>
      <c r="D901" s="9"/>
      <c r="E901" s="9"/>
      <c r="F901" s="9"/>
      <c r="G901" s="9"/>
      <c r="H901" s="10"/>
      <c r="I901" s="9"/>
      <c r="J901" s="9"/>
      <c r="K901" s="9"/>
      <c r="L901" s="9"/>
      <c r="M901" s="9"/>
    </row>
    <row r="902" spans="1:13" ht="15" x14ac:dyDescent="0.25">
      <c r="A902" s="9"/>
      <c r="B902" s="9"/>
      <c r="C902" s="9"/>
      <c r="D902" s="9"/>
      <c r="E902" s="9"/>
      <c r="F902" s="9"/>
      <c r="G902" s="9"/>
      <c r="H902" s="10"/>
      <c r="I902" s="9"/>
      <c r="J902" s="9"/>
      <c r="K902" s="9"/>
      <c r="L902" s="9"/>
      <c r="M902" s="9"/>
    </row>
    <row r="903" spans="1:13" ht="15" x14ac:dyDescent="0.25">
      <c r="A903" s="9"/>
      <c r="B903" s="9"/>
      <c r="C903" s="9"/>
      <c r="D903" s="9"/>
      <c r="E903" s="9"/>
      <c r="F903" s="9"/>
      <c r="G903" s="9"/>
      <c r="H903" s="10"/>
      <c r="I903" s="9"/>
      <c r="J903" s="9"/>
      <c r="K903" s="9"/>
      <c r="L903" s="9"/>
      <c r="M903" s="9"/>
    </row>
    <row r="904" spans="1:13" ht="15" x14ac:dyDescent="0.25">
      <c r="A904" s="9"/>
      <c r="B904" s="9"/>
      <c r="C904" s="9"/>
      <c r="D904" s="9"/>
      <c r="E904" s="9"/>
      <c r="F904" s="9"/>
      <c r="G904" s="9"/>
      <c r="H904" s="10"/>
      <c r="I904" s="9"/>
      <c r="J904" s="9"/>
      <c r="K904" s="9"/>
      <c r="L904" s="9"/>
      <c r="M904" s="9"/>
    </row>
    <row r="905" spans="1:13" ht="15" x14ac:dyDescent="0.25">
      <c r="A905" s="9"/>
      <c r="B905" s="9"/>
      <c r="C905" s="9"/>
      <c r="D905" s="9"/>
      <c r="E905" s="9"/>
      <c r="F905" s="9"/>
      <c r="G905" s="9"/>
      <c r="H905" s="10"/>
      <c r="I905" s="9"/>
      <c r="J905" s="9"/>
      <c r="K905" s="9"/>
      <c r="L905" s="9"/>
      <c r="M905" s="9"/>
    </row>
    <row r="906" spans="1:13" ht="15" x14ac:dyDescent="0.25">
      <c r="A906" s="9"/>
      <c r="B906" s="9"/>
      <c r="C906" s="9"/>
      <c r="D906" s="9"/>
      <c r="E906" s="9"/>
      <c r="F906" s="9"/>
      <c r="G906" s="9"/>
      <c r="H906" s="10"/>
      <c r="I906" s="9"/>
      <c r="J906" s="9"/>
      <c r="K906" s="9"/>
      <c r="L906" s="9"/>
      <c r="M906" s="9"/>
    </row>
    <row r="907" spans="1:13" ht="15" x14ac:dyDescent="0.25">
      <c r="A907" s="9"/>
      <c r="B907" s="9"/>
      <c r="C907" s="9"/>
      <c r="D907" s="9"/>
      <c r="E907" s="9"/>
      <c r="F907" s="9"/>
      <c r="G907" s="9"/>
      <c r="H907" s="10"/>
      <c r="I907" s="9"/>
      <c r="J907" s="9"/>
      <c r="K907" s="9"/>
      <c r="L907" s="9"/>
      <c r="M907" s="9"/>
    </row>
    <row r="908" spans="1:13" ht="15" x14ac:dyDescent="0.25">
      <c r="A908" s="9"/>
      <c r="B908" s="9"/>
      <c r="C908" s="9"/>
      <c r="D908" s="9"/>
      <c r="E908" s="9"/>
      <c r="F908" s="9"/>
      <c r="G908" s="9"/>
      <c r="H908" s="10"/>
      <c r="I908" s="9"/>
      <c r="J908" s="9"/>
      <c r="K908" s="9"/>
      <c r="L908" s="9"/>
      <c r="M908" s="9"/>
    </row>
    <row r="909" spans="1:13" ht="15" x14ac:dyDescent="0.25">
      <c r="A909" s="9"/>
      <c r="B909" s="9"/>
      <c r="C909" s="9"/>
      <c r="D909" s="9"/>
      <c r="E909" s="9"/>
      <c r="F909" s="9"/>
      <c r="G909" s="9"/>
      <c r="H909" s="10"/>
      <c r="I909" s="9"/>
      <c r="J909" s="9"/>
      <c r="K909" s="9"/>
      <c r="L909" s="9"/>
      <c r="M909" s="9"/>
    </row>
    <row r="910" spans="1:13" ht="15" x14ac:dyDescent="0.25">
      <c r="A910" s="9"/>
      <c r="B910" s="9"/>
      <c r="C910" s="9"/>
      <c r="D910" s="9"/>
      <c r="E910" s="9"/>
      <c r="F910" s="9"/>
      <c r="G910" s="9"/>
      <c r="H910" s="10"/>
      <c r="I910" s="9"/>
      <c r="J910" s="9"/>
      <c r="K910" s="9"/>
      <c r="L910" s="9"/>
      <c r="M910" s="9"/>
    </row>
    <row r="911" spans="1:13" ht="15" x14ac:dyDescent="0.25">
      <c r="A911" s="9"/>
      <c r="B911" s="9"/>
      <c r="C911" s="9"/>
      <c r="D911" s="9"/>
      <c r="E911" s="9"/>
      <c r="F911" s="9"/>
      <c r="G911" s="9"/>
      <c r="H911" s="10"/>
      <c r="I911" s="9"/>
      <c r="J911" s="9"/>
      <c r="K911" s="9"/>
      <c r="L911" s="9"/>
      <c r="M911" s="9"/>
    </row>
    <row r="912" spans="1:13" ht="15" x14ac:dyDescent="0.25">
      <c r="A912" s="9"/>
      <c r="B912" s="9"/>
      <c r="C912" s="9"/>
      <c r="D912" s="9"/>
      <c r="E912" s="9"/>
      <c r="F912" s="9"/>
      <c r="G912" s="9"/>
      <c r="H912" s="10"/>
      <c r="I912" s="9"/>
      <c r="J912" s="9"/>
      <c r="K912" s="9"/>
      <c r="L912" s="9"/>
      <c r="M912" s="9"/>
    </row>
    <row r="913" spans="1:13" ht="15" x14ac:dyDescent="0.25">
      <c r="A913" s="9"/>
      <c r="B913" s="9"/>
      <c r="C913" s="9"/>
      <c r="D913" s="9"/>
      <c r="E913" s="9"/>
      <c r="F913" s="9"/>
      <c r="G913" s="9"/>
      <c r="H913" s="10"/>
      <c r="I913" s="9"/>
      <c r="J913" s="9"/>
      <c r="K913" s="9"/>
      <c r="L913" s="9"/>
      <c r="M913" s="9"/>
    </row>
    <row r="914" spans="1:13" ht="15" x14ac:dyDescent="0.25">
      <c r="A914" s="9"/>
      <c r="B914" s="9"/>
      <c r="C914" s="9"/>
      <c r="D914" s="9"/>
      <c r="E914" s="9"/>
      <c r="F914" s="9"/>
      <c r="G914" s="9"/>
      <c r="H914" s="10"/>
      <c r="I914" s="9"/>
      <c r="J914" s="9"/>
      <c r="K914" s="9"/>
      <c r="L914" s="9"/>
      <c r="M914" s="9"/>
    </row>
    <row r="915" spans="1:13" ht="15" x14ac:dyDescent="0.25">
      <c r="A915" s="9"/>
      <c r="B915" s="9"/>
      <c r="C915" s="9"/>
      <c r="D915" s="9"/>
      <c r="E915" s="9"/>
      <c r="F915" s="9"/>
      <c r="G915" s="9"/>
      <c r="H915" s="10"/>
      <c r="I915" s="9"/>
      <c r="J915" s="9"/>
      <c r="K915" s="9"/>
      <c r="L915" s="9"/>
      <c r="M915" s="9"/>
    </row>
    <row r="916" spans="1:13" ht="15" x14ac:dyDescent="0.25">
      <c r="A916" s="9"/>
      <c r="B916" s="9"/>
      <c r="C916" s="9"/>
      <c r="D916" s="9"/>
      <c r="E916" s="9"/>
      <c r="F916" s="9"/>
      <c r="G916" s="9"/>
      <c r="H916" s="10"/>
      <c r="I916" s="9"/>
      <c r="J916" s="9"/>
      <c r="K916" s="9"/>
      <c r="L916" s="9"/>
      <c r="M916" s="9"/>
    </row>
    <row r="917" spans="1:13" ht="15" x14ac:dyDescent="0.25">
      <c r="A917" s="9"/>
      <c r="B917" s="9"/>
      <c r="C917" s="9"/>
      <c r="D917" s="9"/>
      <c r="E917" s="9"/>
      <c r="F917" s="9"/>
      <c r="G917" s="9"/>
      <c r="H917" s="10"/>
      <c r="I917" s="9"/>
      <c r="J917" s="9"/>
      <c r="K917" s="9"/>
      <c r="L917" s="9"/>
      <c r="M917" s="9"/>
    </row>
    <row r="918" spans="1:13" ht="15" x14ac:dyDescent="0.25">
      <c r="A918" s="9"/>
      <c r="B918" s="9"/>
      <c r="C918" s="9"/>
      <c r="D918" s="9"/>
      <c r="E918" s="9"/>
      <c r="F918" s="9"/>
      <c r="G918" s="9"/>
      <c r="H918" s="10"/>
      <c r="I918" s="9"/>
      <c r="J918" s="9"/>
      <c r="K918" s="9"/>
      <c r="L918" s="9"/>
      <c r="M918" s="9"/>
    </row>
    <row r="919" spans="1:13" ht="15" x14ac:dyDescent="0.25">
      <c r="A919" s="9"/>
      <c r="B919" s="9"/>
      <c r="C919" s="9"/>
      <c r="D919" s="9"/>
      <c r="E919" s="9"/>
      <c r="F919" s="9"/>
      <c r="G919" s="9"/>
      <c r="H919" s="10"/>
      <c r="I919" s="9"/>
      <c r="J919" s="9"/>
      <c r="K919" s="9"/>
      <c r="L919" s="9"/>
      <c r="M919" s="9"/>
    </row>
    <row r="920" spans="1:13" ht="15" x14ac:dyDescent="0.25">
      <c r="A920" s="9"/>
      <c r="B920" s="9"/>
      <c r="C920" s="9"/>
      <c r="D920" s="9"/>
      <c r="E920" s="9"/>
      <c r="F920" s="9"/>
      <c r="G920" s="9"/>
      <c r="H920" s="10"/>
      <c r="I920" s="9"/>
      <c r="J920" s="9"/>
      <c r="K920" s="9"/>
      <c r="L920" s="9"/>
      <c r="M920" s="9"/>
    </row>
    <row r="921" spans="1:13" ht="15" x14ac:dyDescent="0.25">
      <c r="A921" s="9"/>
      <c r="B921" s="9"/>
      <c r="C921" s="9"/>
      <c r="D921" s="9"/>
      <c r="E921" s="9"/>
      <c r="F921" s="9"/>
      <c r="G921" s="9"/>
      <c r="H921" s="10"/>
      <c r="I921" s="9"/>
      <c r="J921" s="9"/>
      <c r="K921" s="9"/>
      <c r="L921" s="9"/>
      <c r="M921" s="9"/>
    </row>
    <row r="922" spans="1:13" ht="15" x14ac:dyDescent="0.25">
      <c r="A922" s="9"/>
      <c r="B922" s="9"/>
      <c r="C922" s="9"/>
      <c r="D922" s="9"/>
      <c r="E922" s="9"/>
      <c r="F922" s="9"/>
      <c r="G922" s="9"/>
      <c r="H922" s="10"/>
      <c r="I922" s="9"/>
      <c r="J922" s="9"/>
      <c r="K922" s="9"/>
      <c r="L922" s="9"/>
      <c r="M922" s="9"/>
    </row>
    <row r="923" spans="1:13" ht="15" x14ac:dyDescent="0.25">
      <c r="A923" s="9"/>
      <c r="B923" s="9"/>
      <c r="C923" s="9"/>
      <c r="D923" s="9"/>
      <c r="E923" s="9"/>
      <c r="F923" s="9"/>
      <c r="G923" s="9"/>
      <c r="H923" s="10"/>
      <c r="I923" s="9"/>
      <c r="J923" s="9"/>
      <c r="K923" s="9"/>
      <c r="L923" s="9"/>
      <c r="M923" s="9"/>
    </row>
    <row r="924" spans="1:13" ht="15" x14ac:dyDescent="0.25">
      <c r="A924" s="9"/>
      <c r="B924" s="9"/>
      <c r="C924" s="9"/>
      <c r="D924" s="9"/>
      <c r="E924" s="9"/>
      <c r="F924" s="9"/>
      <c r="G924" s="9"/>
      <c r="H924" s="10"/>
      <c r="I924" s="9"/>
      <c r="J924" s="9"/>
      <c r="K924" s="9"/>
      <c r="L924" s="9"/>
      <c r="M924" s="9"/>
    </row>
    <row r="925" spans="1:13" ht="15" x14ac:dyDescent="0.25">
      <c r="A925" s="9"/>
      <c r="B925" s="9"/>
      <c r="C925" s="9"/>
      <c r="D925" s="9"/>
      <c r="E925" s="9"/>
      <c r="F925" s="9"/>
      <c r="G925" s="9"/>
      <c r="H925" s="10"/>
      <c r="I925" s="9"/>
      <c r="J925" s="9"/>
      <c r="K925" s="9"/>
      <c r="L925" s="9"/>
      <c r="M925" s="9"/>
    </row>
    <row r="926" spans="1:13" ht="15" x14ac:dyDescent="0.25">
      <c r="A926" s="9"/>
      <c r="B926" s="9"/>
      <c r="C926" s="9"/>
      <c r="D926" s="9"/>
      <c r="E926" s="9"/>
      <c r="F926" s="9"/>
      <c r="G926" s="9"/>
      <c r="H926" s="10"/>
      <c r="I926" s="9"/>
      <c r="J926" s="9"/>
      <c r="K926" s="9"/>
      <c r="L926" s="9"/>
      <c r="M926" s="9"/>
    </row>
    <row r="927" spans="1:13" ht="15" x14ac:dyDescent="0.25">
      <c r="A927" s="9"/>
      <c r="B927" s="9"/>
      <c r="C927" s="9"/>
      <c r="D927" s="9"/>
      <c r="E927" s="9"/>
      <c r="F927" s="9"/>
      <c r="G927" s="9"/>
      <c r="H927" s="10"/>
      <c r="I927" s="9"/>
      <c r="J927" s="9"/>
      <c r="K927" s="9"/>
      <c r="L927" s="9"/>
      <c r="M927" s="9"/>
    </row>
    <row r="928" spans="1:13" ht="15" x14ac:dyDescent="0.25">
      <c r="A928" s="9"/>
      <c r="B928" s="9"/>
      <c r="C928" s="9"/>
      <c r="D928" s="9"/>
      <c r="E928" s="9"/>
      <c r="F928" s="9"/>
      <c r="G928" s="9"/>
      <c r="H928" s="10"/>
      <c r="I928" s="9"/>
      <c r="J928" s="9"/>
      <c r="K928" s="9"/>
      <c r="L928" s="9"/>
      <c r="M928" s="9"/>
    </row>
    <row r="929" spans="1:13" ht="15" x14ac:dyDescent="0.25">
      <c r="A929" s="9"/>
      <c r="B929" s="9"/>
      <c r="C929" s="9"/>
      <c r="D929" s="9"/>
      <c r="E929" s="9"/>
      <c r="F929" s="9"/>
      <c r="G929" s="9"/>
      <c r="H929" s="10"/>
      <c r="I929" s="9"/>
      <c r="J929" s="9"/>
      <c r="K929" s="9"/>
      <c r="L929" s="9"/>
      <c r="M929" s="9"/>
    </row>
    <row r="930" spans="1:13" ht="15" x14ac:dyDescent="0.25">
      <c r="A930" s="9"/>
      <c r="B930" s="9"/>
      <c r="C930" s="9"/>
      <c r="D930" s="9"/>
      <c r="E930" s="9"/>
      <c r="F930" s="9"/>
      <c r="G930" s="9"/>
      <c r="H930" s="10"/>
      <c r="I930" s="9"/>
      <c r="J930" s="9"/>
      <c r="K930" s="9"/>
      <c r="L930" s="9"/>
      <c r="M930" s="9"/>
    </row>
    <row r="931" spans="1:13" ht="15" x14ac:dyDescent="0.25">
      <c r="A931" s="9"/>
      <c r="B931" s="9"/>
      <c r="C931" s="9"/>
      <c r="D931" s="9"/>
      <c r="E931" s="9"/>
      <c r="F931" s="9"/>
      <c r="G931" s="9"/>
      <c r="H931" s="10"/>
      <c r="I931" s="9"/>
      <c r="J931" s="9"/>
      <c r="K931" s="9"/>
      <c r="L931" s="9"/>
      <c r="M931" s="9"/>
    </row>
    <row r="932" spans="1:13" ht="15" x14ac:dyDescent="0.25">
      <c r="A932" s="9"/>
      <c r="B932" s="9"/>
      <c r="C932" s="9"/>
      <c r="D932" s="9"/>
      <c r="E932" s="9"/>
      <c r="F932" s="9"/>
      <c r="G932" s="9"/>
      <c r="H932" s="10"/>
      <c r="I932" s="9"/>
      <c r="J932" s="9"/>
      <c r="K932" s="9"/>
      <c r="L932" s="9"/>
      <c r="M932" s="9"/>
    </row>
    <row r="933" spans="1:13" ht="15" x14ac:dyDescent="0.25">
      <c r="A933" s="9"/>
      <c r="B933" s="9"/>
      <c r="C933" s="9"/>
      <c r="D933" s="9"/>
      <c r="E933" s="9"/>
      <c r="F933" s="9"/>
      <c r="G933" s="9"/>
      <c r="H933" s="10"/>
      <c r="I933" s="9"/>
      <c r="J933" s="9"/>
      <c r="K933" s="9"/>
      <c r="L933" s="9"/>
      <c r="M933" s="9"/>
    </row>
    <row r="934" spans="1:13" ht="15" x14ac:dyDescent="0.25">
      <c r="A934" s="9"/>
      <c r="B934" s="9"/>
      <c r="C934" s="9"/>
      <c r="D934" s="9"/>
      <c r="E934" s="9"/>
      <c r="F934" s="9"/>
      <c r="G934" s="9"/>
      <c r="H934" s="10"/>
      <c r="I934" s="9"/>
      <c r="J934" s="9"/>
      <c r="K934" s="9"/>
      <c r="L934" s="9"/>
      <c r="M934" s="9"/>
    </row>
    <row r="935" spans="1:13" ht="15" x14ac:dyDescent="0.25">
      <c r="A935" s="9"/>
      <c r="B935" s="9"/>
      <c r="C935" s="9"/>
      <c r="D935" s="9"/>
      <c r="E935" s="9"/>
      <c r="F935" s="9"/>
      <c r="G935" s="9"/>
      <c r="H935" s="10"/>
      <c r="I935" s="9"/>
      <c r="J935" s="9"/>
      <c r="K935" s="9"/>
      <c r="L935" s="9"/>
      <c r="M935" s="9"/>
    </row>
    <row r="936" spans="1:13" ht="15" x14ac:dyDescent="0.25">
      <c r="A936" s="9"/>
      <c r="B936" s="9"/>
      <c r="C936" s="9"/>
      <c r="D936" s="9"/>
      <c r="E936" s="9"/>
      <c r="F936" s="9"/>
      <c r="G936" s="9"/>
      <c r="H936" s="10"/>
      <c r="I936" s="9"/>
      <c r="J936" s="9"/>
      <c r="K936" s="9"/>
      <c r="L936" s="9"/>
      <c r="M936" s="9"/>
    </row>
    <row r="937" spans="1:13" ht="15" x14ac:dyDescent="0.25">
      <c r="A937" s="9"/>
      <c r="B937" s="9"/>
      <c r="C937" s="9"/>
      <c r="D937" s="9"/>
      <c r="E937" s="9"/>
      <c r="F937" s="9"/>
      <c r="G937" s="9"/>
      <c r="H937" s="10"/>
      <c r="I937" s="9"/>
      <c r="J937" s="9"/>
      <c r="K937" s="9"/>
      <c r="L937" s="9"/>
      <c r="M937" s="9"/>
    </row>
    <row r="938" spans="1:13" ht="15" x14ac:dyDescent="0.25">
      <c r="A938" s="9"/>
      <c r="B938" s="9"/>
      <c r="C938" s="9"/>
      <c r="D938" s="9"/>
      <c r="E938" s="9"/>
      <c r="F938" s="9"/>
      <c r="G938" s="9"/>
      <c r="H938" s="10"/>
      <c r="I938" s="9"/>
      <c r="J938" s="9"/>
      <c r="K938" s="9"/>
      <c r="L938" s="9"/>
      <c r="M938" s="9"/>
    </row>
    <row r="939" spans="1:13" ht="15" x14ac:dyDescent="0.25">
      <c r="A939" s="9"/>
      <c r="B939" s="9"/>
      <c r="C939" s="9"/>
      <c r="D939" s="9"/>
      <c r="E939" s="9"/>
      <c r="F939" s="9"/>
      <c r="G939" s="9"/>
      <c r="H939" s="10"/>
      <c r="I939" s="9"/>
      <c r="J939" s="9"/>
      <c r="K939" s="9"/>
      <c r="L939" s="9"/>
      <c r="M939" s="9"/>
    </row>
    <row r="940" spans="1:13" ht="15" x14ac:dyDescent="0.25">
      <c r="A940" s="9"/>
      <c r="B940" s="9"/>
      <c r="C940" s="9"/>
      <c r="D940" s="9"/>
      <c r="E940" s="9"/>
      <c r="F940" s="9"/>
      <c r="G940" s="9"/>
      <c r="H940" s="10"/>
      <c r="I940" s="9"/>
      <c r="J940" s="9"/>
      <c r="K940" s="9"/>
      <c r="L940" s="9"/>
      <c r="M940" s="9"/>
    </row>
    <row r="941" spans="1:13" ht="15" x14ac:dyDescent="0.25">
      <c r="A941" s="9"/>
      <c r="B941" s="9"/>
      <c r="C941" s="9"/>
      <c r="D941" s="9"/>
      <c r="E941" s="9"/>
      <c r="F941" s="9"/>
      <c r="G941" s="9"/>
      <c r="H941" s="10"/>
      <c r="I941" s="9"/>
      <c r="J941" s="9"/>
      <c r="K941" s="9"/>
      <c r="L941" s="9"/>
      <c r="M941" s="9"/>
    </row>
    <row r="942" spans="1:13" ht="15" x14ac:dyDescent="0.25">
      <c r="A942" s="9"/>
      <c r="B942" s="9"/>
      <c r="C942" s="9"/>
      <c r="D942" s="9"/>
      <c r="E942" s="9"/>
      <c r="F942" s="9"/>
      <c r="G942" s="9"/>
      <c r="H942" s="10"/>
      <c r="I942" s="9"/>
      <c r="J942" s="9"/>
      <c r="K942" s="9"/>
      <c r="L942" s="9"/>
      <c r="M942" s="9"/>
    </row>
    <row r="943" spans="1:13" ht="15" x14ac:dyDescent="0.25">
      <c r="A943" s="9"/>
      <c r="B943" s="9"/>
      <c r="C943" s="9"/>
      <c r="D943" s="9"/>
      <c r="E943" s="9"/>
      <c r="F943" s="9"/>
      <c r="G943" s="9"/>
      <c r="H943" s="10"/>
      <c r="I943" s="9"/>
      <c r="J943" s="9"/>
      <c r="K943" s="9"/>
      <c r="L943" s="9"/>
      <c r="M943" s="9"/>
    </row>
    <row r="944" spans="1:13" ht="15" x14ac:dyDescent="0.25">
      <c r="A944" s="9"/>
      <c r="B944" s="9"/>
      <c r="C944" s="9"/>
      <c r="D944" s="9"/>
      <c r="E944" s="9"/>
      <c r="F944" s="9"/>
      <c r="G944" s="9"/>
      <c r="H944" s="10"/>
      <c r="I944" s="9"/>
      <c r="J944" s="9"/>
      <c r="K944" s="9"/>
      <c r="L944" s="9"/>
      <c r="M944" s="9"/>
    </row>
    <row r="945" spans="1:13" ht="15" x14ac:dyDescent="0.25">
      <c r="A945" s="9"/>
      <c r="B945" s="9"/>
      <c r="C945" s="9"/>
      <c r="D945" s="9"/>
      <c r="E945" s="9"/>
      <c r="F945" s="9"/>
      <c r="G945" s="9"/>
      <c r="H945" s="10"/>
      <c r="I945" s="9"/>
      <c r="J945" s="9"/>
      <c r="K945" s="9"/>
      <c r="L945" s="9"/>
      <c r="M945" s="9"/>
    </row>
    <row r="946" spans="1:13" ht="15" x14ac:dyDescent="0.25">
      <c r="A946" s="9"/>
      <c r="B946" s="9"/>
      <c r="C946" s="9"/>
      <c r="D946" s="9"/>
      <c r="E946" s="9"/>
      <c r="F946" s="9"/>
      <c r="G946" s="9"/>
      <c r="H946" s="10"/>
      <c r="I946" s="9"/>
      <c r="J946" s="9"/>
      <c r="K946" s="9"/>
      <c r="L946" s="9"/>
      <c r="M946" s="9"/>
    </row>
    <row r="947" spans="1:13" ht="15" x14ac:dyDescent="0.25">
      <c r="A947" s="9"/>
      <c r="B947" s="9"/>
      <c r="C947" s="9"/>
      <c r="D947" s="9"/>
      <c r="E947" s="9"/>
      <c r="F947" s="9"/>
      <c r="G947" s="9"/>
      <c r="H947" s="10"/>
      <c r="I947" s="9"/>
      <c r="J947" s="9"/>
      <c r="K947" s="9"/>
      <c r="L947" s="9"/>
      <c r="M947" s="9"/>
    </row>
    <row r="948" spans="1:13" ht="15" x14ac:dyDescent="0.25">
      <c r="A948" s="9"/>
      <c r="B948" s="9"/>
      <c r="C948" s="9"/>
      <c r="D948" s="9"/>
      <c r="E948" s="9"/>
      <c r="F948" s="9"/>
      <c r="G948" s="9"/>
      <c r="H948" s="10"/>
      <c r="I948" s="9"/>
      <c r="J948" s="9"/>
      <c r="K948" s="9"/>
      <c r="L948" s="9"/>
      <c r="M948" s="9"/>
    </row>
    <row r="949" spans="1:13" ht="15" x14ac:dyDescent="0.25">
      <c r="A949" s="9"/>
      <c r="B949" s="9"/>
      <c r="C949" s="9"/>
      <c r="D949" s="9"/>
      <c r="E949" s="9"/>
      <c r="F949" s="9"/>
      <c r="G949" s="9"/>
      <c r="H949" s="10"/>
      <c r="I949" s="9"/>
      <c r="J949" s="9"/>
      <c r="K949" s="9"/>
      <c r="L949" s="9"/>
      <c r="M949" s="9"/>
    </row>
    <row r="950" spans="1:13" ht="15" x14ac:dyDescent="0.25">
      <c r="A950" s="9"/>
      <c r="B950" s="9"/>
      <c r="C950" s="9"/>
      <c r="D950" s="9"/>
      <c r="E950" s="9"/>
      <c r="F950" s="9"/>
      <c r="G950" s="9"/>
      <c r="H950" s="10"/>
      <c r="I950" s="9"/>
      <c r="J950" s="9"/>
      <c r="K950" s="9"/>
      <c r="L950" s="9"/>
      <c r="M950" s="9"/>
    </row>
    <row r="951" spans="1:13" ht="15" x14ac:dyDescent="0.25">
      <c r="A951" s="9"/>
      <c r="B951" s="9"/>
      <c r="C951" s="9"/>
      <c r="D951" s="9"/>
      <c r="E951" s="9"/>
      <c r="F951" s="9"/>
      <c r="G951" s="9"/>
      <c r="H951" s="10"/>
      <c r="I951" s="9"/>
      <c r="J951" s="9"/>
      <c r="K951" s="9"/>
      <c r="L951" s="9"/>
      <c r="M951" s="9"/>
    </row>
    <row r="952" spans="1:13" ht="15" x14ac:dyDescent="0.25">
      <c r="A952" s="9"/>
      <c r="B952" s="9"/>
      <c r="C952" s="9"/>
      <c r="D952" s="9"/>
      <c r="E952" s="9"/>
      <c r="F952" s="9"/>
      <c r="G952" s="9"/>
      <c r="H952" s="10"/>
      <c r="I952" s="9"/>
      <c r="J952" s="9"/>
      <c r="K952" s="9"/>
      <c r="L952" s="9"/>
      <c r="M952" s="9"/>
    </row>
    <row r="953" spans="1:13" ht="15" x14ac:dyDescent="0.25">
      <c r="A953" s="9"/>
      <c r="B953" s="9"/>
      <c r="C953" s="9"/>
      <c r="D953" s="9"/>
      <c r="E953" s="9"/>
      <c r="F953" s="9"/>
      <c r="G953" s="9"/>
      <c r="H953" s="10"/>
      <c r="I953" s="9"/>
      <c r="J953" s="9"/>
      <c r="K953" s="9"/>
      <c r="L953" s="9"/>
      <c r="M953" s="9"/>
    </row>
    <row r="954" spans="1:13" ht="15" x14ac:dyDescent="0.25">
      <c r="A954" s="9"/>
      <c r="B954" s="9"/>
      <c r="C954" s="9"/>
      <c r="D954" s="9"/>
      <c r="E954" s="9"/>
      <c r="F954" s="9"/>
      <c r="G954" s="9"/>
      <c r="H954" s="10"/>
      <c r="I954" s="9"/>
      <c r="J954" s="9"/>
      <c r="K954" s="9"/>
      <c r="L954" s="9"/>
      <c r="M954" s="9"/>
    </row>
    <row r="955" spans="1:13" ht="15" x14ac:dyDescent="0.25">
      <c r="A955" s="9"/>
      <c r="B955" s="9"/>
      <c r="C955" s="9"/>
      <c r="D955" s="9"/>
      <c r="E955" s="9"/>
      <c r="F955" s="9"/>
      <c r="G955" s="9"/>
      <c r="H955" s="10"/>
      <c r="I955" s="9"/>
      <c r="J955" s="9"/>
      <c r="K955" s="9"/>
      <c r="L955" s="9"/>
      <c r="M955" s="9"/>
    </row>
    <row r="956" spans="1:13" ht="15" x14ac:dyDescent="0.25">
      <c r="A956" s="9"/>
      <c r="B956" s="9"/>
      <c r="C956" s="9"/>
      <c r="D956" s="9"/>
      <c r="E956" s="9"/>
      <c r="F956" s="9"/>
      <c r="G956" s="9"/>
      <c r="H956" s="10"/>
      <c r="I956" s="9"/>
      <c r="J956" s="9"/>
      <c r="K956" s="9"/>
      <c r="L956" s="9"/>
      <c r="M956" s="9"/>
    </row>
    <row r="957" spans="1:13" ht="15" x14ac:dyDescent="0.25">
      <c r="A957" s="9"/>
      <c r="B957" s="9"/>
      <c r="C957" s="9"/>
      <c r="D957" s="9"/>
      <c r="E957" s="9"/>
      <c r="F957" s="9"/>
      <c r="G957" s="9"/>
      <c r="H957" s="10"/>
      <c r="I957" s="9"/>
      <c r="J957" s="9"/>
      <c r="K957" s="9"/>
      <c r="L957" s="9"/>
      <c r="M957" s="9"/>
    </row>
    <row r="958" spans="1:13" ht="15" x14ac:dyDescent="0.25">
      <c r="A958" s="9"/>
      <c r="B958" s="9"/>
      <c r="C958" s="9"/>
      <c r="D958" s="9"/>
      <c r="E958" s="9"/>
      <c r="F958" s="9"/>
      <c r="G958" s="9"/>
      <c r="H958" s="10"/>
      <c r="I958" s="9"/>
      <c r="J958" s="9"/>
      <c r="K958" s="9"/>
      <c r="L958" s="9"/>
      <c r="M958" s="9"/>
    </row>
    <row r="959" spans="1:13" ht="15" x14ac:dyDescent="0.25">
      <c r="A959" s="9"/>
      <c r="B959" s="9"/>
      <c r="C959" s="9"/>
      <c r="D959" s="9"/>
      <c r="E959" s="9"/>
      <c r="F959" s="9"/>
      <c r="G959" s="9"/>
      <c r="H959" s="10"/>
      <c r="I959" s="9"/>
      <c r="J959" s="9"/>
      <c r="K959" s="9"/>
      <c r="L959" s="9"/>
      <c r="M959" s="9"/>
    </row>
    <row r="960" spans="1:13" ht="15" x14ac:dyDescent="0.25">
      <c r="A960" s="9"/>
      <c r="B960" s="9"/>
      <c r="C960" s="9"/>
      <c r="D960" s="9"/>
      <c r="E960" s="9"/>
      <c r="F960" s="9"/>
      <c r="G960" s="9"/>
      <c r="H960" s="10"/>
      <c r="I960" s="9"/>
      <c r="J960" s="9"/>
      <c r="K960" s="9"/>
      <c r="L960" s="9"/>
      <c r="M960" s="9"/>
    </row>
    <row r="961" spans="1:13" ht="15" x14ac:dyDescent="0.25">
      <c r="A961" s="9"/>
      <c r="B961" s="9"/>
      <c r="C961" s="9"/>
      <c r="D961" s="9"/>
      <c r="E961" s="9"/>
      <c r="F961" s="9"/>
      <c r="G961" s="9"/>
      <c r="H961" s="10"/>
      <c r="I961" s="9"/>
      <c r="J961" s="9"/>
      <c r="K961" s="9"/>
      <c r="L961" s="9"/>
      <c r="M961" s="9"/>
    </row>
    <row r="962" spans="1:13" ht="15" x14ac:dyDescent="0.25">
      <c r="A962" s="9"/>
      <c r="B962" s="9"/>
      <c r="C962" s="9"/>
      <c r="D962" s="9"/>
      <c r="E962" s="9"/>
      <c r="F962" s="9"/>
      <c r="G962" s="9"/>
      <c r="H962" s="10"/>
      <c r="I962" s="9"/>
      <c r="J962" s="9"/>
      <c r="K962" s="9"/>
      <c r="L962" s="9"/>
      <c r="M962" s="9"/>
    </row>
    <row r="963" spans="1:13" ht="15" x14ac:dyDescent="0.25">
      <c r="A963" s="9"/>
      <c r="B963" s="9"/>
      <c r="C963" s="9"/>
      <c r="D963" s="9"/>
      <c r="E963" s="9"/>
      <c r="F963" s="9"/>
      <c r="G963" s="9"/>
      <c r="H963" s="10"/>
      <c r="I963" s="9"/>
      <c r="J963" s="9"/>
      <c r="K963" s="9"/>
      <c r="L963" s="9"/>
      <c r="M963" s="9"/>
    </row>
    <row r="964" spans="1:13" ht="15" x14ac:dyDescent="0.25">
      <c r="A964" s="9"/>
      <c r="B964" s="9"/>
      <c r="C964" s="9"/>
      <c r="D964" s="9"/>
      <c r="E964" s="9"/>
      <c r="F964" s="9"/>
      <c r="G964" s="9"/>
      <c r="H964" s="10"/>
      <c r="I964" s="9"/>
      <c r="J964" s="9"/>
      <c r="K964" s="9"/>
      <c r="L964" s="9"/>
      <c r="M964" s="9"/>
    </row>
    <row r="965" spans="1:13" ht="15" x14ac:dyDescent="0.25">
      <c r="A965" s="9"/>
      <c r="B965" s="9"/>
      <c r="C965" s="9"/>
      <c r="D965" s="9"/>
      <c r="E965" s="9"/>
      <c r="F965" s="9"/>
      <c r="G965" s="9"/>
      <c r="H965" s="10"/>
      <c r="I965" s="9"/>
      <c r="J965" s="9"/>
      <c r="K965" s="9"/>
      <c r="L965" s="9"/>
      <c r="M965" s="9"/>
    </row>
    <row r="966" spans="1:13" ht="15" x14ac:dyDescent="0.25">
      <c r="A966" s="9"/>
      <c r="B966" s="9"/>
      <c r="C966" s="9"/>
      <c r="D966" s="9"/>
      <c r="E966" s="9"/>
      <c r="F966" s="9"/>
      <c r="G966" s="9"/>
      <c r="H966" s="10"/>
      <c r="I966" s="9"/>
      <c r="J966" s="9"/>
      <c r="K966" s="9"/>
      <c r="L966" s="9"/>
      <c r="M966" s="9"/>
    </row>
    <row r="967" spans="1:13" ht="15" x14ac:dyDescent="0.25">
      <c r="A967" s="9"/>
      <c r="B967" s="9"/>
      <c r="C967" s="9"/>
      <c r="D967" s="9"/>
      <c r="E967" s="9"/>
      <c r="F967" s="9"/>
      <c r="G967" s="9"/>
      <c r="H967" s="10"/>
      <c r="I967" s="9"/>
      <c r="J967" s="9"/>
      <c r="K967" s="9"/>
      <c r="L967" s="9"/>
      <c r="M967" s="9"/>
    </row>
    <row r="968" spans="1:13" ht="15" x14ac:dyDescent="0.25">
      <c r="A968" s="9"/>
      <c r="B968" s="9"/>
      <c r="C968" s="9"/>
      <c r="D968" s="9"/>
      <c r="E968" s="9"/>
      <c r="F968" s="9"/>
      <c r="G968" s="9"/>
      <c r="H968" s="10"/>
      <c r="I968" s="9"/>
      <c r="J968" s="9"/>
      <c r="K968" s="9"/>
      <c r="L968" s="9"/>
      <c r="M968" s="9"/>
    </row>
    <row r="969" spans="1:13" ht="15" x14ac:dyDescent="0.25">
      <c r="A969" s="9"/>
      <c r="B969" s="9"/>
      <c r="C969" s="9"/>
      <c r="D969" s="9"/>
      <c r="E969" s="9"/>
      <c r="F969" s="9"/>
      <c r="G969" s="9"/>
      <c r="H969" s="10"/>
      <c r="I969" s="9"/>
      <c r="J969" s="9"/>
      <c r="K969" s="9"/>
      <c r="L969" s="9"/>
      <c r="M969" s="9"/>
    </row>
    <row r="970" spans="1:13" ht="15" x14ac:dyDescent="0.25">
      <c r="A970" s="9"/>
      <c r="B970" s="9"/>
      <c r="C970" s="9"/>
      <c r="D970" s="9"/>
      <c r="E970" s="9"/>
      <c r="F970" s="9"/>
      <c r="G970" s="9"/>
      <c r="H970" s="10"/>
      <c r="I970" s="9"/>
      <c r="J970" s="9"/>
      <c r="K970" s="9"/>
      <c r="L970" s="9"/>
      <c r="M970" s="9"/>
    </row>
    <row r="971" spans="1:13" ht="15" x14ac:dyDescent="0.25">
      <c r="A971" s="9"/>
      <c r="B971" s="9"/>
      <c r="C971" s="9"/>
      <c r="D971" s="9"/>
      <c r="E971" s="9"/>
      <c r="F971" s="9"/>
      <c r="G971" s="9"/>
      <c r="H971" s="10"/>
      <c r="I971" s="9"/>
      <c r="J971" s="9"/>
      <c r="K971" s="9"/>
      <c r="L971" s="9"/>
      <c r="M971" s="9"/>
    </row>
    <row r="972" spans="1:13" ht="15" x14ac:dyDescent="0.25">
      <c r="A972" s="9"/>
      <c r="B972" s="9"/>
      <c r="C972" s="9"/>
      <c r="D972" s="9"/>
      <c r="E972" s="9"/>
      <c r="F972" s="9"/>
      <c r="G972" s="9"/>
      <c r="H972" s="10"/>
      <c r="I972" s="9"/>
      <c r="J972" s="9"/>
      <c r="K972" s="9"/>
      <c r="L972" s="9"/>
      <c r="M972" s="9"/>
    </row>
    <row r="973" spans="1:13" ht="15" x14ac:dyDescent="0.25">
      <c r="A973" s="9"/>
      <c r="B973" s="9"/>
      <c r="C973" s="9"/>
      <c r="D973" s="9"/>
      <c r="E973" s="9"/>
      <c r="F973" s="9"/>
      <c r="G973" s="9"/>
      <c r="H973" s="10"/>
      <c r="I973" s="9"/>
      <c r="J973" s="9"/>
      <c r="K973" s="9"/>
      <c r="L973" s="9"/>
      <c r="M973" s="9"/>
    </row>
    <row r="974" spans="1:13" ht="15" x14ac:dyDescent="0.25">
      <c r="A974" s="9"/>
      <c r="B974" s="9"/>
      <c r="C974" s="9"/>
      <c r="D974" s="9"/>
      <c r="E974" s="9"/>
      <c r="F974" s="9"/>
      <c r="G974" s="9"/>
      <c r="H974" s="10"/>
      <c r="I974" s="9"/>
      <c r="J974" s="9"/>
      <c r="K974" s="9"/>
      <c r="L974" s="9"/>
      <c r="M974" s="9"/>
    </row>
    <row r="975" spans="1:13" ht="15" x14ac:dyDescent="0.25">
      <c r="A975" s="9"/>
      <c r="B975" s="9"/>
      <c r="C975" s="9"/>
      <c r="D975" s="9"/>
      <c r="E975" s="9"/>
      <c r="F975" s="9"/>
      <c r="G975" s="9"/>
      <c r="H975" s="10"/>
      <c r="I975" s="9"/>
      <c r="J975" s="9"/>
      <c r="K975" s="9"/>
      <c r="L975" s="9"/>
      <c r="M975" s="9"/>
    </row>
    <row r="976" spans="1:13" ht="15" x14ac:dyDescent="0.25">
      <c r="A976" s="9"/>
      <c r="B976" s="9"/>
      <c r="C976" s="9"/>
      <c r="D976" s="9"/>
      <c r="E976" s="9"/>
      <c r="F976" s="9"/>
      <c r="G976" s="9"/>
      <c r="H976" s="10"/>
      <c r="I976" s="9"/>
      <c r="J976" s="9"/>
      <c r="K976" s="9"/>
      <c r="L976" s="9"/>
      <c r="M976" s="9"/>
    </row>
    <row r="977" spans="1:13" ht="15" x14ac:dyDescent="0.25">
      <c r="A977" s="9"/>
      <c r="B977" s="9"/>
      <c r="C977" s="9"/>
      <c r="D977" s="9"/>
      <c r="E977" s="9"/>
      <c r="F977" s="9"/>
      <c r="G977" s="9"/>
      <c r="H977" s="10"/>
      <c r="I977" s="9"/>
      <c r="J977" s="9"/>
      <c r="K977" s="9"/>
      <c r="L977" s="9"/>
      <c r="M977" s="9"/>
    </row>
    <row r="978" spans="1:13" ht="15" x14ac:dyDescent="0.25">
      <c r="A978" s="9"/>
      <c r="B978" s="9"/>
      <c r="C978" s="9"/>
      <c r="D978" s="9"/>
      <c r="E978" s="9"/>
      <c r="F978" s="9"/>
      <c r="G978" s="9"/>
      <c r="H978" s="10"/>
      <c r="I978" s="9"/>
      <c r="J978" s="9"/>
      <c r="K978" s="9"/>
      <c r="L978" s="9"/>
      <c r="M978" s="9"/>
    </row>
    <row r="979" spans="1:13" ht="15" x14ac:dyDescent="0.25">
      <c r="A979" s="9"/>
      <c r="B979" s="9"/>
      <c r="C979" s="9"/>
      <c r="D979" s="9"/>
      <c r="E979" s="9"/>
      <c r="F979" s="9"/>
      <c r="G979" s="9"/>
      <c r="H979" s="10"/>
      <c r="I979" s="9"/>
      <c r="J979" s="9"/>
      <c r="K979" s="9"/>
      <c r="L979" s="9"/>
      <c r="M979" s="9"/>
    </row>
    <row r="980" spans="1:13" ht="15" x14ac:dyDescent="0.25">
      <c r="A980" s="9"/>
      <c r="B980" s="9"/>
      <c r="C980" s="9"/>
      <c r="D980" s="9"/>
      <c r="E980" s="9"/>
      <c r="F980" s="9"/>
      <c r="G980" s="9"/>
      <c r="H980" s="10"/>
      <c r="I980" s="9"/>
      <c r="J980" s="9"/>
      <c r="K980" s="9"/>
      <c r="L980" s="9"/>
      <c r="M980" s="9"/>
    </row>
    <row r="981" spans="1:13" ht="15" x14ac:dyDescent="0.25">
      <c r="A981" s="9"/>
      <c r="B981" s="9"/>
      <c r="C981" s="9"/>
      <c r="D981" s="9"/>
      <c r="E981" s="9"/>
      <c r="F981" s="9"/>
      <c r="G981" s="9"/>
      <c r="H981" s="10"/>
      <c r="I981" s="9"/>
      <c r="J981" s="9"/>
      <c r="K981" s="9"/>
      <c r="L981" s="9"/>
      <c r="M981" s="9"/>
    </row>
    <row r="982" spans="1:13" ht="15" x14ac:dyDescent="0.25">
      <c r="A982" s="9"/>
      <c r="B982" s="9"/>
      <c r="C982" s="9"/>
      <c r="D982" s="9"/>
      <c r="E982" s="9"/>
      <c r="F982" s="9"/>
      <c r="G982" s="9"/>
      <c r="H982" s="10"/>
      <c r="I982" s="9"/>
      <c r="J982" s="9"/>
      <c r="K982" s="9"/>
      <c r="L982" s="9"/>
      <c r="M982" s="9"/>
    </row>
    <row r="983" spans="1:13" ht="15" x14ac:dyDescent="0.25">
      <c r="A983" s="9"/>
      <c r="B983" s="9"/>
      <c r="C983" s="9"/>
      <c r="D983" s="9"/>
      <c r="E983" s="9"/>
      <c r="F983" s="9"/>
      <c r="G983" s="9"/>
      <c r="H983" s="10"/>
      <c r="I983" s="9"/>
      <c r="J983" s="9"/>
      <c r="K983" s="9"/>
      <c r="L983" s="9"/>
      <c r="M983" s="9"/>
    </row>
    <row r="984" spans="1:13" ht="15" x14ac:dyDescent="0.25">
      <c r="A984" s="9"/>
      <c r="B984" s="9"/>
      <c r="C984" s="9"/>
      <c r="D984" s="9"/>
      <c r="E984" s="9"/>
      <c r="F984" s="9"/>
      <c r="G984" s="9"/>
      <c r="H984" s="10"/>
      <c r="I984" s="9"/>
      <c r="J984" s="9"/>
      <c r="K984" s="9"/>
      <c r="L984" s="9"/>
      <c r="M984" s="9"/>
    </row>
    <row r="985" spans="1:13" ht="15" x14ac:dyDescent="0.25">
      <c r="A985" s="9"/>
      <c r="B985" s="9"/>
      <c r="C985" s="9"/>
      <c r="D985" s="9"/>
      <c r="E985" s="9"/>
      <c r="F985" s="9"/>
      <c r="G985" s="9"/>
      <c r="H985" s="10"/>
      <c r="I985" s="9"/>
      <c r="J985" s="9"/>
      <c r="K985" s="9"/>
      <c r="L985" s="9"/>
      <c r="M985" s="9"/>
    </row>
    <row r="986" spans="1:13" ht="15" x14ac:dyDescent="0.25">
      <c r="A986" s="9"/>
      <c r="B986" s="9"/>
      <c r="C986" s="9"/>
      <c r="D986" s="9"/>
      <c r="E986" s="9"/>
      <c r="F986" s="9"/>
      <c r="G986" s="9"/>
      <c r="H986" s="10"/>
      <c r="I986" s="9"/>
      <c r="J986" s="9"/>
      <c r="K986" s="9"/>
      <c r="L986" s="9"/>
      <c r="M986" s="9"/>
    </row>
    <row r="987" spans="1:13" ht="15" x14ac:dyDescent="0.25">
      <c r="A987" s="9"/>
      <c r="B987" s="9"/>
      <c r="C987" s="9"/>
      <c r="D987" s="9"/>
      <c r="E987" s="9"/>
      <c r="F987" s="9"/>
      <c r="G987" s="9"/>
      <c r="H987" s="10"/>
      <c r="I987" s="9"/>
      <c r="J987" s="9"/>
      <c r="K987" s="9"/>
      <c r="L987" s="9"/>
      <c r="M987" s="9"/>
    </row>
    <row r="988" spans="1:13" ht="15" x14ac:dyDescent="0.25">
      <c r="A988" s="9"/>
      <c r="B988" s="9"/>
      <c r="C988" s="9"/>
      <c r="D988" s="9"/>
      <c r="E988" s="9"/>
      <c r="F988" s="9"/>
      <c r="G988" s="9"/>
      <c r="H988" s="10"/>
      <c r="I988" s="9"/>
      <c r="J988" s="9"/>
      <c r="K988" s="9"/>
      <c r="L988" s="9"/>
      <c r="M988" s="9"/>
    </row>
    <row r="989" spans="1:13" ht="15" x14ac:dyDescent="0.25">
      <c r="A989" s="9"/>
      <c r="B989" s="9"/>
      <c r="C989" s="9"/>
      <c r="D989" s="9"/>
      <c r="E989" s="9"/>
      <c r="F989" s="9"/>
      <c r="G989" s="9"/>
      <c r="H989" s="10"/>
      <c r="I989" s="9"/>
      <c r="J989" s="9"/>
      <c r="K989" s="9"/>
      <c r="L989" s="9"/>
      <c r="M989" s="9"/>
    </row>
    <row r="990" spans="1:13" ht="15" x14ac:dyDescent="0.25">
      <c r="A990" s="9"/>
      <c r="B990" s="9"/>
      <c r="C990" s="9"/>
      <c r="D990" s="9"/>
      <c r="E990" s="9"/>
      <c r="F990" s="9"/>
      <c r="G990" s="9"/>
      <c r="H990" s="10"/>
      <c r="I990" s="9"/>
      <c r="J990" s="9"/>
      <c r="K990" s="9"/>
      <c r="L990" s="9"/>
      <c r="M990" s="9"/>
    </row>
    <row r="991" spans="1:13" ht="15" x14ac:dyDescent="0.25">
      <c r="A991" s="9"/>
      <c r="B991" s="9"/>
      <c r="C991" s="9"/>
      <c r="D991" s="9"/>
      <c r="E991" s="9"/>
      <c r="F991" s="9"/>
      <c r="G991" s="9"/>
      <c r="H991" s="10"/>
      <c r="I991" s="9"/>
      <c r="J991" s="9"/>
      <c r="K991" s="9"/>
      <c r="L991" s="9"/>
      <c r="M991" s="9"/>
    </row>
    <row r="992" spans="1:13" ht="15" x14ac:dyDescent="0.25">
      <c r="A992" s="9"/>
      <c r="B992" s="9"/>
      <c r="C992" s="9"/>
      <c r="D992" s="9"/>
      <c r="E992" s="9"/>
      <c r="F992" s="9"/>
      <c r="G992" s="9"/>
      <c r="H992" s="10"/>
      <c r="I992" s="9"/>
      <c r="J992" s="9"/>
      <c r="K992" s="9"/>
      <c r="L992" s="9"/>
      <c r="M992" s="9"/>
    </row>
    <row r="993" spans="1:13" ht="15" x14ac:dyDescent="0.25">
      <c r="A993" s="9"/>
      <c r="B993" s="9"/>
      <c r="C993" s="9"/>
      <c r="D993" s="9"/>
      <c r="E993" s="9"/>
      <c r="F993" s="9"/>
      <c r="G993" s="9"/>
      <c r="H993" s="10"/>
      <c r="I993" s="9"/>
      <c r="J993" s="9"/>
      <c r="K993" s="9"/>
      <c r="L993" s="9"/>
      <c r="M993" s="9"/>
    </row>
    <row r="994" spans="1:13" ht="15" x14ac:dyDescent="0.25">
      <c r="A994" s="9"/>
      <c r="B994" s="9"/>
      <c r="C994" s="9"/>
      <c r="D994" s="9"/>
      <c r="E994" s="9"/>
      <c r="F994" s="9"/>
      <c r="G994" s="9"/>
      <c r="H994" s="10"/>
      <c r="I994" s="9"/>
      <c r="J994" s="9"/>
      <c r="K994" s="9"/>
      <c r="L994" s="9"/>
      <c r="M994" s="9"/>
    </row>
    <row r="995" spans="1:13" ht="15" x14ac:dyDescent="0.25">
      <c r="A995" s="9"/>
      <c r="B995" s="9"/>
      <c r="C995" s="9"/>
      <c r="D995" s="9"/>
      <c r="E995" s="9"/>
      <c r="F995" s="9"/>
      <c r="G995" s="9"/>
      <c r="H995" s="10"/>
      <c r="I995" s="9"/>
      <c r="J995" s="9"/>
      <c r="K995" s="9"/>
      <c r="L995" s="9"/>
      <c r="M995" s="9"/>
    </row>
    <row r="996" spans="1:13" ht="15" x14ac:dyDescent="0.25">
      <c r="A996" s="9"/>
      <c r="B996" s="9"/>
      <c r="C996" s="9"/>
      <c r="D996" s="9"/>
      <c r="E996" s="9"/>
      <c r="F996" s="9"/>
      <c r="G996" s="9"/>
      <c r="H996" s="10"/>
      <c r="I996" s="9"/>
      <c r="J996" s="9"/>
      <c r="K996" s="9"/>
      <c r="L996" s="9"/>
      <c r="M996" s="9"/>
    </row>
    <row r="997" spans="1:13" ht="15" x14ac:dyDescent="0.25">
      <c r="A997" s="9"/>
      <c r="B997" s="9"/>
      <c r="C997" s="9"/>
      <c r="D997" s="9"/>
      <c r="E997" s="9"/>
      <c r="F997" s="9"/>
      <c r="G997" s="9"/>
      <c r="H997" s="10"/>
      <c r="I997" s="9"/>
      <c r="J997" s="9"/>
      <c r="K997" s="9"/>
      <c r="L997" s="9"/>
      <c r="M997" s="9"/>
    </row>
    <row r="998" spans="1:13" ht="15" x14ac:dyDescent="0.25">
      <c r="A998" s="9"/>
      <c r="B998" s="9"/>
      <c r="C998" s="9"/>
      <c r="D998" s="9"/>
      <c r="E998" s="9"/>
      <c r="F998" s="9"/>
      <c r="G998" s="9"/>
      <c r="H998" s="10"/>
      <c r="I998" s="9"/>
      <c r="J998" s="9"/>
      <c r="K998" s="9"/>
      <c r="L998" s="9"/>
      <c r="M998" s="9"/>
    </row>
    <row r="999" spans="1:13" ht="15" x14ac:dyDescent="0.25">
      <c r="A999" s="9"/>
      <c r="B999" s="9"/>
      <c r="C999" s="9"/>
      <c r="D999" s="9"/>
      <c r="E999" s="9"/>
      <c r="F999" s="9"/>
      <c r="G999" s="9"/>
      <c r="H999" s="10"/>
      <c r="I999" s="9"/>
      <c r="J999" s="9"/>
      <c r="K999" s="9"/>
      <c r="L999" s="9"/>
      <c r="M999" s="9"/>
    </row>
    <row r="1000" spans="1:13" ht="15" x14ac:dyDescent="0.25">
      <c r="A1000" s="9"/>
      <c r="B1000" s="9"/>
      <c r="C1000" s="9"/>
      <c r="D1000" s="9"/>
      <c r="E1000" s="9"/>
      <c r="F1000" s="9"/>
      <c r="G1000" s="9"/>
      <c r="H1000" s="10"/>
      <c r="I1000" s="9"/>
      <c r="J1000" s="9"/>
      <c r="K1000" s="9"/>
      <c r="L1000" s="9"/>
      <c r="M1000" s="9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59"/>
  <sheetViews>
    <sheetView workbookViewId="0"/>
  </sheetViews>
  <sheetFormatPr baseColWidth="10" defaultColWidth="12.5703125" defaultRowHeight="15.75" customHeight="1" x14ac:dyDescent="0.2"/>
  <cols>
    <col min="2" max="2" width="18.85546875" customWidth="1"/>
  </cols>
  <sheetData>
    <row r="1" spans="1:3" x14ac:dyDescent="0.2">
      <c r="A1" s="3" t="s">
        <v>406</v>
      </c>
      <c r="B1" s="3" t="s">
        <v>407</v>
      </c>
    </row>
    <row r="2" spans="1:3" x14ac:dyDescent="0.2">
      <c r="A2" s="3" t="s">
        <v>23</v>
      </c>
      <c r="B2" s="3">
        <v>0</v>
      </c>
    </row>
    <row r="3" spans="1:3" x14ac:dyDescent="0.2">
      <c r="A3" s="3" t="s">
        <v>26</v>
      </c>
      <c r="B3" s="3">
        <v>180</v>
      </c>
    </row>
    <row r="4" spans="1:3" x14ac:dyDescent="0.2">
      <c r="A4" s="3" t="s">
        <v>95</v>
      </c>
      <c r="B4" s="3">
        <v>324</v>
      </c>
    </row>
    <row r="5" spans="1:3" x14ac:dyDescent="0.2">
      <c r="A5" s="3" t="s">
        <v>66</v>
      </c>
      <c r="B5" s="3">
        <v>504</v>
      </c>
      <c r="C5" s="3" t="s">
        <v>408</v>
      </c>
    </row>
    <row r="6" spans="1:3" x14ac:dyDescent="0.2">
      <c r="A6" s="3" t="s">
        <v>189</v>
      </c>
      <c r="B6" s="3">
        <v>540</v>
      </c>
      <c r="C6" s="3" t="s">
        <v>408</v>
      </c>
    </row>
    <row r="7" spans="1:3" x14ac:dyDescent="0.2">
      <c r="A7" s="3" t="s">
        <v>43</v>
      </c>
      <c r="B7" s="3">
        <v>540</v>
      </c>
    </row>
    <row r="8" spans="1:3" x14ac:dyDescent="0.2">
      <c r="A8" s="3" t="s">
        <v>409</v>
      </c>
      <c r="B8" s="3">
        <v>324</v>
      </c>
    </row>
    <row r="9" spans="1:3" x14ac:dyDescent="0.2">
      <c r="A9" s="3" t="s">
        <v>22</v>
      </c>
      <c r="B9" s="3">
        <v>36</v>
      </c>
    </row>
    <row r="10" spans="1:3" x14ac:dyDescent="0.2">
      <c r="A10" s="3" t="s">
        <v>25</v>
      </c>
      <c r="B10" s="3">
        <v>72</v>
      </c>
    </row>
    <row r="11" spans="1:3" x14ac:dyDescent="0.2">
      <c r="A11" s="3" t="s">
        <v>164</v>
      </c>
      <c r="B11" s="3">
        <v>108</v>
      </c>
    </row>
    <row r="12" spans="1:3" x14ac:dyDescent="0.2">
      <c r="A12" s="3" t="s">
        <v>80</v>
      </c>
      <c r="B12" s="3">
        <v>72</v>
      </c>
    </row>
    <row r="13" spans="1:3" x14ac:dyDescent="0.2">
      <c r="A13" s="3" t="s">
        <v>370</v>
      </c>
      <c r="B13" s="3">
        <v>144</v>
      </c>
    </row>
    <row r="14" spans="1:3" x14ac:dyDescent="0.2">
      <c r="A14" s="3" t="s">
        <v>105</v>
      </c>
      <c r="B14" s="3">
        <v>396</v>
      </c>
    </row>
    <row r="15" spans="1:3" x14ac:dyDescent="0.2">
      <c r="A15" s="3" t="s">
        <v>30</v>
      </c>
      <c r="B15" s="3">
        <v>468</v>
      </c>
    </row>
    <row r="16" spans="1:3" x14ac:dyDescent="0.2">
      <c r="A16" s="3" t="s">
        <v>37</v>
      </c>
      <c r="B16" s="3">
        <v>360</v>
      </c>
    </row>
    <row r="17" spans="1:4" x14ac:dyDescent="0.2">
      <c r="A17" s="3" t="s">
        <v>124</v>
      </c>
      <c r="B17" s="3">
        <v>252</v>
      </c>
    </row>
    <row r="18" spans="1:4" x14ac:dyDescent="0.2">
      <c r="A18" s="3" t="s">
        <v>81</v>
      </c>
      <c r="B18" s="3">
        <v>324</v>
      </c>
    </row>
    <row r="19" spans="1:4" x14ac:dyDescent="0.2">
      <c r="A19" s="3" t="s">
        <v>32</v>
      </c>
      <c r="B19" s="3">
        <v>828</v>
      </c>
    </row>
    <row r="20" spans="1:4" x14ac:dyDescent="0.2">
      <c r="A20" s="3" t="s">
        <v>171</v>
      </c>
      <c r="B20" s="3">
        <v>288</v>
      </c>
    </row>
    <row r="21" spans="1:4" x14ac:dyDescent="0.2">
      <c r="A21" s="3" t="s">
        <v>96</v>
      </c>
      <c r="B21" s="3">
        <v>684</v>
      </c>
    </row>
    <row r="22" spans="1:4" x14ac:dyDescent="0.2">
      <c r="A22" s="3" t="s">
        <v>34</v>
      </c>
      <c r="B22" s="3">
        <v>432</v>
      </c>
    </row>
    <row r="23" spans="1:4" x14ac:dyDescent="0.2">
      <c r="A23" s="3" t="s">
        <v>100</v>
      </c>
      <c r="B23" s="3">
        <v>504</v>
      </c>
    </row>
    <row r="24" spans="1:4" x14ac:dyDescent="0.2">
      <c r="A24" s="3" t="s">
        <v>53</v>
      </c>
      <c r="B24" s="3">
        <v>648</v>
      </c>
    </row>
    <row r="25" spans="1:4" x14ac:dyDescent="0.2">
      <c r="A25" s="16" t="s">
        <v>39</v>
      </c>
      <c r="B25" s="3">
        <v>360</v>
      </c>
      <c r="C25" s="16"/>
      <c r="D25" s="5"/>
    </row>
    <row r="26" spans="1:4" x14ac:dyDescent="0.2">
      <c r="A26" s="16" t="s">
        <v>91</v>
      </c>
      <c r="B26" s="3">
        <v>180</v>
      </c>
      <c r="C26" s="16"/>
      <c r="D26" s="5"/>
    </row>
    <row r="27" spans="1:4" x14ac:dyDescent="0.2">
      <c r="A27" s="16" t="s">
        <v>110</v>
      </c>
      <c r="B27" s="3">
        <v>144</v>
      </c>
      <c r="C27" s="16"/>
      <c r="D27" s="5"/>
    </row>
    <row r="28" spans="1:4" x14ac:dyDescent="0.2">
      <c r="A28" s="16" t="s">
        <v>107</v>
      </c>
      <c r="B28" s="3">
        <v>216</v>
      </c>
      <c r="C28" s="16"/>
      <c r="D28" s="5"/>
    </row>
    <row r="29" spans="1:4" x14ac:dyDescent="0.2">
      <c r="A29" s="16" t="s">
        <v>84</v>
      </c>
      <c r="B29" s="3">
        <v>180</v>
      </c>
      <c r="C29" s="16"/>
      <c r="D29" s="5"/>
    </row>
    <row r="30" spans="1:4" x14ac:dyDescent="0.2">
      <c r="A30" s="16" t="s">
        <v>200</v>
      </c>
      <c r="B30" s="3">
        <v>324</v>
      </c>
      <c r="C30" s="16"/>
      <c r="D30" s="5"/>
    </row>
    <row r="31" spans="1:4" x14ac:dyDescent="0.2">
      <c r="A31" s="16" t="s">
        <v>75</v>
      </c>
      <c r="B31" s="3">
        <v>133</v>
      </c>
      <c r="C31" s="16"/>
      <c r="D31" s="5"/>
    </row>
    <row r="32" spans="1:4" x14ac:dyDescent="0.2">
      <c r="A32" s="16" t="s">
        <v>126</v>
      </c>
      <c r="B32" s="3">
        <v>216</v>
      </c>
      <c r="C32" s="16"/>
      <c r="D32" s="5"/>
    </row>
    <row r="33" spans="1:4" x14ac:dyDescent="0.2">
      <c r="A33" s="16" t="s">
        <v>293</v>
      </c>
      <c r="B33" s="3">
        <v>180</v>
      </c>
      <c r="C33" s="16"/>
      <c r="D33" s="5"/>
    </row>
    <row r="34" spans="1:4" x14ac:dyDescent="0.2">
      <c r="A34" s="16" t="s">
        <v>77</v>
      </c>
      <c r="B34" s="3">
        <v>396</v>
      </c>
      <c r="C34" s="16"/>
      <c r="D34" s="5"/>
    </row>
    <row r="35" spans="1:4" x14ac:dyDescent="0.2">
      <c r="A35" s="16" t="s">
        <v>310</v>
      </c>
      <c r="B35" s="3">
        <v>144</v>
      </c>
      <c r="C35" s="16"/>
      <c r="D35" s="5"/>
    </row>
    <row r="36" spans="1:4" x14ac:dyDescent="0.2">
      <c r="A36" s="16" t="s">
        <v>79</v>
      </c>
      <c r="B36" s="3">
        <v>144</v>
      </c>
      <c r="C36" s="16"/>
      <c r="D36" s="5"/>
    </row>
    <row r="37" spans="1:4" x14ac:dyDescent="0.2">
      <c r="A37" s="16" t="s">
        <v>83</v>
      </c>
      <c r="B37" s="3">
        <v>360</v>
      </c>
      <c r="C37" s="16"/>
      <c r="D37" s="5"/>
    </row>
    <row r="38" spans="1:4" x14ac:dyDescent="0.2">
      <c r="A38" s="16" t="s">
        <v>46</v>
      </c>
      <c r="B38" s="3">
        <v>288</v>
      </c>
      <c r="C38" s="16"/>
      <c r="D38" s="5"/>
    </row>
    <row r="39" spans="1:4" x14ac:dyDescent="0.2">
      <c r="A39" s="16" t="s">
        <v>384</v>
      </c>
      <c r="B39" s="3">
        <v>432</v>
      </c>
      <c r="C39" s="16"/>
      <c r="D39" s="5"/>
    </row>
    <row r="40" spans="1:4" x14ac:dyDescent="0.2">
      <c r="A40" s="16" t="s">
        <v>125</v>
      </c>
      <c r="B40" s="3">
        <v>360</v>
      </c>
      <c r="C40" s="16"/>
      <c r="D40" s="5"/>
    </row>
    <row r="41" spans="1:4" x14ac:dyDescent="0.2">
      <c r="A41" s="16" t="s">
        <v>182</v>
      </c>
      <c r="B41" s="3">
        <v>216</v>
      </c>
      <c r="C41" s="16"/>
      <c r="D41" s="5"/>
    </row>
    <row r="42" spans="1:4" x14ac:dyDescent="0.2">
      <c r="A42" s="16" t="s">
        <v>49</v>
      </c>
      <c r="B42" s="3">
        <v>324</v>
      </c>
      <c r="C42" s="16"/>
      <c r="D42" s="5"/>
    </row>
    <row r="43" spans="1:4" x14ac:dyDescent="0.2">
      <c r="A43" s="16" t="s">
        <v>116</v>
      </c>
      <c r="B43" s="3">
        <v>324</v>
      </c>
      <c r="C43" s="16"/>
      <c r="D43" s="5"/>
    </row>
    <row r="44" spans="1:4" x14ac:dyDescent="0.2">
      <c r="A44" s="16" t="s">
        <v>225</v>
      </c>
      <c r="B44" s="3">
        <v>180</v>
      </c>
      <c r="C44" s="16"/>
      <c r="D44" s="5"/>
    </row>
    <row r="45" spans="1:4" x14ac:dyDescent="0.2">
      <c r="A45" s="16" t="s">
        <v>90</v>
      </c>
      <c r="B45" s="3">
        <v>108</v>
      </c>
      <c r="C45" s="16"/>
      <c r="D45" s="5"/>
    </row>
    <row r="46" spans="1:4" x14ac:dyDescent="0.2">
      <c r="A46" s="16" t="s">
        <v>86</v>
      </c>
      <c r="B46" s="3">
        <v>144</v>
      </c>
      <c r="C46" s="16"/>
      <c r="D46" s="5"/>
    </row>
    <row r="47" spans="1:4" x14ac:dyDescent="0.2">
      <c r="A47" s="16" t="s">
        <v>246</v>
      </c>
      <c r="B47" s="3">
        <v>396</v>
      </c>
      <c r="C47" s="16"/>
      <c r="D47" s="5"/>
    </row>
    <row r="48" spans="1:4" x14ac:dyDescent="0.2">
      <c r="A48" s="17" t="s">
        <v>305</v>
      </c>
      <c r="B48" s="3">
        <v>180</v>
      </c>
      <c r="C48" s="16"/>
      <c r="D48" s="8"/>
    </row>
    <row r="49" spans="1:5" x14ac:dyDescent="0.2">
      <c r="A49" s="3" t="s">
        <v>54</v>
      </c>
      <c r="B49" s="3">
        <v>864</v>
      </c>
      <c r="C49" s="16"/>
      <c r="D49" s="5"/>
      <c r="E49" s="5"/>
    </row>
    <row r="50" spans="1:5" x14ac:dyDescent="0.2">
      <c r="A50" s="3" t="s">
        <v>60</v>
      </c>
      <c r="B50" s="3">
        <v>648</v>
      </c>
      <c r="C50" s="16"/>
      <c r="D50" s="5"/>
      <c r="E50" s="5"/>
    </row>
    <row r="51" spans="1:5" x14ac:dyDescent="0.2">
      <c r="A51" s="3" t="s">
        <v>316</v>
      </c>
      <c r="B51" s="3">
        <v>828</v>
      </c>
      <c r="C51" s="16"/>
      <c r="D51" s="5"/>
      <c r="E51" s="5"/>
    </row>
    <row r="52" spans="1:5" x14ac:dyDescent="0.2">
      <c r="A52" s="3" t="s">
        <v>58</v>
      </c>
      <c r="B52" s="3">
        <v>936</v>
      </c>
      <c r="C52" s="16"/>
      <c r="D52" s="5"/>
      <c r="E52" s="5"/>
    </row>
    <row r="53" spans="1:5" x14ac:dyDescent="0.2">
      <c r="A53" s="3" t="s">
        <v>114</v>
      </c>
      <c r="B53" s="3">
        <v>972</v>
      </c>
      <c r="C53" s="16"/>
      <c r="D53" s="5"/>
      <c r="E53" s="5"/>
    </row>
    <row r="54" spans="1:5" x14ac:dyDescent="0.2">
      <c r="A54" s="3" t="s">
        <v>213</v>
      </c>
      <c r="B54" s="3">
        <v>1008</v>
      </c>
      <c r="C54" s="16"/>
      <c r="D54" s="5"/>
      <c r="E54" s="5"/>
    </row>
    <row r="55" spans="1:5" x14ac:dyDescent="0.2">
      <c r="A55" s="3" t="s">
        <v>50</v>
      </c>
      <c r="B55" s="3">
        <v>1044</v>
      </c>
      <c r="C55" s="16"/>
      <c r="D55" s="5"/>
      <c r="E55" s="5"/>
    </row>
    <row r="56" spans="1:5" x14ac:dyDescent="0.2">
      <c r="A56" s="3" t="s">
        <v>223</v>
      </c>
      <c r="B56" s="3">
        <v>828</v>
      </c>
      <c r="C56" s="16"/>
      <c r="D56" s="5"/>
      <c r="E56" s="8"/>
    </row>
    <row r="57" spans="1:5" x14ac:dyDescent="0.2">
      <c r="A57" s="3" t="s">
        <v>55</v>
      </c>
      <c r="B57" s="3">
        <v>684</v>
      </c>
      <c r="C57" s="16"/>
    </row>
    <row r="58" spans="1:5" x14ac:dyDescent="0.2">
      <c r="A58" s="3" t="s">
        <v>44</v>
      </c>
      <c r="B58" s="3">
        <v>2010</v>
      </c>
      <c r="C58" s="16"/>
    </row>
    <row r="59" spans="1:5" x14ac:dyDescent="0.2">
      <c r="A59" s="3" t="s">
        <v>192</v>
      </c>
      <c r="B59" s="3">
        <v>1404</v>
      </c>
      <c r="C59" s="16"/>
    </row>
    <row r="60" spans="1:5" x14ac:dyDescent="0.2">
      <c r="A60" s="3" t="s">
        <v>136</v>
      </c>
      <c r="B60" s="3">
        <v>2340</v>
      </c>
      <c r="C60" s="16"/>
    </row>
    <row r="61" spans="1:5" x14ac:dyDescent="0.2">
      <c r="A61" s="3" t="s">
        <v>21</v>
      </c>
      <c r="B61" s="3">
        <v>216</v>
      </c>
      <c r="C61" s="18"/>
      <c r="D61" s="5"/>
      <c r="E61" s="5"/>
    </row>
    <row r="62" spans="1:5" x14ac:dyDescent="0.2">
      <c r="A62" s="3" t="s">
        <v>24</v>
      </c>
      <c r="B62" s="3">
        <v>720</v>
      </c>
      <c r="C62" s="18"/>
      <c r="D62" s="5"/>
      <c r="E62" s="5"/>
    </row>
    <row r="63" spans="1:5" x14ac:dyDescent="0.2">
      <c r="A63" s="3" t="s">
        <v>27</v>
      </c>
      <c r="B63" s="3">
        <v>1044</v>
      </c>
      <c r="C63" s="18"/>
      <c r="D63" s="5"/>
      <c r="E63" s="5"/>
    </row>
    <row r="64" spans="1:5" x14ac:dyDescent="0.2">
      <c r="A64" s="3" t="s">
        <v>29</v>
      </c>
      <c r="B64" s="3">
        <v>1404</v>
      </c>
      <c r="C64" s="19"/>
      <c r="D64" s="5"/>
      <c r="E64" s="8"/>
    </row>
    <row r="65" spans="1:2" x14ac:dyDescent="0.2">
      <c r="A65" s="3" t="s">
        <v>31</v>
      </c>
      <c r="B65" s="3">
        <v>2268</v>
      </c>
    </row>
    <row r="66" spans="1:2" x14ac:dyDescent="0.2">
      <c r="A66" s="3" t="s">
        <v>33</v>
      </c>
      <c r="B66" s="3">
        <v>1908</v>
      </c>
    </row>
    <row r="67" spans="1:2" x14ac:dyDescent="0.2">
      <c r="A67" s="3" t="s">
        <v>36</v>
      </c>
      <c r="B67" s="3">
        <v>2268</v>
      </c>
    </row>
    <row r="68" spans="1:2" x14ac:dyDescent="0.2">
      <c r="A68" s="3" t="s">
        <v>38</v>
      </c>
      <c r="B68" s="3">
        <v>2844</v>
      </c>
    </row>
    <row r="69" spans="1:2" x14ac:dyDescent="0.2">
      <c r="A69" s="3" t="s">
        <v>42</v>
      </c>
      <c r="B69" s="3">
        <v>4032</v>
      </c>
    </row>
    <row r="70" spans="1:2" x14ac:dyDescent="0.2">
      <c r="A70" s="3" t="s">
        <v>45</v>
      </c>
      <c r="B70" s="3">
        <v>2736</v>
      </c>
    </row>
    <row r="71" spans="1:2" x14ac:dyDescent="0.2">
      <c r="A71" s="3" t="s">
        <v>48</v>
      </c>
      <c r="B71" s="3">
        <v>4248</v>
      </c>
    </row>
    <row r="72" spans="1:2" x14ac:dyDescent="0.2">
      <c r="A72" s="3" t="s">
        <v>52</v>
      </c>
      <c r="B72" s="3">
        <v>3276</v>
      </c>
    </row>
    <row r="73" spans="1:2" x14ac:dyDescent="0.2">
      <c r="A73" s="3" t="s">
        <v>56</v>
      </c>
      <c r="B73" s="3">
        <v>4032</v>
      </c>
    </row>
    <row r="74" spans="1:2" x14ac:dyDescent="0.2">
      <c r="A74" s="3" t="s">
        <v>59</v>
      </c>
      <c r="B74" s="3">
        <v>3636</v>
      </c>
    </row>
    <row r="75" spans="1:2" x14ac:dyDescent="0.2">
      <c r="A75" s="3" t="s">
        <v>61</v>
      </c>
      <c r="B75" s="3">
        <v>3204</v>
      </c>
    </row>
    <row r="76" spans="1:2" x14ac:dyDescent="0.2">
      <c r="A76" s="3" t="s">
        <v>64</v>
      </c>
      <c r="B76" s="3">
        <v>1080</v>
      </c>
    </row>
    <row r="77" spans="1:2" x14ac:dyDescent="0.2">
      <c r="A77" s="3" t="s">
        <v>65</v>
      </c>
      <c r="B77" s="3">
        <v>2016</v>
      </c>
    </row>
    <row r="78" spans="1:2" x14ac:dyDescent="0.2">
      <c r="A78" s="3" t="s">
        <v>67</v>
      </c>
      <c r="B78" s="3">
        <v>1800</v>
      </c>
    </row>
    <row r="79" spans="1:2" x14ac:dyDescent="0.2">
      <c r="A79" s="3" t="s">
        <v>68</v>
      </c>
      <c r="B79" s="3">
        <v>2268</v>
      </c>
    </row>
    <row r="80" spans="1:2" x14ac:dyDescent="0.2">
      <c r="A80" s="3" t="s">
        <v>69</v>
      </c>
      <c r="B80" s="3">
        <v>1188</v>
      </c>
    </row>
    <row r="81" spans="1:2" x14ac:dyDescent="0.2">
      <c r="A81" s="3" t="s">
        <v>70</v>
      </c>
      <c r="B81" s="3">
        <v>2988</v>
      </c>
    </row>
    <row r="82" spans="1:2" x14ac:dyDescent="0.2">
      <c r="A82" s="3" t="s">
        <v>72</v>
      </c>
      <c r="B82" s="3">
        <v>2448</v>
      </c>
    </row>
    <row r="83" spans="1:2" x14ac:dyDescent="0.2">
      <c r="A83" s="3" t="s">
        <v>73</v>
      </c>
      <c r="B83" s="3">
        <v>4176</v>
      </c>
    </row>
    <row r="84" spans="1:2" x14ac:dyDescent="0.2">
      <c r="A84" s="3" t="s">
        <v>74</v>
      </c>
      <c r="B84" s="3">
        <v>1980</v>
      </c>
    </row>
    <row r="85" spans="1:2" x14ac:dyDescent="0.2">
      <c r="A85" s="3" t="s">
        <v>76</v>
      </c>
      <c r="B85" s="3">
        <v>1908</v>
      </c>
    </row>
    <row r="86" spans="1:2" x14ac:dyDescent="0.2">
      <c r="A86" s="3" t="s">
        <v>78</v>
      </c>
      <c r="B86" s="3">
        <v>1980</v>
      </c>
    </row>
    <row r="87" spans="1:2" x14ac:dyDescent="0.2">
      <c r="A87" s="3" t="s">
        <v>82</v>
      </c>
      <c r="B87" s="3">
        <v>3528</v>
      </c>
    </row>
    <row r="88" spans="1:2" x14ac:dyDescent="0.2">
      <c r="A88" s="3" t="s">
        <v>85</v>
      </c>
      <c r="B88" s="3">
        <v>3240</v>
      </c>
    </row>
    <row r="89" spans="1:2" x14ac:dyDescent="0.2">
      <c r="A89" s="3" t="s">
        <v>88</v>
      </c>
      <c r="B89" s="3">
        <v>3528</v>
      </c>
    </row>
    <row r="90" spans="1:2" x14ac:dyDescent="0.2">
      <c r="A90" s="3" t="s">
        <v>89</v>
      </c>
      <c r="B90" s="3">
        <v>1764</v>
      </c>
    </row>
    <row r="91" spans="1:2" x14ac:dyDescent="0.2">
      <c r="A91" s="3" t="s">
        <v>93</v>
      </c>
      <c r="B91" s="3">
        <v>1656</v>
      </c>
    </row>
    <row r="92" spans="1:2" x14ac:dyDescent="0.2">
      <c r="A92" s="3" t="s">
        <v>97</v>
      </c>
      <c r="B92" s="3">
        <v>2196</v>
      </c>
    </row>
    <row r="93" spans="1:2" x14ac:dyDescent="0.2">
      <c r="A93" s="3" t="s">
        <v>94</v>
      </c>
      <c r="B93" s="3">
        <v>2556</v>
      </c>
    </row>
    <row r="94" spans="1:2" x14ac:dyDescent="0.2">
      <c r="A94" s="3" t="s">
        <v>98</v>
      </c>
      <c r="B94" s="3">
        <v>2844</v>
      </c>
    </row>
    <row r="95" spans="1:2" x14ac:dyDescent="0.2">
      <c r="A95" s="3" t="s">
        <v>99</v>
      </c>
      <c r="B95" s="3">
        <v>3168</v>
      </c>
    </row>
    <row r="96" spans="1:2" x14ac:dyDescent="0.2">
      <c r="A96" s="3" t="s">
        <v>101</v>
      </c>
      <c r="B96" s="3">
        <v>3204</v>
      </c>
    </row>
    <row r="97" spans="1:2" x14ac:dyDescent="0.2">
      <c r="A97" s="3" t="s">
        <v>102</v>
      </c>
      <c r="B97" s="3">
        <v>3096</v>
      </c>
    </row>
    <row r="98" spans="1:2" x14ac:dyDescent="0.2">
      <c r="A98" s="3" t="s">
        <v>104</v>
      </c>
      <c r="B98" s="3">
        <v>4824</v>
      </c>
    </row>
    <row r="99" spans="1:2" x14ac:dyDescent="0.2">
      <c r="A99" s="3" t="s">
        <v>106</v>
      </c>
      <c r="B99" s="3">
        <v>4500</v>
      </c>
    </row>
    <row r="100" spans="1:2" x14ac:dyDescent="0.2">
      <c r="A100" s="3" t="s">
        <v>109</v>
      </c>
      <c r="B100" s="3">
        <v>2592</v>
      </c>
    </row>
    <row r="101" spans="1:2" x14ac:dyDescent="0.2">
      <c r="A101" s="3" t="s">
        <v>111</v>
      </c>
      <c r="B101" s="3">
        <v>8964</v>
      </c>
    </row>
    <row r="102" spans="1:2" x14ac:dyDescent="0.2">
      <c r="A102" s="3" t="s">
        <v>113</v>
      </c>
      <c r="B102" s="3">
        <v>4500</v>
      </c>
    </row>
    <row r="103" spans="1:2" x14ac:dyDescent="0.2">
      <c r="A103" s="3" t="s">
        <v>115</v>
      </c>
      <c r="B103" s="3">
        <v>6048</v>
      </c>
    </row>
    <row r="104" spans="1:2" x14ac:dyDescent="0.2">
      <c r="A104" s="3" t="s">
        <v>118</v>
      </c>
      <c r="B104" s="3">
        <v>3708</v>
      </c>
    </row>
    <row r="105" spans="1:2" x14ac:dyDescent="0.2">
      <c r="A105" s="3" t="s">
        <v>120</v>
      </c>
      <c r="B105" s="3">
        <v>3600</v>
      </c>
    </row>
    <row r="106" spans="1:2" x14ac:dyDescent="0.2">
      <c r="A106" s="3" t="s">
        <v>121</v>
      </c>
      <c r="B106" s="3">
        <v>4572</v>
      </c>
    </row>
    <row r="107" spans="1:2" x14ac:dyDescent="0.2">
      <c r="A107" s="3" t="s">
        <v>122</v>
      </c>
      <c r="B107" s="3">
        <v>3240</v>
      </c>
    </row>
    <row r="108" spans="1:2" x14ac:dyDescent="0.2">
      <c r="A108" s="3" t="s">
        <v>123</v>
      </c>
      <c r="B108" s="3">
        <v>4428</v>
      </c>
    </row>
    <row r="109" spans="1:2" x14ac:dyDescent="0.2">
      <c r="A109" s="3" t="s">
        <v>128</v>
      </c>
      <c r="B109" s="3">
        <v>2556</v>
      </c>
    </row>
    <row r="110" spans="1:2" x14ac:dyDescent="0.2">
      <c r="A110" s="3" t="s">
        <v>129</v>
      </c>
      <c r="B110" s="3">
        <v>1764</v>
      </c>
    </row>
    <row r="111" spans="1:2" x14ac:dyDescent="0.2">
      <c r="A111" s="3" t="s">
        <v>130</v>
      </c>
      <c r="B111" s="3">
        <v>4608</v>
      </c>
    </row>
    <row r="112" spans="1:2" x14ac:dyDescent="0.2">
      <c r="A112" s="3" t="s">
        <v>131</v>
      </c>
      <c r="B112" s="3">
        <v>3420</v>
      </c>
    </row>
    <row r="113" spans="1:2" x14ac:dyDescent="0.2">
      <c r="A113" s="3" t="s">
        <v>132</v>
      </c>
      <c r="B113" s="3">
        <v>6840</v>
      </c>
    </row>
    <row r="114" spans="1:2" x14ac:dyDescent="0.2">
      <c r="A114" s="3" t="s">
        <v>135</v>
      </c>
      <c r="B114" s="3">
        <v>4680</v>
      </c>
    </row>
    <row r="115" spans="1:2" x14ac:dyDescent="0.2">
      <c r="A115" s="3" t="s">
        <v>137</v>
      </c>
      <c r="B115" s="3">
        <v>2268</v>
      </c>
    </row>
    <row r="116" spans="1:2" x14ac:dyDescent="0.2">
      <c r="A116" s="3" t="s">
        <v>138</v>
      </c>
      <c r="B116" s="3">
        <v>2700</v>
      </c>
    </row>
    <row r="117" spans="1:2" x14ac:dyDescent="0.2">
      <c r="A117" s="3" t="s">
        <v>140</v>
      </c>
      <c r="B117" s="3">
        <v>2484</v>
      </c>
    </row>
    <row r="118" spans="1:2" x14ac:dyDescent="0.2">
      <c r="A118" s="3" t="s">
        <v>141</v>
      </c>
      <c r="B118" s="3">
        <v>2196</v>
      </c>
    </row>
    <row r="119" spans="1:2" x14ac:dyDescent="0.2">
      <c r="A119" s="3" t="s">
        <v>142</v>
      </c>
      <c r="B119" s="3">
        <v>2916</v>
      </c>
    </row>
    <row r="120" spans="1:2" x14ac:dyDescent="0.2">
      <c r="A120" s="3" t="s">
        <v>143</v>
      </c>
      <c r="B120" s="3">
        <v>2592</v>
      </c>
    </row>
    <row r="121" spans="1:2" x14ac:dyDescent="0.2">
      <c r="A121" s="3" t="s">
        <v>144</v>
      </c>
      <c r="B121" s="3">
        <v>3168</v>
      </c>
    </row>
    <row r="122" spans="1:2" x14ac:dyDescent="0.2">
      <c r="A122" s="3" t="s">
        <v>145</v>
      </c>
      <c r="B122" s="3">
        <v>3456</v>
      </c>
    </row>
    <row r="123" spans="1:2" x14ac:dyDescent="0.2">
      <c r="A123" s="3" t="s">
        <v>146</v>
      </c>
      <c r="B123" s="3">
        <v>2772</v>
      </c>
    </row>
    <row r="124" spans="1:2" x14ac:dyDescent="0.2">
      <c r="A124" s="3" t="s">
        <v>71</v>
      </c>
      <c r="B124" s="3">
        <v>504</v>
      </c>
    </row>
    <row r="125" spans="1:2" x14ac:dyDescent="0.2">
      <c r="A125" s="3" t="s">
        <v>41</v>
      </c>
      <c r="B125" s="3">
        <v>828</v>
      </c>
    </row>
    <row r="126" spans="1:2" x14ac:dyDescent="0.2">
      <c r="A126" s="3" t="s">
        <v>35</v>
      </c>
      <c r="B126" s="3">
        <v>1224</v>
      </c>
    </row>
    <row r="127" spans="1:2" x14ac:dyDescent="0.2">
      <c r="A127" s="3" t="s">
        <v>103</v>
      </c>
      <c r="B127" s="3">
        <v>1620</v>
      </c>
    </row>
    <row r="128" spans="1:2" x14ac:dyDescent="0.2">
      <c r="A128" s="3" t="s">
        <v>149</v>
      </c>
      <c r="B128" s="3">
        <v>3024</v>
      </c>
    </row>
    <row r="129" spans="1:2" x14ac:dyDescent="0.2">
      <c r="A129" s="3" t="s">
        <v>150</v>
      </c>
      <c r="B129" s="3">
        <v>2952</v>
      </c>
    </row>
    <row r="130" spans="1:2" x14ac:dyDescent="0.2">
      <c r="A130" s="3" t="s">
        <v>152</v>
      </c>
      <c r="B130" s="3">
        <v>4068</v>
      </c>
    </row>
    <row r="131" spans="1:2" x14ac:dyDescent="0.2">
      <c r="A131" s="3" t="s">
        <v>153</v>
      </c>
      <c r="B131" s="3">
        <v>6588</v>
      </c>
    </row>
    <row r="132" spans="1:2" x14ac:dyDescent="0.2">
      <c r="A132" s="3" t="s">
        <v>155</v>
      </c>
      <c r="B132" s="3">
        <v>1296</v>
      </c>
    </row>
    <row r="133" spans="1:2" x14ac:dyDescent="0.2">
      <c r="A133" s="3" t="s">
        <v>156</v>
      </c>
      <c r="B133" s="3">
        <v>3132</v>
      </c>
    </row>
    <row r="134" spans="1:2" x14ac:dyDescent="0.2">
      <c r="A134" s="3" t="s">
        <v>157</v>
      </c>
      <c r="B134" s="3">
        <v>5940</v>
      </c>
    </row>
    <row r="135" spans="1:2" x14ac:dyDescent="0.2">
      <c r="A135" s="3" t="s">
        <v>158</v>
      </c>
      <c r="B135" s="3">
        <v>2304</v>
      </c>
    </row>
    <row r="136" spans="1:2" x14ac:dyDescent="0.2">
      <c r="A136" s="3" t="s">
        <v>159</v>
      </c>
      <c r="B136" s="3">
        <v>3888</v>
      </c>
    </row>
    <row r="137" spans="1:2" x14ac:dyDescent="0.2">
      <c r="A137" s="3" t="s">
        <v>160</v>
      </c>
      <c r="B137" s="3">
        <v>4032</v>
      </c>
    </row>
    <row r="138" spans="1:2" x14ac:dyDescent="0.2">
      <c r="A138" s="3" t="s">
        <v>162</v>
      </c>
      <c r="B138" s="3">
        <v>72</v>
      </c>
    </row>
    <row r="139" spans="1:2" x14ac:dyDescent="0.2">
      <c r="A139" s="3" t="s">
        <v>163</v>
      </c>
      <c r="B139" s="3">
        <v>144</v>
      </c>
    </row>
    <row r="140" spans="1:2" x14ac:dyDescent="0.2">
      <c r="A140" s="3" t="s">
        <v>165</v>
      </c>
      <c r="B140" s="3">
        <v>144</v>
      </c>
    </row>
    <row r="141" spans="1:2" x14ac:dyDescent="0.2">
      <c r="A141" s="3" t="s">
        <v>166</v>
      </c>
      <c r="B141" s="3">
        <v>144</v>
      </c>
    </row>
    <row r="142" spans="1:2" x14ac:dyDescent="0.2">
      <c r="A142" s="3" t="s">
        <v>167</v>
      </c>
      <c r="B142" s="3">
        <v>144</v>
      </c>
    </row>
    <row r="143" spans="1:2" x14ac:dyDescent="0.2">
      <c r="A143" s="3" t="s">
        <v>168</v>
      </c>
      <c r="B143" s="3">
        <v>504</v>
      </c>
    </row>
    <row r="144" spans="1:2" x14ac:dyDescent="0.2">
      <c r="A144" s="3" t="s">
        <v>170</v>
      </c>
      <c r="B144" s="3">
        <v>2088</v>
      </c>
    </row>
    <row r="145" spans="1:2" x14ac:dyDescent="0.2">
      <c r="A145" s="3" t="s">
        <v>172</v>
      </c>
      <c r="B145" s="3">
        <v>3384</v>
      </c>
    </row>
    <row r="146" spans="1:2" x14ac:dyDescent="0.2">
      <c r="A146" s="3" t="s">
        <v>174</v>
      </c>
      <c r="B146" s="3">
        <v>5004</v>
      </c>
    </row>
    <row r="147" spans="1:2" x14ac:dyDescent="0.2">
      <c r="A147" s="3" t="s">
        <v>177</v>
      </c>
      <c r="B147" s="3">
        <v>5544</v>
      </c>
    </row>
    <row r="148" spans="1:2" x14ac:dyDescent="0.2">
      <c r="A148" s="3" t="s">
        <v>178</v>
      </c>
      <c r="B148" s="3">
        <v>3492</v>
      </c>
    </row>
    <row r="149" spans="1:2" x14ac:dyDescent="0.2">
      <c r="A149" s="3" t="s">
        <v>180</v>
      </c>
      <c r="B149" s="3">
        <v>2988</v>
      </c>
    </row>
    <row r="150" spans="1:2" x14ac:dyDescent="0.2">
      <c r="A150" s="3" t="s">
        <v>181</v>
      </c>
      <c r="B150" s="3">
        <v>3528</v>
      </c>
    </row>
    <row r="151" spans="1:2" x14ac:dyDescent="0.2">
      <c r="A151" s="3" t="s">
        <v>184</v>
      </c>
      <c r="B151" s="3">
        <v>6264</v>
      </c>
    </row>
    <row r="152" spans="1:2" x14ac:dyDescent="0.2">
      <c r="A152" s="3" t="s">
        <v>185</v>
      </c>
      <c r="B152" s="3">
        <v>5076</v>
      </c>
    </row>
    <row r="153" spans="1:2" x14ac:dyDescent="0.2">
      <c r="A153" s="3" t="s">
        <v>186</v>
      </c>
      <c r="B153" s="3">
        <v>4932</v>
      </c>
    </row>
    <row r="154" spans="1:2" x14ac:dyDescent="0.2">
      <c r="A154" s="3" t="s">
        <v>188</v>
      </c>
      <c r="B154" s="3">
        <v>4680</v>
      </c>
    </row>
    <row r="155" spans="1:2" x14ac:dyDescent="0.2">
      <c r="A155" s="3" t="s">
        <v>190</v>
      </c>
      <c r="B155" s="3">
        <v>6192</v>
      </c>
    </row>
    <row r="156" spans="1:2" x14ac:dyDescent="0.2">
      <c r="A156" s="3" t="s">
        <v>193</v>
      </c>
      <c r="B156" s="3">
        <v>5580</v>
      </c>
    </row>
    <row r="157" spans="1:2" x14ac:dyDescent="0.2">
      <c r="A157" s="3" t="s">
        <v>194</v>
      </c>
      <c r="B157" s="3">
        <v>3312</v>
      </c>
    </row>
    <row r="158" spans="1:2" x14ac:dyDescent="0.2">
      <c r="A158" s="3" t="s">
        <v>62</v>
      </c>
      <c r="B158" s="3">
        <v>1548</v>
      </c>
    </row>
    <row r="159" spans="1:2" x14ac:dyDescent="0.2">
      <c r="A159" s="3" t="s">
        <v>119</v>
      </c>
      <c r="B159" s="3">
        <v>2340</v>
      </c>
    </row>
    <row r="160" spans="1:2" x14ac:dyDescent="0.2">
      <c r="A160" s="3" t="s">
        <v>197</v>
      </c>
      <c r="B160" s="3">
        <v>3708</v>
      </c>
    </row>
    <row r="161" spans="1:2" x14ac:dyDescent="0.2">
      <c r="A161" s="3" t="s">
        <v>199</v>
      </c>
      <c r="B161" s="3">
        <v>3672</v>
      </c>
    </row>
    <row r="162" spans="1:2" x14ac:dyDescent="0.2">
      <c r="A162" s="3" t="s">
        <v>201</v>
      </c>
      <c r="B162" s="3">
        <v>5292</v>
      </c>
    </row>
    <row r="163" spans="1:2" x14ac:dyDescent="0.2">
      <c r="A163" s="3" t="s">
        <v>202</v>
      </c>
      <c r="B163" s="3">
        <v>3060</v>
      </c>
    </row>
    <row r="164" spans="1:2" x14ac:dyDescent="0.2">
      <c r="A164" s="3" t="s">
        <v>204</v>
      </c>
      <c r="B164" s="3">
        <v>1728</v>
      </c>
    </row>
    <row r="165" spans="1:2" x14ac:dyDescent="0.2">
      <c r="A165" s="3" t="s">
        <v>205</v>
      </c>
      <c r="B165" s="3">
        <v>3528</v>
      </c>
    </row>
    <row r="166" spans="1:2" x14ac:dyDescent="0.2">
      <c r="A166" s="3" t="s">
        <v>206</v>
      </c>
      <c r="B166" s="3">
        <v>3312</v>
      </c>
    </row>
    <row r="167" spans="1:2" x14ac:dyDescent="0.2">
      <c r="A167" s="3" t="s">
        <v>207</v>
      </c>
      <c r="B167" s="3">
        <v>3420</v>
      </c>
    </row>
    <row r="168" spans="1:2" x14ac:dyDescent="0.2">
      <c r="A168" s="3" t="s">
        <v>208</v>
      </c>
      <c r="B168" s="3">
        <v>1764</v>
      </c>
    </row>
    <row r="169" spans="1:2" x14ac:dyDescent="0.2">
      <c r="A169" s="3" t="s">
        <v>209</v>
      </c>
      <c r="B169" s="3">
        <v>6192</v>
      </c>
    </row>
    <row r="170" spans="1:2" x14ac:dyDescent="0.2">
      <c r="A170" s="3" t="s">
        <v>210</v>
      </c>
      <c r="B170" s="3">
        <v>3996</v>
      </c>
    </row>
    <row r="171" spans="1:2" x14ac:dyDescent="0.2">
      <c r="A171" s="3" t="s">
        <v>211</v>
      </c>
      <c r="B171" s="3">
        <v>4356</v>
      </c>
    </row>
    <row r="172" spans="1:2" x14ac:dyDescent="0.2">
      <c r="A172" s="3" t="s">
        <v>212</v>
      </c>
      <c r="B172" s="3">
        <v>4500</v>
      </c>
    </row>
    <row r="173" spans="1:2" x14ac:dyDescent="0.2">
      <c r="A173" s="3" t="s">
        <v>214</v>
      </c>
      <c r="B173" s="3">
        <v>2880</v>
      </c>
    </row>
    <row r="174" spans="1:2" x14ac:dyDescent="0.2">
      <c r="A174" s="3" t="s">
        <v>215</v>
      </c>
      <c r="B174" s="3">
        <v>4032</v>
      </c>
    </row>
    <row r="175" spans="1:2" x14ac:dyDescent="0.2">
      <c r="A175" s="3" t="s">
        <v>151</v>
      </c>
      <c r="B175" s="3">
        <v>2196</v>
      </c>
    </row>
    <row r="176" spans="1:2" x14ac:dyDescent="0.2">
      <c r="A176" s="3" t="s">
        <v>133</v>
      </c>
      <c r="B176" s="3">
        <v>2520</v>
      </c>
    </row>
    <row r="177" spans="1:2" x14ac:dyDescent="0.2">
      <c r="A177" s="3" t="s">
        <v>134</v>
      </c>
      <c r="B177" s="3">
        <v>3888</v>
      </c>
    </row>
    <row r="178" spans="1:2" x14ac:dyDescent="0.2">
      <c r="A178" s="3" t="s">
        <v>217</v>
      </c>
      <c r="B178" s="3">
        <v>3348</v>
      </c>
    </row>
    <row r="179" spans="1:2" x14ac:dyDescent="0.2">
      <c r="A179" s="3" t="s">
        <v>218</v>
      </c>
      <c r="B179" s="3">
        <v>2700</v>
      </c>
    </row>
    <row r="180" spans="1:2" x14ac:dyDescent="0.2">
      <c r="A180" s="3" t="s">
        <v>219</v>
      </c>
      <c r="B180" s="3">
        <v>4572</v>
      </c>
    </row>
    <row r="181" spans="1:2" x14ac:dyDescent="0.2">
      <c r="A181" s="3" t="s">
        <v>220</v>
      </c>
      <c r="B181" s="3">
        <v>4644</v>
      </c>
    </row>
    <row r="182" spans="1:2" x14ac:dyDescent="0.2">
      <c r="A182" s="3" t="s">
        <v>221</v>
      </c>
      <c r="B182" s="3">
        <v>1620</v>
      </c>
    </row>
    <row r="183" spans="1:2" x14ac:dyDescent="0.2">
      <c r="A183" s="3" t="s">
        <v>222</v>
      </c>
      <c r="B183" s="3">
        <v>3852</v>
      </c>
    </row>
    <row r="184" spans="1:2" x14ac:dyDescent="0.2">
      <c r="A184" s="3" t="s">
        <v>224</v>
      </c>
      <c r="B184" s="3">
        <v>1188</v>
      </c>
    </row>
    <row r="185" spans="1:2" x14ac:dyDescent="0.2">
      <c r="A185" s="3" t="s">
        <v>227</v>
      </c>
      <c r="B185" s="3">
        <v>5148</v>
      </c>
    </row>
    <row r="186" spans="1:2" x14ac:dyDescent="0.2">
      <c r="A186" s="3" t="s">
        <v>230</v>
      </c>
      <c r="B186" s="3">
        <v>7272</v>
      </c>
    </row>
    <row r="187" spans="1:2" x14ac:dyDescent="0.2">
      <c r="A187" s="3" t="s">
        <v>232</v>
      </c>
      <c r="B187" s="3">
        <v>8244</v>
      </c>
    </row>
    <row r="188" spans="1:2" x14ac:dyDescent="0.2">
      <c r="A188" s="3" t="s">
        <v>233</v>
      </c>
      <c r="B188" s="3">
        <v>6588</v>
      </c>
    </row>
    <row r="189" spans="1:2" x14ac:dyDescent="0.2">
      <c r="A189" s="3" t="s">
        <v>235</v>
      </c>
      <c r="B189" s="3">
        <v>6984</v>
      </c>
    </row>
    <row r="190" spans="1:2" x14ac:dyDescent="0.2">
      <c r="A190" s="3" t="s">
        <v>237</v>
      </c>
      <c r="B190" s="3">
        <v>468</v>
      </c>
    </row>
    <row r="191" spans="1:2" x14ac:dyDescent="0.2">
      <c r="A191" s="3" t="s">
        <v>238</v>
      </c>
      <c r="B191" s="3">
        <v>1296</v>
      </c>
    </row>
    <row r="192" spans="1:2" x14ac:dyDescent="0.2">
      <c r="A192" s="3" t="s">
        <v>179</v>
      </c>
      <c r="B192" s="3">
        <v>2160</v>
      </c>
    </row>
    <row r="193" spans="1:2" x14ac:dyDescent="0.2">
      <c r="A193" s="3" t="s">
        <v>239</v>
      </c>
      <c r="B193" s="3">
        <v>1620</v>
      </c>
    </row>
    <row r="194" spans="1:2" x14ac:dyDescent="0.2">
      <c r="A194" s="3" t="s">
        <v>240</v>
      </c>
      <c r="B194" s="3">
        <v>2052</v>
      </c>
    </row>
    <row r="195" spans="1:2" x14ac:dyDescent="0.2">
      <c r="A195" s="3" t="s">
        <v>241</v>
      </c>
      <c r="B195" s="3">
        <v>684</v>
      </c>
    </row>
    <row r="196" spans="1:2" x14ac:dyDescent="0.2">
      <c r="A196" s="3" t="s">
        <v>242</v>
      </c>
      <c r="B196" s="3">
        <v>2340</v>
      </c>
    </row>
    <row r="197" spans="1:2" x14ac:dyDescent="0.2">
      <c r="A197" s="3" t="s">
        <v>243</v>
      </c>
      <c r="B197" s="3">
        <v>1044</v>
      </c>
    </row>
    <row r="198" spans="1:2" x14ac:dyDescent="0.2">
      <c r="A198" s="3" t="s">
        <v>244</v>
      </c>
      <c r="B198" s="3">
        <v>648</v>
      </c>
    </row>
    <row r="199" spans="1:2" x14ac:dyDescent="0.2">
      <c r="A199" s="3" t="s">
        <v>245</v>
      </c>
      <c r="B199" s="3">
        <v>1080</v>
      </c>
    </row>
    <row r="200" spans="1:2" x14ac:dyDescent="0.2">
      <c r="A200" s="3" t="s">
        <v>248</v>
      </c>
      <c r="B200" s="3">
        <v>1512</v>
      </c>
    </row>
    <row r="201" spans="1:2" x14ac:dyDescent="0.2">
      <c r="A201" s="3" t="s">
        <v>175</v>
      </c>
      <c r="B201" s="3">
        <v>1080</v>
      </c>
    </row>
    <row r="202" spans="1:2" x14ac:dyDescent="0.2">
      <c r="A202" s="3" t="s">
        <v>249</v>
      </c>
      <c r="B202" s="3">
        <v>1116</v>
      </c>
    </row>
    <row r="203" spans="1:2" x14ac:dyDescent="0.2">
      <c r="A203" s="3" t="s">
        <v>250</v>
      </c>
      <c r="B203" s="3">
        <v>2088</v>
      </c>
    </row>
    <row r="204" spans="1:2" x14ac:dyDescent="0.2">
      <c r="A204" s="3" t="s">
        <v>251</v>
      </c>
      <c r="B204" s="3">
        <v>2880</v>
      </c>
    </row>
    <row r="205" spans="1:2" x14ac:dyDescent="0.2">
      <c r="A205" s="3" t="s">
        <v>252</v>
      </c>
      <c r="B205" s="3">
        <v>2952</v>
      </c>
    </row>
    <row r="206" spans="1:2" x14ac:dyDescent="0.2">
      <c r="A206" s="3" t="s">
        <v>254</v>
      </c>
      <c r="B206" s="3">
        <v>0</v>
      </c>
    </row>
    <row r="207" spans="1:2" x14ac:dyDescent="0.2">
      <c r="A207" s="3" t="s">
        <v>255</v>
      </c>
      <c r="B207" s="3">
        <v>0</v>
      </c>
    </row>
    <row r="208" spans="1:2" x14ac:dyDescent="0.2">
      <c r="A208" s="3" t="s">
        <v>256</v>
      </c>
      <c r="B208" s="3">
        <v>0</v>
      </c>
    </row>
    <row r="209" spans="1:2" x14ac:dyDescent="0.2">
      <c r="A209" s="3" t="s">
        <v>257</v>
      </c>
      <c r="B209" s="3">
        <v>0</v>
      </c>
    </row>
    <row r="210" spans="1:2" x14ac:dyDescent="0.2">
      <c r="A210" s="3" t="s">
        <v>258</v>
      </c>
      <c r="B210" s="3">
        <v>0</v>
      </c>
    </row>
    <row r="211" spans="1:2" x14ac:dyDescent="0.2">
      <c r="A211" s="3" t="s">
        <v>260</v>
      </c>
      <c r="B211" s="3">
        <v>180</v>
      </c>
    </row>
    <row r="212" spans="1:2" x14ac:dyDescent="0.2">
      <c r="A212" s="3" t="s">
        <v>108</v>
      </c>
      <c r="B212" s="3">
        <v>216</v>
      </c>
    </row>
    <row r="213" spans="1:2" x14ac:dyDescent="0.2">
      <c r="A213" s="3" t="s">
        <v>261</v>
      </c>
      <c r="B213" s="3">
        <v>324</v>
      </c>
    </row>
    <row r="214" spans="1:2" x14ac:dyDescent="0.2">
      <c r="A214" s="3" t="s">
        <v>262</v>
      </c>
      <c r="B214" s="3">
        <v>108</v>
      </c>
    </row>
    <row r="215" spans="1:2" x14ac:dyDescent="0.2">
      <c r="A215" s="3" t="s">
        <v>173</v>
      </c>
      <c r="B215" s="3">
        <v>144</v>
      </c>
    </row>
    <row r="216" spans="1:2" x14ac:dyDescent="0.2">
      <c r="A216" s="3" t="s">
        <v>264</v>
      </c>
      <c r="B216" s="3">
        <v>0</v>
      </c>
    </row>
    <row r="217" spans="1:2" x14ac:dyDescent="0.2">
      <c r="A217" s="3" t="s">
        <v>265</v>
      </c>
      <c r="B217" s="3">
        <v>0</v>
      </c>
    </row>
    <row r="218" spans="1:2" x14ac:dyDescent="0.2">
      <c r="A218" s="3" t="s">
        <v>266</v>
      </c>
      <c r="B218" s="3">
        <v>0</v>
      </c>
    </row>
    <row r="219" spans="1:2" x14ac:dyDescent="0.2">
      <c r="A219" s="3" t="s">
        <v>267</v>
      </c>
      <c r="B219" s="3">
        <v>0</v>
      </c>
    </row>
    <row r="220" spans="1:2" x14ac:dyDescent="0.2">
      <c r="A220" s="3" t="s">
        <v>269</v>
      </c>
      <c r="B220" s="3">
        <v>4752</v>
      </c>
    </row>
    <row r="221" spans="1:2" x14ac:dyDescent="0.2">
      <c r="A221" s="3" t="s">
        <v>270</v>
      </c>
      <c r="B221" s="3">
        <v>5328</v>
      </c>
    </row>
    <row r="222" spans="1:2" x14ac:dyDescent="0.2">
      <c r="A222" s="3" t="s">
        <v>272</v>
      </c>
      <c r="B222" s="3">
        <v>6372</v>
      </c>
    </row>
    <row r="223" spans="1:2" x14ac:dyDescent="0.2">
      <c r="A223" s="3" t="s">
        <v>273</v>
      </c>
      <c r="B223" s="3">
        <v>4104</v>
      </c>
    </row>
    <row r="224" spans="1:2" x14ac:dyDescent="0.2">
      <c r="A224" s="3" t="s">
        <v>274</v>
      </c>
      <c r="B224" s="3">
        <v>3456</v>
      </c>
    </row>
    <row r="225" spans="1:2" x14ac:dyDescent="0.2">
      <c r="A225" s="3" t="s">
        <v>275</v>
      </c>
      <c r="B225" s="3">
        <v>5760</v>
      </c>
    </row>
    <row r="226" spans="1:2" x14ac:dyDescent="0.2">
      <c r="A226" s="3" t="s">
        <v>276</v>
      </c>
      <c r="B226" s="3">
        <v>2808</v>
      </c>
    </row>
    <row r="227" spans="1:2" x14ac:dyDescent="0.2">
      <c r="A227" s="3" t="s">
        <v>271</v>
      </c>
      <c r="B227" s="3">
        <v>432</v>
      </c>
    </row>
    <row r="228" spans="1:2" x14ac:dyDescent="0.2">
      <c r="A228" s="3" t="s">
        <v>278</v>
      </c>
      <c r="B228" s="3">
        <v>1008</v>
      </c>
    </row>
    <row r="229" spans="1:2" x14ac:dyDescent="0.2">
      <c r="A229" s="3" t="s">
        <v>280</v>
      </c>
      <c r="B229" s="3">
        <v>828</v>
      </c>
    </row>
    <row r="230" spans="1:2" x14ac:dyDescent="0.2">
      <c r="A230" s="3" t="s">
        <v>281</v>
      </c>
      <c r="B230" s="3">
        <v>1584</v>
      </c>
    </row>
    <row r="231" spans="1:2" x14ac:dyDescent="0.2">
      <c r="A231" s="3" t="s">
        <v>282</v>
      </c>
      <c r="B231" s="3">
        <v>2196</v>
      </c>
    </row>
    <row r="232" spans="1:2" x14ac:dyDescent="0.2">
      <c r="A232" s="3" t="s">
        <v>283</v>
      </c>
      <c r="B232" s="3">
        <v>2700</v>
      </c>
    </row>
    <row r="233" spans="1:2" x14ac:dyDescent="0.2">
      <c r="A233" s="3" t="s">
        <v>284</v>
      </c>
      <c r="B233" s="3">
        <v>2268</v>
      </c>
    </row>
    <row r="234" spans="1:2" x14ac:dyDescent="0.2">
      <c r="A234" s="3" t="s">
        <v>285</v>
      </c>
      <c r="B234" s="3">
        <v>2232</v>
      </c>
    </row>
    <row r="235" spans="1:2" x14ac:dyDescent="0.2">
      <c r="A235" s="3" t="s">
        <v>286</v>
      </c>
      <c r="B235" s="3">
        <v>3672</v>
      </c>
    </row>
    <row r="236" spans="1:2" x14ac:dyDescent="0.2">
      <c r="A236" s="3" t="s">
        <v>287</v>
      </c>
      <c r="B236" s="3">
        <v>2808</v>
      </c>
    </row>
    <row r="237" spans="1:2" x14ac:dyDescent="0.2">
      <c r="A237" s="3" t="s">
        <v>288</v>
      </c>
      <c r="B237" s="3">
        <v>5148</v>
      </c>
    </row>
    <row r="238" spans="1:2" x14ac:dyDescent="0.2">
      <c r="A238" s="3" t="s">
        <v>289</v>
      </c>
      <c r="B238" s="3">
        <v>4464</v>
      </c>
    </row>
    <row r="239" spans="1:2" x14ac:dyDescent="0.2">
      <c r="A239" s="3" t="s">
        <v>290</v>
      </c>
      <c r="B239" s="3">
        <v>4356</v>
      </c>
    </row>
    <row r="240" spans="1:2" x14ac:dyDescent="0.2">
      <c r="A240" s="3" t="s">
        <v>291</v>
      </c>
      <c r="B240" s="3">
        <v>1116</v>
      </c>
    </row>
    <row r="241" spans="1:2" x14ac:dyDescent="0.2">
      <c r="A241" s="3" t="s">
        <v>292</v>
      </c>
      <c r="B241" s="3">
        <v>1620</v>
      </c>
    </row>
    <row r="242" spans="1:2" x14ac:dyDescent="0.2">
      <c r="A242" s="3" t="s">
        <v>294</v>
      </c>
      <c r="B242" s="3">
        <v>4428</v>
      </c>
    </row>
    <row r="243" spans="1:2" x14ac:dyDescent="0.2">
      <c r="A243" s="3" t="s">
        <v>296</v>
      </c>
      <c r="B243" s="3">
        <v>324</v>
      </c>
    </row>
    <row r="244" spans="1:2" x14ac:dyDescent="0.2">
      <c r="A244" s="3" t="s">
        <v>297</v>
      </c>
      <c r="B244" s="3">
        <v>1260</v>
      </c>
    </row>
    <row r="245" spans="1:2" x14ac:dyDescent="0.2">
      <c r="A245" s="3" t="s">
        <v>298</v>
      </c>
      <c r="B245" s="3">
        <v>1224</v>
      </c>
    </row>
    <row r="246" spans="1:2" x14ac:dyDescent="0.2">
      <c r="A246" s="3" t="s">
        <v>299</v>
      </c>
      <c r="B246" s="3">
        <v>3600</v>
      </c>
    </row>
    <row r="247" spans="1:2" x14ac:dyDescent="0.2">
      <c r="A247" s="3" t="s">
        <v>300</v>
      </c>
      <c r="B247" s="3">
        <v>2484</v>
      </c>
    </row>
    <row r="248" spans="1:2" x14ac:dyDescent="0.2">
      <c r="A248" s="3" t="s">
        <v>301</v>
      </c>
      <c r="B248" s="3">
        <v>3096</v>
      </c>
    </row>
    <row r="249" spans="1:2" x14ac:dyDescent="0.2">
      <c r="A249" s="3" t="s">
        <v>303</v>
      </c>
      <c r="B249" s="3">
        <v>2196</v>
      </c>
    </row>
    <row r="250" spans="1:2" x14ac:dyDescent="0.2">
      <c r="A250" s="3" t="s">
        <v>306</v>
      </c>
      <c r="B250" s="3">
        <v>1512</v>
      </c>
    </row>
    <row r="251" spans="1:2" x14ac:dyDescent="0.2">
      <c r="A251" s="3" t="s">
        <v>307</v>
      </c>
      <c r="B251" s="3">
        <v>2124</v>
      </c>
    </row>
    <row r="252" spans="1:2" x14ac:dyDescent="0.2">
      <c r="A252" s="3" t="s">
        <v>309</v>
      </c>
      <c r="B252" s="3">
        <v>2700</v>
      </c>
    </row>
    <row r="253" spans="1:2" x14ac:dyDescent="0.2">
      <c r="A253" s="3" t="s">
        <v>311</v>
      </c>
      <c r="B253" s="3">
        <v>4716</v>
      </c>
    </row>
    <row r="254" spans="1:2" x14ac:dyDescent="0.2">
      <c r="A254" s="3" t="s">
        <v>312</v>
      </c>
      <c r="B254" s="3">
        <v>2196</v>
      </c>
    </row>
    <row r="255" spans="1:2" x14ac:dyDescent="0.2">
      <c r="A255" s="3" t="s">
        <v>313</v>
      </c>
      <c r="B255" s="3">
        <v>2664</v>
      </c>
    </row>
    <row r="256" spans="1:2" x14ac:dyDescent="0.2">
      <c r="A256" s="3" t="s">
        <v>315</v>
      </c>
      <c r="B256" s="3">
        <v>7452</v>
      </c>
    </row>
    <row r="257" spans="1:2" x14ac:dyDescent="0.2">
      <c r="A257" s="3" t="s">
        <v>317</v>
      </c>
      <c r="B257" s="3">
        <v>7236</v>
      </c>
    </row>
    <row r="258" spans="1:2" x14ac:dyDescent="0.2">
      <c r="A258" s="3" t="s">
        <v>319</v>
      </c>
      <c r="B258" s="3">
        <v>7632</v>
      </c>
    </row>
    <row r="259" spans="1:2" x14ac:dyDescent="0.2">
      <c r="A259" s="3" t="s">
        <v>320</v>
      </c>
      <c r="B259" s="3">
        <v>7596</v>
      </c>
    </row>
    <row r="260" spans="1:2" x14ac:dyDescent="0.2">
      <c r="A260" s="3" t="s">
        <v>321</v>
      </c>
      <c r="B260" s="3">
        <v>2664</v>
      </c>
    </row>
    <row r="261" spans="1:2" x14ac:dyDescent="0.2">
      <c r="A261" s="3" t="s">
        <v>322</v>
      </c>
      <c r="B261" s="3">
        <v>4680</v>
      </c>
    </row>
    <row r="262" spans="1:2" x14ac:dyDescent="0.2">
      <c r="A262" s="3" t="s">
        <v>323</v>
      </c>
      <c r="B262" s="3">
        <v>2340</v>
      </c>
    </row>
    <row r="263" spans="1:2" x14ac:dyDescent="0.2">
      <c r="A263" s="3" t="s">
        <v>324</v>
      </c>
      <c r="B263" s="3">
        <v>3168</v>
      </c>
    </row>
    <row r="264" spans="1:2" x14ac:dyDescent="0.2">
      <c r="A264" s="3" t="s">
        <v>325</v>
      </c>
      <c r="B264" s="3">
        <v>5976</v>
      </c>
    </row>
    <row r="265" spans="1:2" x14ac:dyDescent="0.2">
      <c r="A265" s="3" t="s">
        <v>326</v>
      </c>
      <c r="B265" s="3">
        <v>5544</v>
      </c>
    </row>
    <row r="266" spans="1:2" x14ac:dyDescent="0.2">
      <c r="A266" s="3" t="s">
        <v>327</v>
      </c>
      <c r="B266" s="3">
        <v>2160</v>
      </c>
    </row>
    <row r="267" spans="1:2" x14ac:dyDescent="0.2">
      <c r="A267" s="3" t="s">
        <v>329</v>
      </c>
      <c r="B267" s="3">
        <v>5328</v>
      </c>
    </row>
    <row r="268" spans="1:2" x14ac:dyDescent="0.2">
      <c r="A268" s="3" t="s">
        <v>330</v>
      </c>
      <c r="B268" s="3">
        <v>6480</v>
      </c>
    </row>
    <row r="269" spans="1:2" x14ac:dyDescent="0.2">
      <c r="A269" s="3" t="s">
        <v>331</v>
      </c>
      <c r="B269" s="3">
        <v>5832</v>
      </c>
    </row>
    <row r="270" spans="1:2" x14ac:dyDescent="0.2">
      <c r="A270" s="3" t="s">
        <v>332</v>
      </c>
      <c r="B270" s="3">
        <v>2556</v>
      </c>
    </row>
    <row r="271" spans="1:2" x14ac:dyDescent="0.2">
      <c r="A271" s="3" t="s">
        <v>333</v>
      </c>
      <c r="B271" s="3">
        <v>6012</v>
      </c>
    </row>
    <row r="272" spans="1:2" x14ac:dyDescent="0.2">
      <c r="A272" s="3" t="s">
        <v>334</v>
      </c>
      <c r="B272" s="3">
        <v>4644</v>
      </c>
    </row>
    <row r="273" spans="1:2" x14ac:dyDescent="0.2">
      <c r="A273" s="3" t="s">
        <v>335</v>
      </c>
      <c r="B273" s="3">
        <v>4176</v>
      </c>
    </row>
    <row r="274" spans="1:2" x14ac:dyDescent="0.2">
      <c r="A274" s="3" t="s">
        <v>336</v>
      </c>
      <c r="B274" s="3">
        <v>3024</v>
      </c>
    </row>
    <row r="275" spans="1:2" x14ac:dyDescent="0.2">
      <c r="A275" s="3" t="s">
        <v>338</v>
      </c>
      <c r="B275" s="3">
        <v>1548</v>
      </c>
    </row>
    <row r="276" spans="1:2" x14ac:dyDescent="0.2">
      <c r="A276" s="3" t="s">
        <v>57</v>
      </c>
      <c r="B276" s="3">
        <v>2772</v>
      </c>
    </row>
    <row r="277" spans="1:2" x14ac:dyDescent="0.2">
      <c r="A277" s="3" t="s">
        <v>318</v>
      </c>
      <c r="B277" s="3">
        <v>3672</v>
      </c>
    </row>
    <row r="278" spans="1:2" x14ac:dyDescent="0.2">
      <c r="A278" s="3" t="s">
        <v>112</v>
      </c>
      <c r="B278" s="3">
        <v>3780</v>
      </c>
    </row>
    <row r="279" spans="1:2" x14ac:dyDescent="0.2">
      <c r="A279" s="3" t="s">
        <v>339</v>
      </c>
      <c r="B279" s="3">
        <v>4680</v>
      </c>
    </row>
    <row r="280" spans="1:2" x14ac:dyDescent="0.2">
      <c r="A280" s="3" t="s">
        <v>198</v>
      </c>
      <c r="B280" s="3">
        <v>2304</v>
      </c>
    </row>
    <row r="281" spans="1:2" x14ac:dyDescent="0.2">
      <c r="A281" s="3" t="s">
        <v>87</v>
      </c>
      <c r="B281" s="3">
        <v>2520</v>
      </c>
    </row>
    <row r="282" spans="1:2" x14ac:dyDescent="0.2">
      <c r="A282" s="3" t="s">
        <v>340</v>
      </c>
      <c r="B282" s="3">
        <v>2880</v>
      </c>
    </row>
    <row r="283" spans="1:2" x14ac:dyDescent="0.2">
      <c r="A283" s="3" t="s">
        <v>342</v>
      </c>
      <c r="B283" s="3">
        <v>2412</v>
      </c>
    </row>
    <row r="284" spans="1:2" x14ac:dyDescent="0.2">
      <c r="A284" s="3" t="s">
        <v>343</v>
      </c>
      <c r="B284" s="3">
        <v>3096</v>
      </c>
    </row>
    <row r="285" spans="1:2" x14ac:dyDescent="0.2">
      <c r="A285" s="3" t="s">
        <v>344</v>
      </c>
      <c r="B285" s="3">
        <v>3276</v>
      </c>
    </row>
    <row r="286" spans="1:2" x14ac:dyDescent="0.2">
      <c r="A286" s="3" t="s">
        <v>345</v>
      </c>
      <c r="B286" s="3">
        <v>6768</v>
      </c>
    </row>
    <row r="287" spans="1:2" x14ac:dyDescent="0.2">
      <c r="A287" s="3" t="s">
        <v>346</v>
      </c>
      <c r="B287" s="3">
        <v>10980</v>
      </c>
    </row>
    <row r="288" spans="1:2" x14ac:dyDescent="0.2">
      <c r="A288" s="3" t="s">
        <v>228</v>
      </c>
      <c r="B288" s="3">
        <v>1476</v>
      </c>
    </row>
    <row r="289" spans="1:2" x14ac:dyDescent="0.2">
      <c r="A289" s="3" t="s">
        <v>229</v>
      </c>
      <c r="B289" s="3">
        <v>1800</v>
      </c>
    </row>
    <row r="290" spans="1:2" x14ac:dyDescent="0.2">
      <c r="A290" s="3" t="s">
        <v>231</v>
      </c>
      <c r="B290" s="3">
        <v>2052</v>
      </c>
    </row>
    <row r="291" spans="1:2" x14ac:dyDescent="0.2">
      <c r="A291" s="3" t="s">
        <v>191</v>
      </c>
      <c r="B291" s="3">
        <v>1080</v>
      </c>
    </row>
    <row r="292" spans="1:2" x14ac:dyDescent="0.2">
      <c r="A292" s="3" t="s">
        <v>234</v>
      </c>
      <c r="B292" s="3">
        <v>1296</v>
      </c>
    </row>
    <row r="293" spans="1:2" x14ac:dyDescent="0.2">
      <c r="A293" s="3" t="s">
        <v>349</v>
      </c>
      <c r="B293" s="3">
        <v>5472</v>
      </c>
    </row>
    <row r="294" spans="1:2" x14ac:dyDescent="0.2">
      <c r="A294" s="3" t="s">
        <v>350</v>
      </c>
      <c r="B294" s="3">
        <v>3204</v>
      </c>
    </row>
    <row r="295" spans="1:2" x14ac:dyDescent="0.2">
      <c r="A295" s="3" t="s">
        <v>351</v>
      </c>
      <c r="B295" s="3">
        <v>3492</v>
      </c>
    </row>
    <row r="296" spans="1:2" x14ac:dyDescent="0.2">
      <c r="A296" s="3" t="s">
        <v>352</v>
      </c>
      <c r="B296" s="3">
        <v>2664</v>
      </c>
    </row>
    <row r="297" spans="1:2" x14ac:dyDescent="0.2">
      <c r="A297" s="3" t="s">
        <v>353</v>
      </c>
      <c r="B297" s="3">
        <v>5040</v>
      </c>
    </row>
    <row r="298" spans="1:2" x14ac:dyDescent="0.2">
      <c r="A298" s="3" t="s">
        <v>354</v>
      </c>
      <c r="B298" s="3">
        <v>3132</v>
      </c>
    </row>
    <row r="299" spans="1:2" x14ac:dyDescent="0.2">
      <c r="A299" s="3" t="s">
        <v>355</v>
      </c>
      <c r="B299" s="3">
        <v>5112</v>
      </c>
    </row>
    <row r="300" spans="1:2" x14ac:dyDescent="0.2">
      <c r="A300" s="3" t="s">
        <v>356</v>
      </c>
      <c r="B300" s="3">
        <v>5220</v>
      </c>
    </row>
    <row r="301" spans="1:2" x14ac:dyDescent="0.2">
      <c r="A301" s="3" t="s">
        <v>358</v>
      </c>
      <c r="B301" s="3">
        <v>6120</v>
      </c>
    </row>
    <row r="302" spans="1:2" x14ac:dyDescent="0.2">
      <c r="A302" s="3" t="s">
        <v>359</v>
      </c>
      <c r="B302" s="3">
        <v>4788</v>
      </c>
    </row>
    <row r="303" spans="1:2" x14ac:dyDescent="0.2">
      <c r="A303" s="3" t="s">
        <v>360</v>
      </c>
      <c r="B303" s="3">
        <v>3924</v>
      </c>
    </row>
    <row r="304" spans="1:2" x14ac:dyDescent="0.2">
      <c r="A304" s="3" t="s">
        <v>361</v>
      </c>
      <c r="B304" s="3">
        <v>2988</v>
      </c>
    </row>
    <row r="305" spans="1:2" x14ac:dyDescent="0.2">
      <c r="A305" s="3" t="s">
        <v>362</v>
      </c>
      <c r="B305" s="3">
        <v>2700</v>
      </c>
    </row>
    <row r="306" spans="1:2" x14ac:dyDescent="0.2">
      <c r="A306" s="3" t="s">
        <v>363</v>
      </c>
      <c r="B306" s="3">
        <v>3276</v>
      </c>
    </row>
    <row r="307" spans="1:2" x14ac:dyDescent="0.2">
      <c r="A307" s="3" t="s">
        <v>364</v>
      </c>
      <c r="B307" s="3">
        <v>4320</v>
      </c>
    </row>
    <row r="308" spans="1:2" x14ac:dyDescent="0.2">
      <c r="A308" s="3" t="s">
        <v>365</v>
      </c>
      <c r="B308" s="3">
        <v>2556</v>
      </c>
    </row>
    <row r="309" spans="1:2" x14ac:dyDescent="0.2">
      <c r="A309" s="3" t="s">
        <v>366</v>
      </c>
      <c r="B309" s="3">
        <v>4392</v>
      </c>
    </row>
    <row r="310" spans="1:2" x14ac:dyDescent="0.2">
      <c r="A310" s="3" t="s">
        <v>367</v>
      </c>
      <c r="B310" s="3">
        <v>2376</v>
      </c>
    </row>
    <row r="311" spans="1:2" x14ac:dyDescent="0.2">
      <c r="A311" s="3" t="s">
        <v>368</v>
      </c>
      <c r="B311" s="3">
        <v>1764</v>
      </c>
    </row>
    <row r="312" spans="1:2" x14ac:dyDescent="0.2">
      <c r="A312" s="3" t="s">
        <v>28</v>
      </c>
      <c r="B312" s="3">
        <v>324</v>
      </c>
    </row>
    <row r="313" spans="1:2" x14ac:dyDescent="0.2">
      <c r="A313" s="3" t="s">
        <v>40</v>
      </c>
      <c r="B313" s="3">
        <v>504</v>
      </c>
    </row>
    <row r="314" spans="1:2" x14ac:dyDescent="0.2">
      <c r="A314" s="3" t="s">
        <v>47</v>
      </c>
      <c r="B314" s="3">
        <v>900</v>
      </c>
    </row>
    <row r="315" spans="1:2" x14ac:dyDescent="0.2">
      <c r="A315" s="3" t="s">
        <v>372</v>
      </c>
      <c r="B315" s="3">
        <v>4896</v>
      </c>
    </row>
    <row r="316" spans="1:2" x14ac:dyDescent="0.2">
      <c r="A316" s="3" t="s">
        <v>373</v>
      </c>
      <c r="B316" s="3">
        <v>6372</v>
      </c>
    </row>
    <row r="317" spans="1:2" x14ac:dyDescent="0.2">
      <c r="A317" s="3" t="s">
        <v>374</v>
      </c>
      <c r="B317" s="3">
        <v>5508</v>
      </c>
    </row>
    <row r="318" spans="1:2" x14ac:dyDescent="0.2">
      <c r="A318" s="3" t="s">
        <v>375</v>
      </c>
      <c r="B318" s="3">
        <v>6480</v>
      </c>
    </row>
    <row r="319" spans="1:2" x14ac:dyDescent="0.2">
      <c r="A319" s="3" t="s">
        <v>376</v>
      </c>
      <c r="B319" s="3">
        <v>4644</v>
      </c>
    </row>
    <row r="320" spans="1:2" x14ac:dyDescent="0.2">
      <c r="A320" s="3" t="s">
        <v>378</v>
      </c>
      <c r="B320" s="3">
        <v>3960</v>
      </c>
    </row>
    <row r="321" spans="1:2" x14ac:dyDescent="0.2">
      <c r="A321" s="3" t="s">
        <v>379</v>
      </c>
      <c r="B321" s="3">
        <v>3924</v>
      </c>
    </row>
    <row r="322" spans="1:2" x14ac:dyDescent="0.2">
      <c r="A322" s="3" t="s">
        <v>380</v>
      </c>
      <c r="B322" s="3">
        <v>2412</v>
      </c>
    </row>
    <row r="323" spans="1:2" x14ac:dyDescent="0.2">
      <c r="A323" s="3" t="s">
        <v>381</v>
      </c>
      <c r="B323" s="3">
        <v>4320</v>
      </c>
    </row>
    <row r="324" spans="1:2" x14ac:dyDescent="0.2">
      <c r="A324" s="3" t="s">
        <v>383</v>
      </c>
      <c r="B324" s="3">
        <v>2412</v>
      </c>
    </row>
    <row r="325" spans="1:2" x14ac:dyDescent="0.2">
      <c r="A325" s="3" t="s">
        <v>385</v>
      </c>
      <c r="B325" s="3">
        <v>1908</v>
      </c>
    </row>
    <row r="326" spans="1:2" x14ac:dyDescent="0.2">
      <c r="A326" s="3" t="s">
        <v>386</v>
      </c>
      <c r="B326" s="3">
        <v>3132</v>
      </c>
    </row>
    <row r="327" spans="1:2" x14ac:dyDescent="0.2">
      <c r="A327" s="3" t="s">
        <v>387</v>
      </c>
      <c r="B327" s="3">
        <v>2412</v>
      </c>
    </row>
    <row r="328" spans="1:2" x14ac:dyDescent="0.2">
      <c r="A328" s="3" t="s">
        <v>388</v>
      </c>
      <c r="B328" s="3">
        <v>1692</v>
      </c>
    </row>
    <row r="329" spans="1:2" x14ac:dyDescent="0.2">
      <c r="A329" s="3" t="s">
        <v>389</v>
      </c>
      <c r="B329" s="3">
        <v>2556</v>
      </c>
    </row>
    <row r="330" spans="1:2" x14ac:dyDescent="0.2">
      <c r="A330" s="3" t="s">
        <v>390</v>
      </c>
      <c r="B330" s="3">
        <v>2520</v>
      </c>
    </row>
    <row r="331" spans="1:2" x14ac:dyDescent="0.2">
      <c r="A331" s="3" t="s">
        <v>391</v>
      </c>
      <c r="B331" s="3">
        <v>2556</v>
      </c>
    </row>
    <row r="332" spans="1:2" x14ac:dyDescent="0.2">
      <c r="A332" s="3" t="s">
        <v>393</v>
      </c>
      <c r="B332" s="3">
        <v>2052</v>
      </c>
    </row>
    <row r="333" spans="1:2" x14ac:dyDescent="0.2">
      <c r="A333" s="3" t="s">
        <v>394</v>
      </c>
      <c r="B333" s="3">
        <v>5436</v>
      </c>
    </row>
    <row r="334" spans="1:2" x14ac:dyDescent="0.2">
      <c r="A334" s="3" t="s">
        <v>395</v>
      </c>
      <c r="B334" s="3">
        <v>5976</v>
      </c>
    </row>
    <row r="335" spans="1:2" x14ac:dyDescent="0.2">
      <c r="A335" s="3" t="s">
        <v>396</v>
      </c>
      <c r="B335" s="3">
        <v>30</v>
      </c>
    </row>
    <row r="336" spans="1:2" ht="15.75" customHeight="1" x14ac:dyDescent="0.25">
      <c r="A336" s="9"/>
      <c r="B336" s="9"/>
    </row>
    <row r="337" spans="1:2" ht="15.75" customHeight="1" x14ac:dyDescent="0.25">
      <c r="A337" s="9"/>
      <c r="B337" s="9"/>
    </row>
    <row r="338" spans="1:2" ht="15.75" customHeight="1" x14ac:dyDescent="0.25">
      <c r="A338" s="9"/>
      <c r="B338" s="9"/>
    </row>
    <row r="339" spans="1:2" ht="15.75" customHeight="1" x14ac:dyDescent="0.25">
      <c r="A339" s="9"/>
      <c r="B339" s="9"/>
    </row>
    <row r="340" spans="1:2" ht="15.75" customHeight="1" x14ac:dyDescent="0.25">
      <c r="A340" s="9"/>
      <c r="B340" s="9"/>
    </row>
    <row r="341" spans="1:2" ht="15.75" customHeight="1" x14ac:dyDescent="0.25">
      <c r="A341" s="9"/>
      <c r="B341" s="9"/>
    </row>
    <row r="342" spans="1:2" ht="15.75" customHeight="1" x14ac:dyDescent="0.25">
      <c r="A342" s="9"/>
      <c r="B342" s="9"/>
    </row>
    <row r="343" spans="1:2" ht="15.75" customHeight="1" x14ac:dyDescent="0.25">
      <c r="A343" s="9"/>
      <c r="B343" s="9"/>
    </row>
    <row r="344" spans="1:2" ht="15.75" customHeight="1" x14ac:dyDescent="0.25">
      <c r="A344" s="9"/>
      <c r="B344" s="9"/>
    </row>
    <row r="345" spans="1:2" ht="15.75" customHeight="1" x14ac:dyDescent="0.25">
      <c r="A345" s="9"/>
      <c r="B345" s="9"/>
    </row>
    <row r="346" spans="1:2" ht="15.75" customHeight="1" x14ac:dyDescent="0.25">
      <c r="A346" s="9"/>
      <c r="B346" s="9"/>
    </row>
    <row r="347" spans="1:2" ht="15.75" customHeight="1" x14ac:dyDescent="0.25">
      <c r="A347" s="9"/>
      <c r="B347" s="9"/>
    </row>
    <row r="348" spans="1:2" ht="15.75" customHeight="1" x14ac:dyDescent="0.25">
      <c r="A348" s="9"/>
      <c r="B348" s="9"/>
    </row>
    <row r="349" spans="1:2" ht="15.75" customHeight="1" x14ac:dyDescent="0.25">
      <c r="A349" s="9"/>
      <c r="B349" s="9"/>
    </row>
    <row r="350" spans="1:2" ht="15.75" customHeight="1" x14ac:dyDescent="0.25">
      <c r="A350" s="9"/>
      <c r="B350" s="9"/>
    </row>
    <row r="351" spans="1:2" ht="15.75" customHeight="1" x14ac:dyDescent="0.25">
      <c r="A351" s="9"/>
      <c r="B351" s="9"/>
    </row>
    <row r="352" spans="1:2" ht="15.75" customHeight="1" x14ac:dyDescent="0.25">
      <c r="A352" s="9"/>
      <c r="B352" s="9"/>
    </row>
    <row r="353" spans="1:2" ht="15.75" customHeight="1" x14ac:dyDescent="0.25">
      <c r="A353" s="9"/>
      <c r="B353" s="9"/>
    </row>
    <row r="354" spans="1:2" ht="15.75" customHeight="1" x14ac:dyDescent="0.25">
      <c r="A354" s="9"/>
      <c r="B354" s="9"/>
    </row>
    <row r="355" spans="1:2" ht="15.75" customHeight="1" x14ac:dyDescent="0.25">
      <c r="A355" s="9"/>
      <c r="B355" s="9"/>
    </row>
    <row r="356" spans="1:2" ht="15.75" customHeight="1" x14ac:dyDescent="0.25">
      <c r="A356" s="9"/>
      <c r="B356" s="9"/>
    </row>
    <row r="357" spans="1:2" ht="15.75" customHeight="1" x14ac:dyDescent="0.25">
      <c r="A357" s="9"/>
      <c r="B357" s="9"/>
    </row>
    <row r="358" spans="1:2" ht="15.75" customHeight="1" x14ac:dyDescent="0.25">
      <c r="A358" s="9"/>
      <c r="B358" s="9"/>
    </row>
    <row r="359" spans="1:2" ht="15.75" customHeight="1" x14ac:dyDescent="0.25">
      <c r="A359" s="9"/>
      <c r="B359" s="9"/>
    </row>
    <row r="360" spans="1:2" ht="15.75" customHeight="1" x14ac:dyDescent="0.25">
      <c r="A360" s="9"/>
      <c r="B360" s="9"/>
    </row>
    <row r="361" spans="1:2" ht="15.75" customHeight="1" x14ac:dyDescent="0.25">
      <c r="A361" s="9"/>
      <c r="B361" s="9"/>
    </row>
    <row r="362" spans="1:2" ht="15.75" customHeight="1" x14ac:dyDescent="0.25">
      <c r="A362" s="9"/>
      <c r="B362" s="9"/>
    </row>
    <row r="363" spans="1:2" ht="15.75" customHeight="1" x14ac:dyDescent="0.25">
      <c r="A363" s="9"/>
      <c r="B363" s="9"/>
    </row>
    <row r="364" spans="1:2" ht="15.75" customHeight="1" x14ac:dyDescent="0.25">
      <c r="A364" s="9"/>
      <c r="B364" s="9"/>
    </row>
    <row r="365" spans="1:2" ht="15.75" customHeight="1" x14ac:dyDescent="0.25">
      <c r="A365" s="9"/>
      <c r="B365" s="9"/>
    </row>
    <row r="366" spans="1:2" ht="15.75" customHeight="1" x14ac:dyDescent="0.25">
      <c r="A366" s="9"/>
      <c r="B366" s="9"/>
    </row>
    <row r="367" spans="1:2" ht="15.75" customHeight="1" x14ac:dyDescent="0.25">
      <c r="A367" s="9"/>
      <c r="B367" s="9"/>
    </row>
    <row r="368" spans="1:2" ht="15.75" customHeight="1" x14ac:dyDescent="0.25">
      <c r="A368" s="9"/>
      <c r="B368" s="9"/>
    </row>
    <row r="369" spans="1:2" ht="15.75" customHeight="1" x14ac:dyDescent="0.25">
      <c r="A369" s="9"/>
      <c r="B369" s="9"/>
    </row>
    <row r="370" spans="1:2" ht="15.75" customHeight="1" x14ac:dyDescent="0.25">
      <c r="A370" s="9"/>
      <c r="B370" s="9"/>
    </row>
    <row r="371" spans="1:2" ht="15.75" customHeight="1" x14ac:dyDescent="0.25">
      <c r="A371" s="9"/>
      <c r="B371" s="9"/>
    </row>
    <row r="372" spans="1:2" ht="15.75" customHeight="1" x14ac:dyDescent="0.25">
      <c r="A372" s="9"/>
      <c r="B372" s="9"/>
    </row>
    <row r="373" spans="1:2" ht="15.75" customHeight="1" x14ac:dyDescent="0.25">
      <c r="A373" s="9"/>
      <c r="B373" s="9"/>
    </row>
    <row r="374" spans="1:2" ht="15.75" customHeight="1" x14ac:dyDescent="0.25">
      <c r="A374" s="9"/>
      <c r="B374" s="9"/>
    </row>
    <row r="375" spans="1:2" ht="15.75" customHeight="1" x14ac:dyDescent="0.25">
      <c r="A375" s="9"/>
      <c r="B375" s="9"/>
    </row>
    <row r="376" spans="1:2" ht="15.75" customHeight="1" x14ac:dyDescent="0.25">
      <c r="A376" s="9"/>
      <c r="B376" s="9"/>
    </row>
    <row r="377" spans="1:2" ht="15.75" customHeight="1" x14ac:dyDescent="0.25">
      <c r="A377" s="9"/>
      <c r="B377" s="9"/>
    </row>
    <row r="378" spans="1:2" ht="15.75" customHeight="1" x14ac:dyDescent="0.25">
      <c r="A378" s="9"/>
      <c r="B378" s="9"/>
    </row>
    <row r="379" spans="1:2" ht="15.75" customHeight="1" x14ac:dyDescent="0.25">
      <c r="A379" s="9"/>
      <c r="B379" s="9"/>
    </row>
    <row r="380" spans="1:2" ht="15.75" customHeight="1" x14ac:dyDescent="0.25">
      <c r="A380" s="9"/>
      <c r="B380" s="9"/>
    </row>
    <row r="381" spans="1:2" ht="15.75" customHeight="1" x14ac:dyDescent="0.25">
      <c r="A381" s="9"/>
      <c r="B381" s="9"/>
    </row>
    <row r="382" spans="1:2" ht="15.75" customHeight="1" x14ac:dyDescent="0.25">
      <c r="A382" s="9"/>
      <c r="B382" s="9"/>
    </row>
    <row r="383" spans="1:2" ht="15.75" customHeight="1" x14ac:dyDescent="0.25">
      <c r="A383" s="9"/>
      <c r="B383" s="9"/>
    </row>
    <row r="384" spans="1:2" ht="15.75" customHeight="1" x14ac:dyDescent="0.25">
      <c r="A384" s="9"/>
      <c r="B384" s="9"/>
    </row>
    <row r="385" spans="1:2" ht="15.75" customHeight="1" x14ac:dyDescent="0.25">
      <c r="A385" s="9"/>
      <c r="B385" s="9"/>
    </row>
    <row r="386" spans="1:2" ht="15.75" customHeight="1" x14ac:dyDescent="0.25">
      <c r="A386" s="9"/>
      <c r="B386" s="9"/>
    </row>
    <row r="387" spans="1:2" ht="15.75" customHeight="1" x14ac:dyDescent="0.25">
      <c r="A387" s="9"/>
      <c r="B387" s="9"/>
    </row>
    <row r="388" spans="1:2" ht="15.75" customHeight="1" x14ac:dyDescent="0.25">
      <c r="A388" s="9"/>
      <c r="B388" s="9"/>
    </row>
    <row r="389" spans="1:2" ht="15.75" customHeight="1" x14ac:dyDescent="0.25">
      <c r="A389" s="9"/>
      <c r="B389" s="9"/>
    </row>
    <row r="390" spans="1:2" ht="15.75" customHeight="1" x14ac:dyDescent="0.25">
      <c r="A390" s="9"/>
      <c r="B390" s="9"/>
    </row>
    <row r="391" spans="1:2" ht="15.75" customHeight="1" x14ac:dyDescent="0.25">
      <c r="A391" s="9"/>
      <c r="B391" s="9"/>
    </row>
    <row r="392" spans="1:2" ht="15.75" customHeight="1" x14ac:dyDescent="0.25">
      <c r="A392" s="9"/>
      <c r="B392" s="9"/>
    </row>
    <row r="393" spans="1:2" ht="15.75" customHeight="1" x14ac:dyDescent="0.25">
      <c r="A393" s="9"/>
      <c r="B393" s="9"/>
    </row>
    <row r="394" spans="1:2" ht="15.75" customHeight="1" x14ac:dyDescent="0.25">
      <c r="A394" s="9"/>
      <c r="B394" s="9"/>
    </row>
    <row r="395" spans="1:2" ht="15.75" customHeight="1" x14ac:dyDescent="0.25">
      <c r="A395" s="9"/>
      <c r="B395" s="9"/>
    </row>
    <row r="396" spans="1:2" ht="15.75" customHeight="1" x14ac:dyDescent="0.25">
      <c r="A396" s="9"/>
      <c r="B396" s="9"/>
    </row>
    <row r="397" spans="1:2" ht="15.75" customHeight="1" x14ac:dyDescent="0.25">
      <c r="A397" s="9"/>
      <c r="B397" s="9"/>
    </row>
    <row r="398" spans="1:2" ht="15.75" customHeight="1" x14ac:dyDescent="0.25">
      <c r="A398" s="9"/>
      <c r="B398" s="9"/>
    </row>
    <row r="399" spans="1:2" ht="15.75" customHeight="1" x14ac:dyDescent="0.25">
      <c r="A399" s="9"/>
      <c r="B399" s="9"/>
    </row>
    <row r="400" spans="1:2" ht="15.75" customHeight="1" x14ac:dyDescent="0.25">
      <c r="A400" s="9"/>
      <c r="B400" s="9"/>
    </row>
    <row r="401" spans="1:2" ht="15.75" customHeight="1" x14ac:dyDescent="0.25">
      <c r="A401" s="9"/>
      <c r="B401" s="9"/>
    </row>
    <row r="402" spans="1:2" ht="15.75" customHeight="1" x14ac:dyDescent="0.25">
      <c r="A402" s="9"/>
      <c r="B402" s="9"/>
    </row>
    <row r="403" spans="1:2" ht="15.75" customHeight="1" x14ac:dyDescent="0.25">
      <c r="A403" s="9"/>
      <c r="B403" s="9"/>
    </row>
    <row r="404" spans="1:2" ht="15.75" customHeight="1" x14ac:dyDescent="0.25">
      <c r="A404" s="9"/>
      <c r="B404" s="9"/>
    </row>
    <row r="405" spans="1:2" ht="15.75" customHeight="1" x14ac:dyDescent="0.25">
      <c r="A405" s="9"/>
      <c r="B405" s="9"/>
    </row>
    <row r="406" spans="1:2" ht="15.75" customHeight="1" x14ac:dyDescent="0.25">
      <c r="A406" s="9"/>
      <c r="B406" s="9"/>
    </row>
    <row r="407" spans="1:2" ht="15.75" customHeight="1" x14ac:dyDescent="0.25">
      <c r="A407" s="9"/>
      <c r="B407" s="9"/>
    </row>
    <row r="408" spans="1:2" ht="15.75" customHeight="1" x14ac:dyDescent="0.25">
      <c r="A408" s="9"/>
      <c r="B408" s="9"/>
    </row>
    <row r="409" spans="1:2" ht="15.75" customHeight="1" x14ac:dyDescent="0.25">
      <c r="A409" s="9"/>
      <c r="B409" s="9"/>
    </row>
    <row r="410" spans="1:2" ht="15.75" customHeight="1" x14ac:dyDescent="0.25">
      <c r="A410" s="9"/>
      <c r="B410" s="9"/>
    </row>
    <row r="411" spans="1:2" ht="15.75" customHeight="1" x14ac:dyDescent="0.25">
      <c r="A411" s="9"/>
      <c r="B411" s="9"/>
    </row>
    <row r="412" spans="1:2" ht="15.75" customHeight="1" x14ac:dyDescent="0.25">
      <c r="A412" s="9"/>
      <c r="B412" s="9"/>
    </row>
    <row r="413" spans="1:2" ht="15.75" customHeight="1" x14ac:dyDescent="0.25">
      <c r="A413" s="9"/>
      <c r="B413" s="9"/>
    </row>
    <row r="414" spans="1:2" ht="15.75" customHeight="1" x14ac:dyDescent="0.25">
      <c r="A414" s="9"/>
      <c r="B414" s="9"/>
    </row>
    <row r="415" spans="1:2" ht="15.75" customHeight="1" x14ac:dyDescent="0.25">
      <c r="A415" s="9"/>
      <c r="B415" s="9"/>
    </row>
    <row r="416" spans="1:2" ht="15.75" customHeight="1" x14ac:dyDescent="0.25">
      <c r="A416" s="9"/>
      <c r="B416" s="9"/>
    </row>
    <row r="417" spans="1:2" ht="15.75" customHeight="1" x14ac:dyDescent="0.25">
      <c r="A417" s="9"/>
      <c r="B417" s="9"/>
    </row>
    <row r="418" spans="1:2" ht="15.75" customHeight="1" x14ac:dyDescent="0.25">
      <c r="A418" s="9"/>
      <c r="B418" s="9"/>
    </row>
    <row r="419" spans="1:2" ht="15.75" customHeight="1" x14ac:dyDescent="0.25">
      <c r="A419" s="9"/>
      <c r="B419" s="9"/>
    </row>
    <row r="420" spans="1:2" ht="15.75" customHeight="1" x14ac:dyDescent="0.25">
      <c r="A420" s="9"/>
      <c r="B420" s="9"/>
    </row>
    <row r="421" spans="1:2" ht="15.75" customHeight="1" x14ac:dyDescent="0.25">
      <c r="A421" s="9"/>
      <c r="B421" s="9"/>
    </row>
    <row r="422" spans="1:2" ht="15.75" customHeight="1" x14ac:dyDescent="0.25">
      <c r="A422" s="9"/>
      <c r="B422" s="9"/>
    </row>
    <row r="423" spans="1:2" ht="15.75" customHeight="1" x14ac:dyDescent="0.25">
      <c r="A423" s="9"/>
      <c r="B423" s="9"/>
    </row>
    <row r="424" spans="1:2" ht="15.75" customHeight="1" x14ac:dyDescent="0.25">
      <c r="A424" s="9"/>
      <c r="B424" s="9"/>
    </row>
    <row r="425" spans="1:2" ht="15.75" customHeight="1" x14ac:dyDescent="0.25">
      <c r="A425" s="9"/>
      <c r="B425" s="9"/>
    </row>
    <row r="426" spans="1:2" ht="15.75" customHeight="1" x14ac:dyDescent="0.25">
      <c r="A426" s="9"/>
      <c r="B426" s="9"/>
    </row>
    <row r="427" spans="1:2" ht="15.75" customHeight="1" x14ac:dyDescent="0.25">
      <c r="A427" s="9"/>
      <c r="B427" s="9"/>
    </row>
    <row r="428" spans="1:2" ht="15.75" customHeight="1" x14ac:dyDescent="0.25">
      <c r="A428" s="9"/>
      <c r="B428" s="9"/>
    </row>
    <row r="429" spans="1:2" ht="15.75" customHeight="1" x14ac:dyDescent="0.25">
      <c r="A429" s="9"/>
      <c r="B429" s="9"/>
    </row>
    <row r="430" spans="1:2" ht="15.75" customHeight="1" x14ac:dyDescent="0.25">
      <c r="A430" s="9"/>
      <c r="B430" s="9"/>
    </row>
    <row r="431" spans="1:2" ht="15.75" customHeight="1" x14ac:dyDescent="0.25">
      <c r="A431" s="9"/>
      <c r="B431" s="9"/>
    </row>
    <row r="432" spans="1:2" ht="15.75" customHeight="1" x14ac:dyDescent="0.25">
      <c r="A432" s="9"/>
      <c r="B432" s="9"/>
    </row>
    <row r="433" spans="1:2" ht="15.75" customHeight="1" x14ac:dyDescent="0.25">
      <c r="A433" s="9"/>
      <c r="B433" s="9"/>
    </row>
    <row r="434" spans="1:2" ht="15.75" customHeight="1" x14ac:dyDescent="0.25">
      <c r="A434" s="9"/>
      <c r="B434" s="9"/>
    </row>
    <row r="435" spans="1:2" ht="15.75" customHeight="1" x14ac:dyDescent="0.25">
      <c r="A435" s="9"/>
      <c r="B435" s="9"/>
    </row>
    <row r="436" spans="1:2" ht="15.75" customHeight="1" x14ac:dyDescent="0.25">
      <c r="A436" s="9"/>
      <c r="B436" s="9"/>
    </row>
    <row r="437" spans="1:2" ht="15.75" customHeight="1" x14ac:dyDescent="0.25">
      <c r="A437" s="9"/>
      <c r="B437" s="9"/>
    </row>
    <row r="438" spans="1:2" ht="15.75" customHeight="1" x14ac:dyDescent="0.25">
      <c r="A438" s="9"/>
      <c r="B438" s="9"/>
    </row>
    <row r="439" spans="1:2" ht="15.75" customHeight="1" x14ac:dyDescent="0.25">
      <c r="A439" s="9"/>
      <c r="B439" s="9"/>
    </row>
    <row r="440" spans="1:2" ht="15.75" customHeight="1" x14ac:dyDescent="0.25">
      <c r="A440" s="9"/>
      <c r="B440" s="9"/>
    </row>
    <row r="441" spans="1:2" ht="15.75" customHeight="1" x14ac:dyDescent="0.25">
      <c r="A441" s="9"/>
      <c r="B441" s="9"/>
    </row>
    <row r="442" spans="1:2" ht="15.75" customHeight="1" x14ac:dyDescent="0.25">
      <c r="A442" s="9"/>
      <c r="B442" s="9"/>
    </row>
    <row r="443" spans="1:2" ht="15.75" customHeight="1" x14ac:dyDescent="0.25">
      <c r="A443" s="9"/>
      <c r="B443" s="9"/>
    </row>
    <row r="444" spans="1:2" ht="15.75" customHeight="1" x14ac:dyDescent="0.25">
      <c r="A444" s="9"/>
      <c r="B444" s="9"/>
    </row>
    <row r="445" spans="1:2" ht="15.75" customHeight="1" x14ac:dyDescent="0.25">
      <c r="A445" s="9"/>
      <c r="B445" s="9"/>
    </row>
    <row r="446" spans="1:2" ht="15.75" customHeight="1" x14ac:dyDescent="0.25">
      <c r="A446" s="9"/>
      <c r="B446" s="9"/>
    </row>
    <row r="447" spans="1:2" ht="15.75" customHeight="1" x14ac:dyDescent="0.25">
      <c r="A447" s="9"/>
      <c r="B447" s="9"/>
    </row>
    <row r="448" spans="1:2" ht="15.75" customHeight="1" x14ac:dyDescent="0.25">
      <c r="A448" s="9"/>
      <c r="B448" s="9"/>
    </row>
    <row r="449" spans="1:2" ht="15.75" customHeight="1" x14ac:dyDescent="0.25">
      <c r="A449" s="9"/>
      <c r="B449" s="9"/>
    </row>
    <row r="450" spans="1:2" ht="15.75" customHeight="1" x14ac:dyDescent="0.25">
      <c r="A450" s="9"/>
      <c r="B450" s="9"/>
    </row>
    <row r="451" spans="1:2" ht="15.75" customHeight="1" x14ac:dyDescent="0.25">
      <c r="A451" s="9"/>
      <c r="B451" s="9"/>
    </row>
    <row r="452" spans="1:2" ht="15.75" customHeight="1" x14ac:dyDescent="0.25">
      <c r="A452" s="9"/>
      <c r="B452" s="9"/>
    </row>
    <row r="453" spans="1:2" ht="15.75" customHeight="1" x14ac:dyDescent="0.25">
      <c r="A453" s="9"/>
      <c r="B453" s="9"/>
    </row>
    <row r="454" spans="1:2" ht="15.75" customHeight="1" x14ac:dyDescent="0.25">
      <c r="A454" s="9"/>
      <c r="B454" s="9"/>
    </row>
    <row r="455" spans="1:2" ht="15.75" customHeight="1" x14ac:dyDescent="0.25">
      <c r="A455" s="9"/>
      <c r="B455" s="9"/>
    </row>
    <row r="456" spans="1:2" ht="15.75" customHeight="1" x14ac:dyDescent="0.25">
      <c r="A456" s="9"/>
      <c r="B456" s="9"/>
    </row>
    <row r="457" spans="1:2" ht="15.75" customHeight="1" x14ac:dyDescent="0.25">
      <c r="A457" s="9"/>
      <c r="B457" s="9"/>
    </row>
    <row r="458" spans="1:2" ht="15.75" customHeight="1" x14ac:dyDescent="0.25">
      <c r="A458" s="9"/>
      <c r="B458" s="9"/>
    </row>
    <row r="459" spans="1:2" ht="15.75" customHeight="1" x14ac:dyDescent="0.25">
      <c r="A459" s="9"/>
      <c r="B459" s="9"/>
    </row>
    <row r="460" spans="1:2" ht="15.75" customHeight="1" x14ac:dyDescent="0.25">
      <c r="A460" s="9"/>
      <c r="B460" s="9"/>
    </row>
    <row r="461" spans="1:2" ht="15.75" customHeight="1" x14ac:dyDescent="0.25">
      <c r="A461" s="9"/>
      <c r="B461" s="9"/>
    </row>
    <row r="462" spans="1:2" ht="15.75" customHeight="1" x14ac:dyDescent="0.25">
      <c r="A462" s="9"/>
      <c r="B462" s="9"/>
    </row>
    <row r="463" spans="1:2" ht="15.75" customHeight="1" x14ac:dyDescent="0.25">
      <c r="A463" s="9"/>
      <c r="B463" s="9"/>
    </row>
    <row r="464" spans="1:2" ht="15.75" customHeight="1" x14ac:dyDescent="0.25">
      <c r="A464" s="9"/>
      <c r="B464" s="9"/>
    </row>
    <row r="465" spans="1:2" ht="15.75" customHeight="1" x14ac:dyDescent="0.25">
      <c r="A465" s="9"/>
      <c r="B465" s="9"/>
    </row>
    <row r="466" spans="1:2" ht="15.75" customHeight="1" x14ac:dyDescent="0.25">
      <c r="A466" s="9"/>
      <c r="B466" s="9"/>
    </row>
    <row r="467" spans="1:2" ht="15.75" customHeight="1" x14ac:dyDescent="0.25">
      <c r="A467" s="9"/>
      <c r="B467" s="9"/>
    </row>
    <row r="468" spans="1:2" ht="15.75" customHeight="1" x14ac:dyDescent="0.25">
      <c r="A468" s="9"/>
      <c r="B468" s="9"/>
    </row>
    <row r="469" spans="1:2" ht="15.75" customHeight="1" x14ac:dyDescent="0.25">
      <c r="A469" s="9"/>
      <c r="B469" s="9"/>
    </row>
    <row r="470" spans="1:2" ht="15.75" customHeight="1" x14ac:dyDescent="0.25">
      <c r="A470" s="9"/>
      <c r="B470" s="9"/>
    </row>
    <row r="471" spans="1:2" ht="15.75" customHeight="1" x14ac:dyDescent="0.25">
      <c r="A471" s="9"/>
      <c r="B471" s="9"/>
    </row>
    <row r="472" spans="1:2" ht="15.75" customHeight="1" x14ac:dyDescent="0.25">
      <c r="A472" s="9"/>
      <c r="B472" s="9"/>
    </row>
    <row r="473" spans="1:2" ht="15.75" customHeight="1" x14ac:dyDescent="0.25">
      <c r="A473" s="9"/>
      <c r="B473" s="9"/>
    </row>
    <row r="474" spans="1:2" ht="15.75" customHeight="1" x14ac:dyDescent="0.25">
      <c r="A474" s="9"/>
      <c r="B474" s="9"/>
    </row>
    <row r="475" spans="1:2" ht="15.75" customHeight="1" x14ac:dyDescent="0.25">
      <c r="A475" s="9"/>
      <c r="B475" s="9"/>
    </row>
    <row r="476" spans="1:2" ht="15.75" customHeight="1" x14ac:dyDescent="0.25">
      <c r="A476" s="9"/>
      <c r="B476" s="9"/>
    </row>
    <row r="477" spans="1:2" ht="15.75" customHeight="1" x14ac:dyDescent="0.25">
      <c r="A477" s="9"/>
      <c r="B477" s="9"/>
    </row>
    <row r="478" spans="1:2" ht="15.75" customHeight="1" x14ac:dyDescent="0.25">
      <c r="A478" s="9"/>
      <c r="B478" s="9"/>
    </row>
    <row r="479" spans="1:2" ht="15.75" customHeight="1" x14ac:dyDescent="0.25">
      <c r="A479" s="9"/>
      <c r="B479" s="9"/>
    </row>
    <row r="480" spans="1:2" ht="15.75" customHeight="1" x14ac:dyDescent="0.25">
      <c r="A480" s="9"/>
      <c r="B480" s="9"/>
    </row>
    <row r="481" spans="1:2" ht="15.75" customHeight="1" x14ac:dyDescent="0.25">
      <c r="A481" s="9"/>
      <c r="B481" s="9"/>
    </row>
    <row r="482" spans="1:2" ht="15.75" customHeight="1" x14ac:dyDescent="0.25">
      <c r="A482" s="9"/>
      <c r="B482" s="9"/>
    </row>
    <row r="483" spans="1:2" ht="15.75" customHeight="1" x14ac:dyDescent="0.25">
      <c r="A483" s="9"/>
      <c r="B483" s="9"/>
    </row>
    <row r="484" spans="1:2" ht="15.75" customHeight="1" x14ac:dyDescent="0.25">
      <c r="A484" s="9"/>
      <c r="B484" s="9"/>
    </row>
    <row r="485" spans="1:2" ht="15.75" customHeight="1" x14ac:dyDescent="0.25">
      <c r="A485" s="9"/>
      <c r="B485" s="9"/>
    </row>
    <row r="486" spans="1:2" ht="15.75" customHeight="1" x14ac:dyDescent="0.25">
      <c r="A486" s="9"/>
      <c r="B486" s="9"/>
    </row>
    <row r="487" spans="1:2" ht="15.75" customHeight="1" x14ac:dyDescent="0.25">
      <c r="A487" s="9"/>
      <c r="B487" s="9"/>
    </row>
    <row r="488" spans="1:2" ht="15.75" customHeight="1" x14ac:dyDescent="0.25">
      <c r="A488" s="9"/>
      <c r="B488" s="9"/>
    </row>
    <row r="489" spans="1:2" ht="15.75" customHeight="1" x14ac:dyDescent="0.25">
      <c r="A489" s="9"/>
      <c r="B489" s="9"/>
    </row>
    <row r="490" spans="1:2" ht="15.75" customHeight="1" x14ac:dyDescent="0.25">
      <c r="A490" s="9"/>
      <c r="B490" s="9"/>
    </row>
    <row r="491" spans="1:2" ht="15.75" customHeight="1" x14ac:dyDescent="0.25">
      <c r="A491" s="9"/>
      <c r="B491" s="9"/>
    </row>
    <row r="492" spans="1:2" ht="15.75" customHeight="1" x14ac:dyDescent="0.25">
      <c r="A492" s="9"/>
      <c r="B492" s="9"/>
    </row>
    <row r="493" spans="1:2" ht="15.75" customHeight="1" x14ac:dyDescent="0.25">
      <c r="A493" s="9"/>
      <c r="B493" s="9"/>
    </row>
    <row r="494" spans="1:2" ht="15.75" customHeight="1" x14ac:dyDescent="0.25">
      <c r="A494" s="9"/>
      <c r="B494" s="9"/>
    </row>
    <row r="495" spans="1:2" ht="15.75" customHeight="1" x14ac:dyDescent="0.25">
      <c r="A495" s="9"/>
      <c r="B495" s="9"/>
    </row>
    <row r="496" spans="1:2" ht="15.75" customHeight="1" x14ac:dyDescent="0.25">
      <c r="A496" s="9"/>
      <c r="B496" s="9"/>
    </row>
    <row r="497" spans="1:2" ht="15.75" customHeight="1" x14ac:dyDescent="0.25">
      <c r="A497" s="9"/>
      <c r="B497" s="9"/>
    </row>
    <row r="498" spans="1:2" ht="15.75" customHeight="1" x14ac:dyDescent="0.25">
      <c r="A498" s="9"/>
      <c r="B498" s="9"/>
    </row>
    <row r="499" spans="1:2" ht="15.75" customHeight="1" x14ac:dyDescent="0.25">
      <c r="A499" s="9"/>
      <c r="B499" s="9"/>
    </row>
    <row r="500" spans="1:2" ht="15.75" customHeight="1" x14ac:dyDescent="0.25">
      <c r="A500" s="9"/>
      <c r="B500" s="9"/>
    </row>
    <row r="501" spans="1:2" ht="15.75" customHeight="1" x14ac:dyDescent="0.25">
      <c r="A501" s="9"/>
      <c r="B501" s="9"/>
    </row>
    <row r="502" spans="1:2" ht="15.75" customHeight="1" x14ac:dyDescent="0.25">
      <c r="A502" s="9"/>
      <c r="B502" s="9"/>
    </row>
    <row r="503" spans="1:2" ht="15.75" customHeight="1" x14ac:dyDescent="0.25">
      <c r="A503" s="9"/>
      <c r="B503" s="9"/>
    </row>
    <row r="504" spans="1:2" ht="15.75" customHeight="1" x14ac:dyDescent="0.25">
      <c r="A504" s="9"/>
      <c r="B504" s="9"/>
    </row>
    <row r="505" spans="1:2" ht="15.75" customHeight="1" x14ac:dyDescent="0.25">
      <c r="A505" s="9"/>
      <c r="B505" s="9"/>
    </row>
    <row r="506" spans="1:2" ht="15.75" customHeight="1" x14ac:dyDescent="0.25">
      <c r="A506" s="9"/>
      <c r="B506" s="9"/>
    </row>
    <row r="507" spans="1:2" ht="15.75" customHeight="1" x14ac:dyDescent="0.25">
      <c r="A507" s="9"/>
      <c r="B507" s="9"/>
    </row>
    <row r="508" spans="1:2" ht="15.75" customHeight="1" x14ac:dyDescent="0.25">
      <c r="A508" s="9"/>
      <c r="B508" s="9"/>
    </row>
    <row r="509" spans="1:2" ht="15.75" customHeight="1" x14ac:dyDescent="0.25">
      <c r="A509" s="9"/>
      <c r="B509" s="9"/>
    </row>
    <row r="510" spans="1:2" ht="15.75" customHeight="1" x14ac:dyDescent="0.25">
      <c r="A510" s="9"/>
      <c r="B510" s="9"/>
    </row>
    <row r="511" spans="1:2" ht="15.75" customHeight="1" x14ac:dyDescent="0.25">
      <c r="A511" s="9"/>
      <c r="B511" s="9"/>
    </row>
    <row r="512" spans="1:2" ht="15.75" customHeight="1" x14ac:dyDescent="0.25">
      <c r="A512" s="9"/>
      <c r="B512" s="9"/>
    </row>
    <row r="513" spans="1:2" ht="15.75" customHeight="1" x14ac:dyDescent="0.25">
      <c r="A513" s="9"/>
      <c r="B513" s="9"/>
    </row>
    <row r="514" spans="1:2" ht="15.75" customHeight="1" x14ac:dyDescent="0.25">
      <c r="A514" s="9"/>
      <c r="B514" s="9"/>
    </row>
    <row r="515" spans="1:2" ht="15.75" customHeight="1" x14ac:dyDescent="0.25">
      <c r="A515" s="9"/>
      <c r="B515" s="9"/>
    </row>
    <row r="516" spans="1:2" ht="15.75" customHeight="1" x14ac:dyDescent="0.25">
      <c r="A516" s="9"/>
      <c r="B516" s="9"/>
    </row>
    <row r="517" spans="1:2" ht="15.75" customHeight="1" x14ac:dyDescent="0.25">
      <c r="A517" s="9"/>
      <c r="B517" s="9"/>
    </row>
    <row r="518" spans="1:2" ht="15.75" customHeight="1" x14ac:dyDescent="0.25">
      <c r="A518" s="9"/>
      <c r="B518" s="9"/>
    </row>
    <row r="519" spans="1:2" ht="15.75" customHeight="1" x14ac:dyDescent="0.25">
      <c r="A519" s="9"/>
      <c r="B519" s="9"/>
    </row>
    <row r="520" spans="1:2" ht="15.75" customHeight="1" x14ac:dyDescent="0.25">
      <c r="A520" s="9"/>
      <c r="B520" s="9"/>
    </row>
    <row r="521" spans="1:2" ht="15.75" customHeight="1" x14ac:dyDescent="0.25">
      <c r="A521" s="9"/>
      <c r="B521" s="9"/>
    </row>
    <row r="522" spans="1:2" ht="15.75" customHeight="1" x14ac:dyDescent="0.25">
      <c r="A522" s="9"/>
      <c r="B522" s="9"/>
    </row>
    <row r="523" spans="1:2" ht="15.75" customHeight="1" x14ac:dyDescent="0.25">
      <c r="A523" s="9"/>
      <c r="B523" s="9"/>
    </row>
    <row r="524" spans="1:2" ht="15.75" customHeight="1" x14ac:dyDescent="0.25">
      <c r="A524" s="9"/>
      <c r="B524" s="9"/>
    </row>
    <row r="525" spans="1:2" ht="15.75" customHeight="1" x14ac:dyDescent="0.25">
      <c r="A525" s="9"/>
      <c r="B525" s="9"/>
    </row>
    <row r="526" spans="1:2" ht="15.75" customHeight="1" x14ac:dyDescent="0.25">
      <c r="A526" s="9"/>
      <c r="B526" s="9"/>
    </row>
    <row r="527" spans="1:2" ht="15.75" customHeight="1" x14ac:dyDescent="0.25">
      <c r="A527" s="9"/>
      <c r="B527" s="9"/>
    </row>
    <row r="528" spans="1:2" ht="15.75" customHeight="1" x14ac:dyDescent="0.25">
      <c r="A528" s="9"/>
      <c r="B528" s="9"/>
    </row>
    <row r="529" spans="1:2" ht="15.75" customHeight="1" x14ac:dyDescent="0.25">
      <c r="A529" s="9"/>
      <c r="B529" s="9"/>
    </row>
    <row r="530" spans="1:2" ht="15.75" customHeight="1" x14ac:dyDescent="0.25">
      <c r="A530" s="9"/>
      <c r="B530" s="9"/>
    </row>
    <row r="531" spans="1:2" ht="15.75" customHeight="1" x14ac:dyDescent="0.25">
      <c r="A531" s="9"/>
      <c r="B531" s="9"/>
    </row>
    <row r="532" spans="1:2" ht="15.75" customHeight="1" x14ac:dyDescent="0.25">
      <c r="A532" s="9"/>
      <c r="B532" s="9"/>
    </row>
    <row r="533" spans="1:2" ht="15.75" customHeight="1" x14ac:dyDescent="0.25">
      <c r="A533" s="9"/>
      <c r="B533" s="9"/>
    </row>
    <row r="534" spans="1:2" ht="15.75" customHeight="1" x14ac:dyDescent="0.25">
      <c r="A534" s="9"/>
      <c r="B534" s="9"/>
    </row>
    <row r="535" spans="1:2" ht="15.75" customHeight="1" x14ac:dyDescent="0.25">
      <c r="A535" s="9"/>
      <c r="B535" s="9"/>
    </row>
    <row r="536" spans="1:2" ht="15.75" customHeight="1" x14ac:dyDescent="0.25">
      <c r="A536" s="9"/>
      <c r="B536" s="9"/>
    </row>
    <row r="537" spans="1:2" ht="15.75" customHeight="1" x14ac:dyDescent="0.25">
      <c r="A537" s="9"/>
      <c r="B537" s="9"/>
    </row>
    <row r="538" spans="1:2" ht="15.75" customHeight="1" x14ac:dyDescent="0.25">
      <c r="A538" s="9"/>
      <c r="B538" s="9"/>
    </row>
    <row r="539" spans="1:2" ht="15.75" customHeight="1" x14ac:dyDescent="0.25">
      <c r="A539" s="9"/>
      <c r="B539" s="9"/>
    </row>
    <row r="540" spans="1:2" ht="15.75" customHeight="1" x14ac:dyDescent="0.25">
      <c r="A540" s="9"/>
      <c r="B540" s="9"/>
    </row>
    <row r="541" spans="1:2" ht="15.75" customHeight="1" x14ac:dyDescent="0.25">
      <c r="A541" s="9"/>
      <c r="B541" s="9"/>
    </row>
    <row r="542" spans="1:2" ht="15.75" customHeight="1" x14ac:dyDescent="0.25">
      <c r="A542" s="9"/>
      <c r="B542" s="9"/>
    </row>
    <row r="543" spans="1:2" ht="15.75" customHeight="1" x14ac:dyDescent="0.25">
      <c r="A543" s="9"/>
      <c r="B543" s="9"/>
    </row>
    <row r="544" spans="1:2" ht="15.75" customHeight="1" x14ac:dyDescent="0.25">
      <c r="A544" s="9"/>
      <c r="B544" s="9"/>
    </row>
    <row r="545" spans="1:2" ht="15.75" customHeight="1" x14ac:dyDescent="0.25">
      <c r="A545" s="9"/>
      <c r="B545" s="9"/>
    </row>
    <row r="546" spans="1:2" ht="15.75" customHeight="1" x14ac:dyDescent="0.25">
      <c r="A546" s="9"/>
      <c r="B546" s="9"/>
    </row>
    <row r="547" spans="1:2" ht="15.75" customHeight="1" x14ac:dyDescent="0.25">
      <c r="A547" s="9"/>
      <c r="B547" s="9"/>
    </row>
    <row r="548" spans="1:2" ht="15.75" customHeight="1" x14ac:dyDescent="0.25">
      <c r="A548" s="9"/>
      <c r="B548" s="9"/>
    </row>
    <row r="549" spans="1:2" ht="15.75" customHeight="1" x14ac:dyDescent="0.25">
      <c r="A549" s="9"/>
      <c r="B549" s="9"/>
    </row>
    <row r="550" spans="1:2" ht="15.75" customHeight="1" x14ac:dyDescent="0.25">
      <c r="A550" s="9"/>
      <c r="B550" s="9"/>
    </row>
    <row r="551" spans="1:2" ht="15.75" customHeight="1" x14ac:dyDescent="0.25">
      <c r="A551" s="9"/>
      <c r="B551" s="9"/>
    </row>
    <row r="552" spans="1:2" ht="15.75" customHeight="1" x14ac:dyDescent="0.25">
      <c r="A552" s="9"/>
      <c r="B552" s="9"/>
    </row>
    <row r="553" spans="1:2" ht="15.75" customHeight="1" x14ac:dyDescent="0.25">
      <c r="A553" s="9"/>
      <c r="B553" s="9"/>
    </row>
    <row r="554" spans="1:2" ht="15.75" customHeight="1" x14ac:dyDescent="0.25">
      <c r="A554" s="9"/>
      <c r="B554" s="9"/>
    </row>
    <row r="555" spans="1:2" ht="15.75" customHeight="1" x14ac:dyDescent="0.25">
      <c r="A555" s="9"/>
      <c r="B555" s="9"/>
    </row>
    <row r="556" spans="1:2" ht="15.75" customHeight="1" x14ac:dyDescent="0.25">
      <c r="A556" s="9"/>
      <c r="B556" s="9"/>
    </row>
    <row r="557" spans="1:2" ht="15.75" customHeight="1" x14ac:dyDescent="0.25">
      <c r="A557" s="9"/>
      <c r="B557" s="9"/>
    </row>
    <row r="558" spans="1:2" ht="15.75" customHeight="1" x14ac:dyDescent="0.25">
      <c r="A558" s="9"/>
      <c r="B558" s="9"/>
    </row>
    <row r="559" spans="1:2" ht="15.75" customHeight="1" x14ac:dyDescent="0.25">
      <c r="A559" s="9"/>
      <c r="B559" s="9"/>
    </row>
    <row r="560" spans="1:2" ht="15.75" customHeight="1" x14ac:dyDescent="0.25">
      <c r="A560" s="9"/>
      <c r="B560" s="9"/>
    </row>
    <row r="561" spans="1:2" ht="15.75" customHeight="1" x14ac:dyDescent="0.25">
      <c r="A561" s="9"/>
      <c r="B561" s="9"/>
    </row>
    <row r="562" spans="1:2" ht="15.75" customHeight="1" x14ac:dyDescent="0.25">
      <c r="A562" s="9"/>
      <c r="B562" s="9"/>
    </row>
    <row r="563" spans="1:2" ht="15.75" customHeight="1" x14ac:dyDescent="0.25">
      <c r="A563" s="9"/>
      <c r="B563" s="9"/>
    </row>
    <row r="564" spans="1:2" ht="15.75" customHeight="1" x14ac:dyDescent="0.25">
      <c r="A564" s="9"/>
      <c r="B564" s="9"/>
    </row>
    <row r="565" spans="1:2" ht="15.75" customHeight="1" x14ac:dyDescent="0.25">
      <c r="A565" s="9"/>
      <c r="B565" s="9"/>
    </row>
    <row r="566" spans="1:2" ht="15.75" customHeight="1" x14ac:dyDescent="0.25">
      <c r="A566" s="9"/>
      <c r="B566" s="9"/>
    </row>
    <row r="567" spans="1:2" ht="15.75" customHeight="1" x14ac:dyDescent="0.25">
      <c r="A567" s="9"/>
      <c r="B567" s="9"/>
    </row>
    <row r="568" spans="1:2" ht="15.75" customHeight="1" x14ac:dyDescent="0.25">
      <c r="A568" s="9"/>
      <c r="B568" s="9"/>
    </row>
    <row r="569" spans="1:2" ht="15.75" customHeight="1" x14ac:dyDescent="0.25">
      <c r="A569" s="9"/>
      <c r="B569" s="9"/>
    </row>
    <row r="570" spans="1:2" ht="15.75" customHeight="1" x14ac:dyDescent="0.25">
      <c r="A570" s="9"/>
      <c r="B570" s="9"/>
    </row>
    <row r="571" spans="1:2" ht="15.75" customHeight="1" x14ac:dyDescent="0.25">
      <c r="A571" s="9"/>
      <c r="B571" s="9"/>
    </row>
    <row r="572" spans="1:2" ht="15.75" customHeight="1" x14ac:dyDescent="0.25">
      <c r="A572" s="9"/>
      <c r="B572" s="9"/>
    </row>
    <row r="573" spans="1:2" ht="15.75" customHeight="1" x14ac:dyDescent="0.25">
      <c r="A573" s="9"/>
      <c r="B573" s="9"/>
    </row>
    <row r="574" spans="1:2" ht="15.75" customHeight="1" x14ac:dyDescent="0.25">
      <c r="A574" s="9"/>
      <c r="B574" s="9"/>
    </row>
    <row r="575" spans="1:2" ht="15.75" customHeight="1" x14ac:dyDescent="0.25">
      <c r="A575" s="9"/>
      <c r="B575" s="9"/>
    </row>
    <row r="576" spans="1:2" ht="15.75" customHeight="1" x14ac:dyDescent="0.25">
      <c r="A576" s="9"/>
      <c r="B576" s="9"/>
    </row>
    <row r="577" spans="1:2" ht="15.75" customHeight="1" x14ac:dyDescent="0.25">
      <c r="A577" s="9"/>
      <c r="B577" s="9"/>
    </row>
    <row r="578" spans="1:2" ht="15.75" customHeight="1" x14ac:dyDescent="0.25">
      <c r="A578" s="9"/>
      <c r="B578" s="9"/>
    </row>
    <row r="579" spans="1:2" ht="15.75" customHeight="1" x14ac:dyDescent="0.25">
      <c r="A579" s="9"/>
      <c r="B579" s="9"/>
    </row>
    <row r="580" spans="1:2" ht="15.75" customHeight="1" x14ac:dyDescent="0.25">
      <c r="A580" s="9"/>
      <c r="B580" s="9"/>
    </row>
    <row r="581" spans="1:2" ht="15.75" customHeight="1" x14ac:dyDescent="0.25">
      <c r="A581" s="9"/>
      <c r="B581" s="9"/>
    </row>
    <row r="582" spans="1:2" ht="15.75" customHeight="1" x14ac:dyDescent="0.25">
      <c r="A582" s="9"/>
      <c r="B582" s="9"/>
    </row>
    <row r="583" spans="1:2" ht="15.75" customHeight="1" x14ac:dyDescent="0.25">
      <c r="A583" s="9"/>
      <c r="B583" s="9"/>
    </row>
    <row r="584" spans="1:2" ht="15.75" customHeight="1" x14ac:dyDescent="0.25">
      <c r="A584" s="9"/>
      <c r="B584" s="9"/>
    </row>
    <row r="585" spans="1:2" ht="15.75" customHeight="1" x14ac:dyDescent="0.25">
      <c r="A585" s="9"/>
      <c r="B585" s="9"/>
    </row>
    <row r="586" spans="1:2" ht="15.75" customHeight="1" x14ac:dyDescent="0.25">
      <c r="A586" s="9"/>
      <c r="B586" s="9"/>
    </row>
    <row r="587" spans="1:2" ht="15.75" customHeight="1" x14ac:dyDescent="0.25">
      <c r="A587" s="9"/>
      <c r="B587" s="9"/>
    </row>
    <row r="588" spans="1:2" ht="15.75" customHeight="1" x14ac:dyDescent="0.25">
      <c r="A588" s="9"/>
      <c r="B588" s="9"/>
    </row>
    <row r="589" spans="1:2" ht="15.75" customHeight="1" x14ac:dyDescent="0.25">
      <c r="A589" s="9"/>
      <c r="B589" s="9"/>
    </row>
    <row r="590" spans="1:2" ht="15.75" customHeight="1" x14ac:dyDescent="0.25">
      <c r="A590" s="9"/>
      <c r="B590" s="9"/>
    </row>
    <row r="591" spans="1:2" ht="15.75" customHeight="1" x14ac:dyDescent="0.25">
      <c r="A591" s="9"/>
      <c r="B591" s="9"/>
    </row>
    <row r="592" spans="1:2" ht="15.75" customHeight="1" x14ac:dyDescent="0.25">
      <c r="A592" s="9"/>
      <c r="B592" s="9"/>
    </row>
    <row r="593" spans="1:2" ht="15.75" customHeight="1" x14ac:dyDescent="0.25">
      <c r="A593" s="9"/>
      <c r="B593" s="9"/>
    </row>
    <row r="594" spans="1:2" ht="15.75" customHeight="1" x14ac:dyDescent="0.25">
      <c r="A594" s="9"/>
      <c r="B594" s="9"/>
    </row>
    <row r="595" spans="1:2" ht="15.75" customHeight="1" x14ac:dyDescent="0.25">
      <c r="A595" s="9"/>
      <c r="B595" s="9"/>
    </row>
    <row r="596" spans="1:2" ht="15.75" customHeight="1" x14ac:dyDescent="0.25">
      <c r="A596" s="9"/>
      <c r="B596" s="9"/>
    </row>
    <row r="597" spans="1:2" ht="15.75" customHeight="1" x14ac:dyDescent="0.25">
      <c r="A597" s="9"/>
      <c r="B597" s="9"/>
    </row>
    <row r="598" spans="1:2" ht="15.75" customHeight="1" x14ac:dyDescent="0.25">
      <c r="A598" s="9"/>
      <c r="B598" s="9"/>
    </row>
    <row r="599" spans="1:2" ht="15.75" customHeight="1" x14ac:dyDescent="0.25">
      <c r="A599" s="9"/>
      <c r="B599" s="9"/>
    </row>
    <row r="600" spans="1:2" ht="15.75" customHeight="1" x14ac:dyDescent="0.25">
      <c r="A600" s="9"/>
      <c r="B600" s="9"/>
    </row>
    <row r="601" spans="1:2" ht="15.75" customHeight="1" x14ac:dyDescent="0.25">
      <c r="A601" s="9"/>
      <c r="B601" s="9"/>
    </row>
    <row r="602" spans="1:2" ht="15.75" customHeight="1" x14ac:dyDescent="0.25">
      <c r="A602" s="9"/>
      <c r="B602" s="9"/>
    </row>
    <row r="603" spans="1:2" ht="15.75" customHeight="1" x14ac:dyDescent="0.25">
      <c r="A603" s="9"/>
      <c r="B603" s="9"/>
    </row>
    <row r="604" spans="1:2" ht="15.75" customHeight="1" x14ac:dyDescent="0.25">
      <c r="A604" s="9"/>
      <c r="B604" s="9"/>
    </row>
    <row r="605" spans="1:2" ht="15.75" customHeight="1" x14ac:dyDescent="0.25">
      <c r="A605" s="9"/>
      <c r="B605" s="9"/>
    </row>
    <row r="606" spans="1:2" ht="15.75" customHeight="1" x14ac:dyDescent="0.25">
      <c r="A606" s="9"/>
      <c r="B606" s="9"/>
    </row>
    <row r="607" spans="1:2" ht="15.75" customHeight="1" x14ac:dyDescent="0.25">
      <c r="A607" s="9"/>
      <c r="B607" s="9"/>
    </row>
    <row r="608" spans="1:2" ht="15.75" customHeight="1" x14ac:dyDescent="0.25">
      <c r="A608" s="9"/>
      <c r="B608" s="9"/>
    </row>
    <row r="609" spans="1:2" ht="15.75" customHeight="1" x14ac:dyDescent="0.25">
      <c r="A609" s="9"/>
      <c r="B609" s="9"/>
    </row>
    <row r="610" spans="1:2" ht="15.75" customHeight="1" x14ac:dyDescent="0.25">
      <c r="A610" s="9"/>
      <c r="B610" s="9"/>
    </row>
    <row r="611" spans="1:2" ht="15.75" customHeight="1" x14ac:dyDescent="0.25">
      <c r="A611" s="9"/>
      <c r="B611" s="9"/>
    </row>
    <row r="612" spans="1:2" ht="15.75" customHeight="1" x14ac:dyDescent="0.25">
      <c r="A612" s="9"/>
      <c r="B612" s="9"/>
    </row>
    <row r="613" spans="1:2" ht="15.75" customHeight="1" x14ac:dyDescent="0.25">
      <c r="A613" s="9"/>
      <c r="B613" s="9"/>
    </row>
    <row r="614" spans="1:2" ht="15.75" customHeight="1" x14ac:dyDescent="0.25">
      <c r="A614" s="9"/>
      <c r="B614" s="9"/>
    </row>
    <row r="615" spans="1:2" ht="15.75" customHeight="1" x14ac:dyDescent="0.25">
      <c r="A615" s="9"/>
      <c r="B615" s="9"/>
    </row>
    <row r="616" spans="1:2" ht="15.75" customHeight="1" x14ac:dyDescent="0.25">
      <c r="A616" s="9"/>
      <c r="B616" s="9"/>
    </row>
    <row r="617" spans="1:2" ht="15.75" customHeight="1" x14ac:dyDescent="0.25">
      <c r="A617" s="9"/>
      <c r="B617" s="9"/>
    </row>
    <row r="618" spans="1:2" ht="15.75" customHeight="1" x14ac:dyDescent="0.25">
      <c r="A618" s="9"/>
      <c r="B618" s="9"/>
    </row>
    <row r="619" spans="1:2" ht="15.75" customHeight="1" x14ac:dyDescent="0.25">
      <c r="A619" s="9"/>
      <c r="B619" s="9"/>
    </row>
    <row r="620" spans="1:2" ht="15.75" customHeight="1" x14ac:dyDescent="0.25">
      <c r="A620" s="9"/>
      <c r="B620" s="9"/>
    </row>
    <row r="621" spans="1:2" ht="15.75" customHeight="1" x14ac:dyDescent="0.25">
      <c r="A621" s="9"/>
      <c r="B621" s="9"/>
    </row>
    <row r="622" spans="1:2" ht="15.75" customHeight="1" x14ac:dyDescent="0.25">
      <c r="A622" s="9"/>
      <c r="B622" s="9"/>
    </row>
    <row r="623" spans="1:2" ht="15.75" customHeight="1" x14ac:dyDescent="0.25">
      <c r="A623" s="9"/>
      <c r="B623" s="9"/>
    </row>
    <row r="624" spans="1:2" ht="15.75" customHeight="1" x14ac:dyDescent="0.25">
      <c r="A624" s="9"/>
      <c r="B624" s="9"/>
    </row>
    <row r="625" spans="1:2" ht="15.75" customHeight="1" x14ac:dyDescent="0.25">
      <c r="A625" s="9"/>
      <c r="B625" s="9"/>
    </row>
    <row r="626" spans="1:2" ht="15.75" customHeight="1" x14ac:dyDescent="0.25">
      <c r="A626" s="9"/>
      <c r="B626" s="9"/>
    </row>
    <row r="627" spans="1:2" ht="15.75" customHeight="1" x14ac:dyDescent="0.25">
      <c r="A627" s="9"/>
      <c r="B627" s="9"/>
    </row>
    <row r="628" spans="1:2" ht="15.75" customHeight="1" x14ac:dyDescent="0.25">
      <c r="A628" s="9"/>
      <c r="B628" s="9"/>
    </row>
    <row r="629" spans="1:2" ht="15.75" customHeight="1" x14ac:dyDescent="0.25">
      <c r="A629" s="9"/>
      <c r="B629" s="9"/>
    </row>
    <row r="630" spans="1:2" ht="15.75" customHeight="1" x14ac:dyDescent="0.25">
      <c r="A630" s="9"/>
      <c r="B630" s="9"/>
    </row>
    <row r="631" spans="1:2" ht="15.75" customHeight="1" x14ac:dyDescent="0.25">
      <c r="A631" s="9"/>
      <c r="B631" s="9"/>
    </row>
    <row r="632" spans="1:2" ht="15.75" customHeight="1" x14ac:dyDescent="0.25">
      <c r="A632" s="9"/>
      <c r="B632" s="9"/>
    </row>
    <row r="633" spans="1:2" ht="15.75" customHeight="1" x14ac:dyDescent="0.25">
      <c r="A633" s="9"/>
      <c r="B633" s="9"/>
    </row>
    <row r="634" spans="1:2" ht="15.75" customHeight="1" x14ac:dyDescent="0.25">
      <c r="A634" s="9"/>
      <c r="B634" s="9"/>
    </row>
    <row r="635" spans="1:2" ht="15.75" customHeight="1" x14ac:dyDescent="0.25">
      <c r="A635" s="9"/>
      <c r="B635" s="9"/>
    </row>
    <row r="636" spans="1:2" ht="15.75" customHeight="1" x14ac:dyDescent="0.25">
      <c r="A636" s="9"/>
      <c r="B636" s="9"/>
    </row>
    <row r="637" spans="1:2" ht="15.75" customHeight="1" x14ac:dyDescent="0.25">
      <c r="A637" s="9"/>
      <c r="B637" s="9"/>
    </row>
    <row r="638" spans="1:2" ht="15.75" customHeight="1" x14ac:dyDescent="0.25">
      <c r="A638" s="9"/>
      <c r="B638" s="9"/>
    </row>
    <row r="639" spans="1:2" ht="15.75" customHeight="1" x14ac:dyDescent="0.25">
      <c r="A639" s="9"/>
      <c r="B639" s="9"/>
    </row>
    <row r="640" spans="1:2" ht="15.75" customHeight="1" x14ac:dyDescent="0.25">
      <c r="A640" s="9"/>
      <c r="B640" s="9"/>
    </row>
    <row r="641" spans="1:2" ht="15.75" customHeight="1" x14ac:dyDescent="0.25">
      <c r="A641" s="9"/>
      <c r="B641" s="9"/>
    </row>
    <row r="642" spans="1:2" ht="15.75" customHeight="1" x14ac:dyDescent="0.25">
      <c r="A642" s="9"/>
      <c r="B642" s="9"/>
    </row>
    <row r="643" spans="1:2" ht="15.75" customHeight="1" x14ac:dyDescent="0.25">
      <c r="A643" s="9"/>
      <c r="B643" s="9"/>
    </row>
    <row r="644" spans="1:2" ht="15.75" customHeight="1" x14ac:dyDescent="0.25">
      <c r="A644" s="9"/>
      <c r="B644" s="9"/>
    </row>
    <row r="645" spans="1:2" ht="15.75" customHeight="1" x14ac:dyDescent="0.25">
      <c r="A645" s="9"/>
      <c r="B645" s="9"/>
    </row>
    <row r="646" spans="1:2" ht="15.75" customHeight="1" x14ac:dyDescent="0.25">
      <c r="A646" s="9"/>
      <c r="B646" s="9"/>
    </row>
    <row r="647" spans="1:2" ht="15.75" customHeight="1" x14ac:dyDescent="0.25">
      <c r="A647" s="9"/>
      <c r="B647" s="9"/>
    </row>
    <row r="648" spans="1:2" ht="15.75" customHeight="1" x14ac:dyDescent="0.25">
      <c r="A648" s="9"/>
      <c r="B648" s="9"/>
    </row>
    <row r="649" spans="1:2" ht="15.75" customHeight="1" x14ac:dyDescent="0.25">
      <c r="A649" s="9"/>
      <c r="B649" s="9"/>
    </row>
    <row r="650" spans="1:2" ht="15.75" customHeight="1" x14ac:dyDescent="0.25">
      <c r="A650" s="9"/>
      <c r="B650" s="9"/>
    </row>
    <row r="651" spans="1:2" ht="15.75" customHeight="1" x14ac:dyDescent="0.25">
      <c r="A651" s="9"/>
      <c r="B651" s="9"/>
    </row>
    <row r="652" spans="1:2" ht="15.75" customHeight="1" x14ac:dyDescent="0.25">
      <c r="A652" s="9"/>
      <c r="B652" s="9"/>
    </row>
    <row r="653" spans="1:2" ht="15.75" customHeight="1" x14ac:dyDescent="0.25">
      <c r="A653" s="9"/>
      <c r="B653" s="9"/>
    </row>
    <row r="654" spans="1:2" ht="15.75" customHeight="1" x14ac:dyDescent="0.25">
      <c r="A654" s="9"/>
      <c r="B654" s="9"/>
    </row>
    <row r="655" spans="1:2" ht="15.75" customHeight="1" x14ac:dyDescent="0.25">
      <c r="A655" s="9"/>
      <c r="B655" s="9"/>
    </row>
    <row r="656" spans="1:2" ht="15.75" customHeight="1" x14ac:dyDescent="0.25">
      <c r="A656" s="9"/>
      <c r="B656" s="9"/>
    </row>
    <row r="657" spans="1:2" ht="15.75" customHeight="1" x14ac:dyDescent="0.25">
      <c r="A657" s="9"/>
      <c r="B657" s="9"/>
    </row>
    <row r="658" spans="1:2" ht="15.75" customHeight="1" x14ac:dyDescent="0.25">
      <c r="A658" s="9"/>
      <c r="B658" s="9"/>
    </row>
    <row r="659" spans="1:2" ht="15.75" customHeight="1" x14ac:dyDescent="0.25">
      <c r="A659" s="9"/>
      <c r="B659" s="9"/>
    </row>
    <row r="660" spans="1:2" ht="15.75" customHeight="1" x14ac:dyDescent="0.25">
      <c r="A660" s="9"/>
      <c r="B660" s="9"/>
    </row>
    <row r="661" spans="1:2" ht="15.75" customHeight="1" x14ac:dyDescent="0.25">
      <c r="A661" s="9"/>
      <c r="B661" s="9"/>
    </row>
    <row r="662" spans="1:2" ht="15.75" customHeight="1" x14ac:dyDescent="0.25">
      <c r="A662" s="9"/>
      <c r="B662" s="9"/>
    </row>
    <row r="663" spans="1:2" ht="15.75" customHeight="1" x14ac:dyDescent="0.25">
      <c r="A663" s="9"/>
      <c r="B663" s="9"/>
    </row>
    <row r="664" spans="1:2" ht="15.75" customHeight="1" x14ac:dyDescent="0.25">
      <c r="A664" s="9"/>
      <c r="B664" s="9"/>
    </row>
    <row r="665" spans="1:2" ht="15.75" customHeight="1" x14ac:dyDescent="0.25">
      <c r="A665" s="9"/>
      <c r="B665" s="9"/>
    </row>
    <row r="666" spans="1:2" ht="15.75" customHeight="1" x14ac:dyDescent="0.25">
      <c r="A666" s="9"/>
      <c r="B666" s="9"/>
    </row>
    <row r="667" spans="1:2" ht="15.75" customHeight="1" x14ac:dyDescent="0.25">
      <c r="A667" s="9"/>
      <c r="B667" s="9"/>
    </row>
    <row r="668" spans="1:2" ht="15.75" customHeight="1" x14ac:dyDescent="0.25">
      <c r="A668" s="9"/>
      <c r="B668" s="9"/>
    </row>
    <row r="669" spans="1:2" ht="15.75" customHeight="1" x14ac:dyDescent="0.25">
      <c r="A669" s="9"/>
      <c r="B669" s="9"/>
    </row>
    <row r="670" spans="1:2" ht="15.75" customHeight="1" x14ac:dyDescent="0.25">
      <c r="A670" s="9"/>
      <c r="B670" s="9"/>
    </row>
    <row r="671" spans="1:2" ht="15.75" customHeight="1" x14ac:dyDescent="0.25">
      <c r="A671" s="9"/>
      <c r="B671" s="9"/>
    </row>
    <row r="672" spans="1:2" ht="15.75" customHeight="1" x14ac:dyDescent="0.25">
      <c r="A672" s="9"/>
      <c r="B672" s="9"/>
    </row>
    <row r="673" spans="1:2" ht="15.75" customHeight="1" x14ac:dyDescent="0.25">
      <c r="A673" s="9"/>
      <c r="B673" s="9"/>
    </row>
    <row r="674" spans="1:2" ht="15.75" customHeight="1" x14ac:dyDescent="0.25">
      <c r="A674" s="9"/>
      <c r="B674" s="9"/>
    </row>
    <row r="675" spans="1:2" ht="15.75" customHeight="1" x14ac:dyDescent="0.25">
      <c r="A675" s="9"/>
      <c r="B675" s="9"/>
    </row>
    <row r="676" spans="1:2" ht="15.75" customHeight="1" x14ac:dyDescent="0.25">
      <c r="A676" s="9"/>
      <c r="B676" s="9"/>
    </row>
    <row r="677" spans="1:2" ht="15.75" customHeight="1" x14ac:dyDescent="0.25">
      <c r="A677" s="9"/>
      <c r="B677" s="9"/>
    </row>
    <row r="678" spans="1:2" ht="15.75" customHeight="1" x14ac:dyDescent="0.25">
      <c r="A678" s="9"/>
      <c r="B678" s="9"/>
    </row>
    <row r="679" spans="1:2" ht="15.75" customHeight="1" x14ac:dyDescent="0.25">
      <c r="A679" s="9"/>
      <c r="B679" s="9"/>
    </row>
    <row r="680" spans="1:2" ht="15.75" customHeight="1" x14ac:dyDescent="0.25">
      <c r="A680" s="9"/>
      <c r="B680" s="9"/>
    </row>
    <row r="681" spans="1:2" ht="15.75" customHeight="1" x14ac:dyDescent="0.25">
      <c r="A681" s="9"/>
      <c r="B681" s="9"/>
    </row>
    <row r="682" spans="1:2" ht="15.75" customHeight="1" x14ac:dyDescent="0.25">
      <c r="A682" s="9"/>
      <c r="B682" s="9"/>
    </row>
    <row r="683" spans="1:2" ht="15.75" customHeight="1" x14ac:dyDescent="0.25">
      <c r="A683" s="9"/>
      <c r="B683" s="9"/>
    </row>
    <row r="684" spans="1:2" ht="15.75" customHeight="1" x14ac:dyDescent="0.25">
      <c r="A684" s="9"/>
      <c r="B684" s="9"/>
    </row>
    <row r="685" spans="1:2" ht="15.75" customHeight="1" x14ac:dyDescent="0.25">
      <c r="A685" s="9"/>
      <c r="B685" s="9"/>
    </row>
    <row r="686" spans="1:2" ht="15.75" customHeight="1" x14ac:dyDescent="0.25">
      <c r="A686" s="9"/>
      <c r="B686" s="9"/>
    </row>
    <row r="687" spans="1:2" ht="15.75" customHeight="1" x14ac:dyDescent="0.25">
      <c r="A687" s="9"/>
      <c r="B687" s="9"/>
    </row>
    <row r="688" spans="1:2" ht="15.75" customHeight="1" x14ac:dyDescent="0.25">
      <c r="A688" s="9"/>
      <c r="B688" s="9"/>
    </row>
    <row r="689" spans="1:2" ht="15.75" customHeight="1" x14ac:dyDescent="0.25">
      <c r="A689" s="9"/>
      <c r="B689" s="9"/>
    </row>
    <row r="690" spans="1:2" ht="15.75" customHeight="1" x14ac:dyDescent="0.25">
      <c r="A690" s="9"/>
      <c r="B690" s="9"/>
    </row>
    <row r="691" spans="1:2" ht="15.75" customHeight="1" x14ac:dyDescent="0.25">
      <c r="A691" s="9"/>
      <c r="B691" s="9"/>
    </row>
    <row r="692" spans="1:2" ht="15.75" customHeight="1" x14ac:dyDescent="0.25">
      <c r="A692" s="9"/>
      <c r="B692" s="9"/>
    </row>
    <row r="693" spans="1:2" ht="15.75" customHeight="1" x14ac:dyDescent="0.25">
      <c r="A693" s="9"/>
      <c r="B693" s="9"/>
    </row>
    <row r="694" spans="1:2" ht="15.75" customHeight="1" x14ac:dyDescent="0.25">
      <c r="A694" s="9"/>
      <c r="B694" s="9"/>
    </row>
    <row r="695" spans="1:2" ht="15.75" customHeight="1" x14ac:dyDescent="0.25">
      <c r="A695" s="9"/>
      <c r="B695" s="9"/>
    </row>
    <row r="696" spans="1:2" ht="15.75" customHeight="1" x14ac:dyDescent="0.25">
      <c r="A696" s="9"/>
      <c r="B696" s="9"/>
    </row>
    <row r="697" spans="1:2" ht="15.75" customHeight="1" x14ac:dyDescent="0.25">
      <c r="A697" s="9"/>
      <c r="B697" s="9"/>
    </row>
    <row r="698" spans="1:2" ht="15.75" customHeight="1" x14ac:dyDescent="0.25">
      <c r="A698" s="9"/>
      <c r="B698" s="9"/>
    </row>
    <row r="699" spans="1:2" ht="15.75" customHeight="1" x14ac:dyDescent="0.25">
      <c r="A699" s="9"/>
      <c r="B699" s="9"/>
    </row>
    <row r="700" spans="1:2" ht="15.75" customHeight="1" x14ac:dyDescent="0.25">
      <c r="A700" s="9"/>
      <c r="B700" s="9"/>
    </row>
    <row r="701" spans="1:2" ht="15.75" customHeight="1" x14ac:dyDescent="0.25">
      <c r="A701" s="9"/>
      <c r="B701" s="9"/>
    </row>
    <row r="702" spans="1:2" ht="15.75" customHeight="1" x14ac:dyDescent="0.25">
      <c r="A702" s="9"/>
      <c r="B702" s="9"/>
    </row>
    <row r="703" spans="1:2" ht="15.75" customHeight="1" x14ac:dyDescent="0.25">
      <c r="A703" s="9"/>
      <c r="B703" s="9"/>
    </row>
    <row r="704" spans="1:2" ht="15.75" customHeight="1" x14ac:dyDescent="0.25">
      <c r="A704" s="9"/>
      <c r="B704" s="9"/>
    </row>
    <row r="705" spans="1:2" ht="15.75" customHeight="1" x14ac:dyDescent="0.25">
      <c r="A705" s="9"/>
      <c r="B705" s="9"/>
    </row>
    <row r="706" spans="1:2" ht="15.75" customHeight="1" x14ac:dyDescent="0.25">
      <c r="A706" s="9"/>
      <c r="B706" s="9"/>
    </row>
    <row r="707" spans="1:2" ht="15.75" customHeight="1" x14ac:dyDescent="0.25">
      <c r="A707" s="9"/>
      <c r="B707" s="9"/>
    </row>
    <row r="708" spans="1:2" ht="15.75" customHeight="1" x14ac:dyDescent="0.25">
      <c r="A708" s="9"/>
      <c r="B708" s="9"/>
    </row>
    <row r="709" spans="1:2" ht="15.75" customHeight="1" x14ac:dyDescent="0.25">
      <c r="A709" s="9"/>
      <c r="B709" s="9"/>
    </row>
    <row r="710" spans="1:2" ht="15.75" customHeight="1" x14ac:dyDescent="0.25">
      <c r="A710" s="9"/>
      <c r="B710" s="9"/>
    </row>
    <row r="711" spans="1:2" ht="15.75" customHeight="1" x14ac:dyDescent="0.25">
      <c r="A711" s="9"/>
      <c r="B711" s="9"/>
    </row>
    <row r="712" spans="1:2" ht="15.75" customHeight="1" x14ac:dyDescent="0.25">
      <c r="A712" s="9"/>
      <c r="B712" s="9"/>
    </row>
    <row r="713" spans="1:2" ht="15.75" customHeight="1" x14ac:dyDescent="0.25">
      <c r="A713" s="9"/>
      <c r="B713" s="9"/>
    </row>
    <row r="714" spans="1:2" ht="15.75" customHeight="1" x14ac:dyDescent="0.25">
      <c r="A714" s="9"/>
      <c r="B714" s="9"/>
    </row>
    <row r="715" spans="1:2" ht="15.75" customHeight="1" x14ac:dyDescent="0.25">
      <c r="A715" s="9"/>
      <c r="B715" s="9"/>
    </row>
    <row r="716" spans="1:2" ht="15.75" customHeight="1" x14ac:dyDescent="0.25">
      <c r="A716" s="9"/>
      <c r="B716" s="9"/>
    </row>
    <row r="717" spans="1:2" ht="15.75" customHeight="1" x14ac:dyDescent="0.25">
      <c r="A717" s="9"/>
      <c r="B717" s="9"/>
    </row>
    <row r="718" spans="1:2" ht="15.75" customHeight="1" x14ac:dyDescent="0.25">
      <c r="A718" s="9"/>
      <c r="B718" s="9"/>
    </row>
    <row r="719" spans="1:2" ht="15.75" customHeight="1" x14ac:dyDescent="0.25">
      <c r="A719" s="9"/>
      <c r="B719" s="9"/>
    </row>
    <row r="720" spans="1:2" ht="15.75" customHeight="1" x14ac:dyDescent="0.25">
      <c r="A720" s="9"/>
      <c r="B720" s="9"/>
    </row>
    <row r="721" spans="1:2" ht="15.75" customHeight="1" x14ac:dyDescent="0.25">
      <c r="A721" s="9"/>
      <c r="B721" s="9"/>
    </row>
    <row r="722" spans="1:2" ht="15.75" customHeight="1" x14ac:dyDescent="0.25">
      <c r="A722" s="9"/>
      <c r="B722" s="9"/>
    </row>
    <row r="723" spans="1:2" ht="15.75" customHeight="1" x14ac:dyDescent="0.25">
      <c r="A723" s="9"/>
      <c r="B723" s="9"/>
    </row>
    <row r="724" spans="1:2" ht="15.75" customHeight="1" x14ac:dyDescent="0.25">
      <c r="A724" s="9"/>
      <c r="B724" s="9"/>
    </row>
    <row r="725" spans="1:2" ht="15.75" customHeight="1" x14ac:dyDescent="0.25">
      <c r="A725" s="9"/>
      <c r="B725" s="9"/>
    </row>
    <row r="726" spans="1:2" ht="15.75" customHeight="1" x14ac:dyDescent="0.25">
      <c r="A726" s="9"/>
      <c r="B726" s="9"/>
    </row>
    <row r="727" spans="1:2" ht="15.75" customHeight="1" x14ac:dyDescent="0.25">
      <c r="A727" s="9"/>
      <c r="B727" s="9"/>
    </row>
    <row r="728" spans="1:2" ht="15.75" customHeight="1" x14ac:dyDescent="0.25">
      <c r="A728" s="9"/>
      <c r="B728" s="9"/>
    </row>
    <row r="729" spans="1:2" ht="15.75" customHeight="1" x14ac:dyDescent="0.25">
      <c r="A729" s="9"/>
      <c r="B729" s="9"/>
    </row>
    <row r="730" spans="1:2" ht="15.75" customHeight="1" x14ac:dyDescent="0.25">
      <c r="A730" s="9"/>
      <c r="B730" s="9"/>
    </row>
    <row r="731" spans="1:2" ht="15.75" customHeight="1" x14ac:dyDescent="0.25">
      <c r="A731" s="9"/>
      <c r="B731" s="9"/>
    </row>
    <row r="732" spans="1:2" ht="15.75" customHeight="1" x14ac:dyDescent="0.25">
      <c r="A732" s="9"/>
      <c r="B732" s="9"/>
    </row>
    <row r="733" spans="1:2" ht="15.75" customHeight="1" x14ac:dyDescent="0.25">
      <c r="A733" s="9"/>
      <c r="B733" s="9"/>
    </row>
    <row r="734" spans="1:2" ht="15.75" customHeight="1" x14ac:dyDescent="0.25">
      <c r="A734" s="9"/>
      <c r="B734" s="9"/>
    </row>
    <row r="735" spans="1:2" ht="15.75" customHeight="1" x14ac:dyDescent="0.25">
      <c r="A735" s="9"/>
      <c r="B735" s="9"/>
    </row>
    <row r="736" spans="1:2" ht="15.75" customHeight="1" x14ac:dyDescent="0.25">
      <c r="A736" s="9"/>
      <c r="B736" s="9"/>
    </row>
    <row r="737" spans="1:2" ht="15.75" customHeight="1" x14ac:dyDescent="0.25">
      <c r="A737" s="9"/>
      <c r="B737" s="9"/>
    </row>
    <row r="738" spans="1:2" ht="15.75" customHeight="1" x14ac:dyDescent="0.25">
      <c r="A738" s="9"/>
      <c r="B738" s="9"/>
    </row>
    <row r="739" spans="1:2" ht="15.75" customHeight="1" x14ac:dyDescent="0.25">
      <c r="A739" s="9"/>
      <c r="B739" s="9"/>
    </row>
    <row r="740" spans="1:2" ht="15.75" customHeight="1" x14ac:dyDescent="0.25">
      <c r="A740" s="9"/>
      <c r="B740" s="9"/>
    </row>
    <row r="741" spans="1:2" ht="15.75" customHeight="1" x14ac:dyDescent="0.25">
      <c r="A741" s="9"/>
      <c r="B741" s="9"/>
    </row>
    <row r="742" spans="1:2" ht="15.75" customHeight="1" x14ac:dyDescent="0.25">
      <c r="A742" s="9"/>
      <c r="B742" s="9"/>
    </row>
    <row r="743" spans="1:2" ht="15.75" customHeight="1" x14ac:dyDescent="0.25">
      <c r="A743" s="9"/>
      <c r="B743" s="9"/>
    </row>
    <row r="744" spans="1:2" ht="15.75" customHeight="1" x14ac:dyDescent="0.25">
      <c r="A744" s="9"/>
      <c r="B744" s="9"/>
    </row>
    <row r="745" spans="1:2" ht="15.75" customHeight="1" x14ac:dyDescent="0.25">
      <c r="A745" s="9"/>
      <c r="B745" s="9"/>
    </row>
    <row r="746" spans="1:2" ht="15.75" customHeight="1" x14ac:dyDescent="0.25">
      <c r="A746" s="9"/>
      <c r="B746" s="9"/>
    </row>
    <row r="747" spans="1:2" ht="15.75" customHeight="1" x14ac:dyDescent="0.25">
      <c r="A747" s="9"/>
      <c r="B747" s="9"/>
    </row>
    <row r="748" spans="1:2" ht="15.75" customHeight="1" x14ac:dyDescent="0.25">
      <c r="A748" s="9"/>
      <c r="B748" s="9"/>
    </row>
    <row r="749" spans="1:2" ht="15.75" customHeight="1" x14ac:dyDescent="0.25">
      <c r="A749" s="9"/>
      <c r="B749" s="9"/>
    </row>
    <row r="750" spans="1:2" ht="15.75" customHeight="1" x14ac:dyDescent="0.25">
      <c r="A750" s="9"/>
      <c r="B750" s="9"/>
    </row>
    <row r="751" spans="1:2" ht="15.75" customHeight="1" x14ac:dyDescent="0.25">
      <c r="A751" s="9"/>
      <c r="B751" s="9"/>
    </row>
    <row r="752" spans="1:2" ht="15.75" customHeight="1" x14ac:dyDescent="0.25">
      <c r="A752" s="9"/>
      <c r="B752" s="9"/>
    </row>
    <row r="753" spans="1:2" ht="15.75" customHeight="1" x14ac:dyDescent="0.25">
      <c r="A753" s="9"/>
      <c r="B753" s="9"/>
    </row>
    <row r="754" spans="1:2" ht="15.75" customHeight="1" x14ac:dyDescent="0.25">
      <c r="A754" s="9"/>
      <c r="B754" s="9"/>
    </row>
    <row r="755" spans="1:2" ht="15.75" customHeight="1" x14ac:dyDescent="0.25">
      <c r="A755" s="9"/>
      <c r="B755" s="9"/>
    </row>
    <row r="756" spans="1:2" ht="15.75" customHeight="1" x14ac:dyDescent="0.25">
      <c r="A756" s="9"/>
      <c r="B756" s="9"/>
    </row>
    <row r="757" spans="1:2" ht="15.75" customHeight="1" x14ac:dyDescent="0.25">
      <c r="A757" s="9"/>
      <c r="B757" s="9"/>
    </row>
    <row r="758" spans="1:2" ht="15.75" customHeight="1" x14ac:dyDescent="0.25">
      <c r="A758" s="9"/>
      <c r="B758" s="9"/>
    </row>
    <row r="759" spans="1:2" ht="15.75" customHeight="1" x14ac:dyDescent="0.25">
      <c r="A759" s="9"/>
      <c r="B759" s="9"/>
    </row>
    <row r="760" spans="1:2" ht="15.75" customHeight="1" x14ac:dyDescent="0.25">
      <c r="A760" s="9"/>
      <c r="B760" s="9"/>
    </row>
    <row r="761" spans="1:2" ht="15.75" customHeight="1" x14ac:dyDescent="0.25">
      <c r="A761" s="9"/>
      <c r="B761" s="9"/>
    </row>
    <row r="762" spans="1:2" ht="15.75" customHeight="1" x14ac:dyDescent="0.25">
      <c r="A762" s="9"/>
      <c r="B762" s="9"/>
    </row>
    <row r="763" spans="1:2" ht="15.75" customHeight="1" x14ac:dyDescent="0.25">
      <c r="A763" s="9"/>
      <c r="B763" s="9"/>
    </row>
    <row r="764" spans="1:2" ht="15.75" customHeight="1" x14ac:dyDescent="0.25">
      <c r="A764" s="9"/>
      <c r="B764" s="9"/>
    </row>
    <row r="765" spans="1:2" ht="15.75" customHeight="1" x14ac:dyDescent="0.25">
      <c r="A765" s="9"/>
      <c r="B765" s="9"/>
    </row>
    <row r="766" spans="1:2" ht="15.75" customHeight="1" x14ac:dyDescent="0.25">
      <c r="A766" s="9"/>
      <c r="B766" s="9"/>
    </row>
    <row r="767" spans="1:2" ht="15.75" customHeight="1" x14ac:dyDescent="0.25">
      <c r="A767" s="9"/>
      <c r="B767" s="9"/>
    </row>
    <row r="768" spans="1:2" ht="15.75" customHeight="1" x14ac:dyDescent="0.25">
      <c r="A768" s="9"/>
      <c r="B768" s="9"/>
    </row>
    <row r="769" spans="1:2" ht="15.75" customHeight="1" x14ac:dyDescent="0.25">
      <c r="A769" s="9"/>
      <c r="B769" s="9"/>
    </row>
    <row r="770" spans="1:2" ht="15.75" customHeight="1" x14ac:dyDescent="0.25">
      <c r="A770" s="9"/>
      <c r="B770" s="9"/>
    </row>
    <row r="771" spans="1:2" ht="15.75" customHeight="1" x14ac:dyDescent="0.25">
      <c r="A771" s="9"/>
      <c r="B771" s="9"/>
    </row>
    <row r="772" spans="1:2" ht="15.75" customHeight="1" x14ac:dyDescent="0.25">
      <c r="A772" s="9"/>
      <c r="B772" s="9"/>
    </row>
    <row r="773" spans="1:2" ht="15.75" customHeight="1" x14ac:dyDescent="0.25">
      <c r="A773" s="9"/>
      <c r="B773" s="9"/>
    </row>
    <row r="774" spans="1:2" ht="15.75" customHeight="1" x14ac:dyDescent="0.25">
      <c r="A774" s="9"/>
      <c r="B774" s="9"/>
    </row>
    <row r="775" spans="1:2" ht="15.75" customHeight="1" x14ac:dyDescent="0.25">
      <c r="A775" s="9"/>
      <c r="B775" s="9"/>
    </row>
    <row r="776" spans="1:2" ht="15.75" customHeight="1" x14ac:dyDescent="0.25">
      <c r="A776" s="9"/>
      <c r="B776" s="9"/>
    </row>
    <row r="777" spans="1:2" ht="15.75" customHeight="1" x14ac:dyDescent="0.25">
      <c r="A777" s="9"/>
      <c r="B777" s="9"/>
    </row>
    <row r="778" spans="1:2" ht="15.75" customHeight="1" x14ac:dyDescent="0.25">
      <c r="A778" s="9"/>
      <c r="B778" s="9"/>
    </row>
    <row r="779" spans="1:2" ht="15.75" customHeight="1" x14ac:dyDescent="0.25">
      <c r="A779" s="9"/>
      <c r="B779" s="9"/>
    </row>
    <row r="780" spans="1:2" ht="15.75" customHeight="1" x14ac:dyDescent="0.25">
      <c r="A780" s="9"/>
      <c r="B780" s="9"/>
    </row>
    <row r="781" spans="1:2" ht="15.75" customHeight="1" x14ac:dyDescent="0.25">
      <c r="A781" s="9"/>
      <c r="B781" s="9"/>
    </row>
    <row r="782" spans="1:2" ht="15.75" customHeight="1" x14ac:dyDescent="0.25">
      <c r="A782" s="9"/>
      <c r="B782" s="9"/>
    </row>
    <row r="783" spans="1:2" ht="15.75" customHeight="1" x14ac:dyDescent="0.25">
      <c r="A783" s="9"/>
      <c r="B783" s="9"/>
    </row>
    <row r="784" spans="1:2" ht="15.75" customHeight="1" x14ac:dyDescent="0.25">
      <c r="A784" s="9"/>
      <c r="B784" s="9"/>
    </row>
    <row r="785" spans="1:2" ht="15.75" customHeight="1" x14ac:dyDescent="0.25">
      <c r="A785" s="9"/>
      <c r="B785" s="9"/>
    </row>
    <row r="786" spans="1:2" ht="15.75" customHeight="1" x14ac:dyDescent="0.25">
      <c r="A786" s="9"/>
      <c r="B786" s="9"/>
    </row>
    <row r="787" spans="1:2" ht="15.75" customHeight="1" x14ac:dyDescent="0.25">
      <c r="A787" s="9"/>
      <c r="B787" s="9"/>
    </row>
    <row r="788" spans="1:2" ht="15.75" customHeight="1" x14ac:dyDescent="0.25">
      <c r="A788" s="9"/>
      <c r="B788" s="9"/>
    </row>
    <row r="789" spans="1:2" ht="15.75" customHeight="1" x14ac:dyDescent="0.25">
      <c r="A789" s="9"/>
      <c r="B789" s="9"/>
    </row>
    <row r="790" spans="1:2" ht="15.75" customHeight="1" x14ac:dyDescent="0.25">
      <c r="A790" s="9"/>
      <c r="B790" s="9"/>
    </row>
    <row r="791" spans="1:2" ht="15.75" customHeight="1" x14ac:dyDescent="0.25">
      <c r="A791" s="9"/>
      <c r="B791" s="9"/>
    </row>
    <row r="792" spans="1:2" ht="15.75" customHeight="1" x14ac:dyDescent="0.25">
      <c r="A792" s="9"/>
      <c r="B792" s="9"/>
    </row>
    <row r="793" spans="1:2" ht="15.75" customHeight="1" x14ac:dyDescent="0.25">
      <c r="A793" s="9"/>
      <c r="B793" s="9"/>
    </row>
    <row r="794" spans="1:2" ht="15.75" customHeight="1" x14ac:dyDescent="0.25">
      <c r="A794" s="9"/>
      <c r="B794" s="9"/>
    </row>
    <row r="795" spans="1:2" ht="15.75" customHeight="1" x14ac:dyDescent="0.25">
      <c r="A795" s="9"/>
      <c r="B795" s="9"/>
    </row>
    <row r="796" spans="1:2" ht="15.75" customHeight="1" x14ac:dyDescent="0.25">
      <c r="A796" s="9"/>
      <c r="B796" s="9"/>
    </row>
    <row r="797" spans="1:2" ht="15.75" customHeight="1" x14ac:dyDescent="0.25">
      <c r="A797" s="9"/>
      <c r="B797" s="9"/>
    </row>
    <row r="798" spans="1:2" ht="15.75" customHeight="1" x14ac:dyDescent="0.25">
      <c r="A798" s="9"/>
      <c r="B798" s="9"/>
    </row>
    <row r="799" spans="1:2" ht="15.75" customHeight="1" x14ac:dyDescent="0.25">
      <c r="A799" s="9"/>
      <c r="B799" s="9"/>
    </row>
    <row r="800" spans="1:2" ht="15.75" customHeight="1" x14ac:dyDescent="0.25">
      <c r="A800" s="9"/>
      <c r="B800" s="9"/>
    </row>
    <row r="801" spans="1:2" ht="15.75" customHeight="1" x14ac:dyDescent="0.25">
      <c r="A801" s="9"/>
      <c r="B801" s="9"/>
    </row>
    <row r="802" spans="1:2" ht="15.75" customHeight="1" x14ac:dyDescent="0.25">
      <c r="A802" s="9"/>
      <c r="B802" s="9"/>
    </row>
    <row r="803" spans="1:2" ht="15.75" customHeight="1" x14ac:dyDescent="0.25">
      <c r="A803" s="9"/>
      <c r="B803" s="9"/>
    </row>
    <row r="804" spans="1:2" ht="15.75" customHeight="1" x14ac:dyDescent="0.25">
      <c r="A804" s="9"/>
      <c r="B804" s="9"/>
    </row>
    <row r="805" spans="1:2" ht="15.75" customHeight="1" x14ac:dyDescent="0.25">
      <c r="A805" s="9"/>
      <c r="B805" s="9"/>
    </row>
    <row r="806" spans="1:2" ht="15.75" customHeight="1" x14ac:dyDescent="0.25">
      <c r="A806" s="9"/>
      <c r="B806" s="9"/>
    </row>
    <row r="807" spans="1:2" ht="15.75" customHeight="1" x14ac:dyDescent="0.25">
      <c r="A807" s="9"/>
      <c r="B807" s="9"/>
    </row>
    <row r="808" spans="1:2" ht="15.75" customHeight="1" x14ac:dyDescent="0.25">
      <c r="A808" s="9"/>
      <c r="B808" s="9"/>
    </row>
    <row r="809" spans="1:2" ht="15.75" customHeight="1" x14ac:dyDescent="0.25">
      <c r="A809" s="9"/>
      <c r="B809" s="9"/>
    </row>
    <row r="810" spans="1:2" ht="15.75" customHeight="1" x14ac:dyDescent="0.25">
      <c r="A810" s="9"/>
      <c r="B810" s="9"/>
    </row>
    <row r="811" spans="1:2" ht="15.75" customHeight="1" x14ac:dyDescent="0.25">
      <c r="A811" s="9"/>
      <c r="B811" s="9"/>
    </row>
    <row r="812" spans="1:2" ht="15.75" customHeight="1" x14ac:dyDescent="0.25">
      <c r="A812" s="9"/>
      <c r="B812" s="9"/>
    </row>
    <row r="813" spans="1:2" ht="15.75" customHeight="1" x14ac:dyDescent="0.25">
      <c r="A813" s="9"/>
      <c r="B813" s="9"/>
    </row>
    <row r="814" spans="1:2" ht="15.75" customHeight="1" x14ac:dyDescent="0.25">
      <c r="A814" s="9"/>
      <c r="B814" s="9"/>
    </row>
    <row r="815" spans="1:2" ht="15.75" customHeight="1" x14ac:dyDescent="0.25">
      <c r="A815" s="9"/>
      <c r="B815" s="9"/>
    </row>
    <row r="816" spans="1:2" ht="15.75" customHeight="1" x14ac:dyDescent="0.25">
      <c r="A816" s="9"/>
      <c r="B816" s="9"/>
    </row>
    <row r="817" spans="1:2" ht="15.75" customHeight="1" x14ac:dyDescent="0.25">
      <c r="A817" s="9"/>
      <c r="B817" s="9"/>
    </row>
    <row r="818" spans="1:2" ht="15.75" customHeight="1" x14ac:dyDescent="0.25">
      <c r="A818" s="9"/>
      <c r="B818" s="9"/>
    </row>
    <row r="819" spans="1:2" ht="15.75" customHeight="1" x14ac:dyDescent="0.25">
      <c r="A819" s="9"/>
      <c r="B819" s="9"/>
    </row>
    <row r="820" spans="1:2" ht="15.75" customHeight="1" x14ac:dyDescent="0.25">
      <c r="A820" s="9"/>
      <c r="B820" s="9"/>
    </row>
    <row r="821" spans="1:2" ht="15.75" customHeight="1" x14ac:dyDescent="0.25">
      <c r="A821" s="9"/>
      <c r="B821" s="9"/>
    </row>
    <row r="822" spans="1:2" ht="15.75" customHeight="1" x14ac:dyDescent="0.25">
      <c r="A822" s="9"/>
      <c r="B822" s="9"/>
    </row>
    <row r="823" spans="1:2" ht="15.75" customHeight="1" x14ac:dyDescent="0.25">
      <c r="A823" s="9"/>
      <c r="B823" s="9"/>
    </row>
    <row r="824" spans="1:2" ht="15.75" customHeight="1" x14ac:dyDescent="0.25">
      <c r="A824" s="9"/>
      <c r="B824" s="9"/>
    </row>
    <row r="825" spans="1:2" ht="15.75" customHeight="1" x14ac:dyDescent="0.25">
      <c r="A825" s="9"/>
      <c r="B825" s="9"/>
    </row>
    <row r="826" spans="1:2" ht="15.75" customHeight="1" x14ac:dyDescent="0.25">
      <c r="A826" s="9"/>
      <c r="B826" s="9"/>
    </row>
    <row r="827" spans="1:2" ht="15.75" customHeight="1" x14ac:dyDescent="0.25">
      <c r="A827" s="9"/>
      <c r="B827" s="9"/>
    </row>
    <row r="828" spans="1:2" ht="15.75" customHeight="1" x14ac:dyDescent="0.25">
      <c r="A828" s="9"/>
      <c r="B828" s="9"/>
    </row>
    <row r="829" spans="1:2" ht="15.75" customHeight="1" x14ac:dyDescent="0.25">
      <c r="A829" s="9"/>
      <c r="B829" s="9"/>
    </row>
    <row r="830" spans="1:2" ht="15.75" customHeight="1" x14ac:dyDescent="0.25">
      <c r="A830" s="9"/>
      <c r="B830" s="9"/>
    </row>
    <row r="831" spans="1:2" ht="15.75" customHeight="1" x14ac:dyDescent="0.25">
      <c r="A831" s="9"/>
      <c r="B831" s="9"/>
    </row>
    <row r="832" spans="1:2" ht="15.75" customHeight="1" x14ac:dyDescent="0.25">
      <c r="A832" s="9"/>
      <c r="B832" s="9"/>
    </row>
    <row r="833" spans="1:2" ht="15.75" customHeight="1" x14ac:dyDescent="0.25">
      <c r="A833" s="9"/>
      <c r="B833" s="9"/>
    </row>
    <row r="834" spans="1:2" ht="15.75" customHeight="1" x14ac:dyDescent="0.25">
      <c r="A834" s="9"/>
      <c r="B834" s="9"/>
    </row>
    <row r="835" spans="1:2" ht="15.75" customHeight="1" x14ac:dyDescent="0.25">
      <c r="A835" s="9"/>
      <c r="B835" s="9"/>
    </row>
    <row r="836" spans="1:2" ht="15.75" customHeight="1" x14ac:dyDescent="0.25">
      <c r="A836" s="9"/>
      <c r="B836" s="9"/>
    </row>
    <row r="837" spans="1:2" ht="15.75" customHeight="1" x14ac:dyDescent="0.25">
      <c r="A837" s="9"/>
      <c r="B837" s="9"/>
    </row>
    <row r="838" spans="1:2" ht="15.75" customHeight="1" x14ac:dyDescent="0.25">
      <c r="A838" s="9"/>
      <c r="B838" s="9"/>
    </row>
    <row r="839" spans="1:2" ht="15.75" customHeight="1" x14ac:dyDescent="0.25">
      <c r="A839" s="9"/>
      <c r="B839" s="9"/>
    </row>
    <row r="840" spans="1:2" ht="15.75" customHeight="1" x14ac:dyDescent="0.25">
      <c r="A840" s="9"/>
      <c r="B840" s="9"/>
    </row>
    <row r="841" spans="1:2" ht="15.75" customHeight="1" x14ac:dyDescent="0.25">
      <c r="A841" s="9"/>
      <c r="B841" s="9"/>
    </row>
    <row r="842" spans="1:2" ht="15.75" customHeight="1" x14ac:dyDescent="0.25">
      <c r="A842" s="9"/>
      <c r="B842" s="9"/>
    </row>
    <row r="843" spans="1:2" ht="15.75" customHeight="1" x14ac:dyDescent="0.25">
      <c r="A843" s="9"/>
      <c r="B843" s="9"/>
    </row>
    <row r="844" spans="1:2" ht="15.75" customHeight="1" x14ac:dyDescent="0.25">
      <c r="A844" s="9"/>
      <c r="B844" s="9"/>
    </row>
    <row r="845" spans="1:2" ht="15.75" customHeight="1" x14ac:dyDescent="0.25">
      <c r="A845" s="9"/>
      <c r="B845" s="9"/>
    </row>
    <row r="846" spans="1:2" ht="15.75" customHeight="1" x14ac:dyDescent="0.25">
      <c r="A846" s="9"/>
      <c r="B846" s="9"/>
    </row>
    <row r="847" spans="1:2" ht="15.75" customHeight="1" x14ac:dyDescent="0.25">
      <c r="A847" s="9"/>
      <c r="B847" s="9"/>
    </row>
    <row r="848" spans="1:2" ht="15.75" customHeight="1" x14ac:dyDescent="0.25">
      <c r="A848" s="9"/>
      <c r="B848" s="9"/>
    </row>
    <row r="849" spans="1:2" ht="15.75" customHeight="1" x14ac:dyDescent="0.25">
      <c r="A849" s="9"/>
      <c r="B849" s="9"/>
    </row>
    <row r="850" spans="1:2" ht="15.75" customHeight="1" x14ac:dyDescent="0.25">
      <c r="A850" s="9"/>
      <c r="B850" s="9"/>
    </row>
    <row r="851" spans="1:2" ht="15.75" customHeight="1" x14ac:dyDescent="0.25">
      <c r="A851" s="9"/>
      <c r="B851" s="9"/>
    </row>
    <row r="852" spans="1:2" ht="15.75" customHeight="1" x14ac:dyDescent="0.25">
      <c r="A852" s="9"/>
      <c r="B852" s="9"/>
    </row>
    <row r="853" spans="1:2" ht="15.75" customHeight="1" x14ac:dyDescent="0.25">
      <c r="A853" s="9"/>
      <c r="B853" s="9"/>
    </row>
    <row r="854" spans="1:2" ht="15.75" customHeight="1" x14ac:dyDescent="0.25">
      <c r="A854" s="9"/>
      <c r="B854" s="9"/>
    </row>
    <row r="855" spans="1:2" ht="15.75" customHeight="1" x14ac:dyDescent="0.25">
      <c r="A855" s="9"/>
      <c r="B855" s="9"/>
    </row>
    <row r="856" spans="1:2" ht="15.75" customHeight="1" x14ac:dyDescent="0.25">
      <c r="A856" s="9"/>
      <c r="B856" s="9"/>
    </row>
    <row r="857" spans="1:2" ht="15.75" customHeight="1" x14ac:dyDescent="0.25">
      <c r="A857" s="9"/>
      <c r="B857" s="9"/>
    </row>
    <row r="858" spans="1:2" ht="15.75" customHeight="1" x14ac:dyDescent="0.25">
      <c r="A858" s="9"/>
      <c r="B858" s="9"/>
    </row>
    <row r="859" spans="1:2" ht="15.75" customHeight="1" x14ac:dyDescent="0.25">
      <c r="A859" s="9"/>
      <c r="B859" s="9"/>
    </row>
    <row r="860" spans="1:2" ht="15.75" customHeight="1" x14ac:dyDescent="0.25">
      <c r="A860" s="9"/>
      <c r="B860" s="9"/>
    </row>
    <row r="861" spans="1:2" ht="15.75" customHeight="1" x14ac:dyDescent="0.25">
      <c r="A861" s="9"/>
      <c r="B861" s="9"/>
    </row>
    <row r="862" spans="1:2" ht="15.75" customHeight="1" x14ac:dyDescent="0.25">
      <c r="A862" s="9"/>
      <c r="B862" s="9"/>
    </row>
    <row r="863" spans="1:2" ht="15.75" customHeight="1" x14ac:dyDescent="0.25">
      <c r="A863" s="9"/>
      <c r="B863" s="9"/>
    </row>
    <row r="864" spans="1:2" ht="15.75" customHeight="1" x14ac:dyDescent="0.25">
      <c r="A864" s="9"/>
      <c r="B864" s="9"/>
    </row>
    <row r="865" spans="1:2" ht="15.75" customHeight="1" x14ac:dyDescent="0.25">
      <c r="A865" s="9"/>
      <c r="B865" s="9"/>
    </row>
    <row r="866" spans="1:2" ht="15.75" customHeight="1" x14ac:dyDescent="0.25">
      <c r="A866" s="9"/>
      <c r="B866" s="9"/>
    </row>
    <row r="867" spans="1:2" ht="15.75" customHeight="1" x14ac:dyDescent="0.25">
      <c r="A867" s="9"/>
      <c r="B867" s="9"/>
    </row>
    <row r="868" spans="1:2" ht="15.75" customHeight="1" x14ac:dyDescent="0.25">
      <c r="A868" s="9"/>
      <c r="B868" s="9"/>
    </row>
    <row r="869" spans="1:2" ht="15.75" customHeight="1" x14ac:dyDescent="0.25">
      <c r="A869" s="9"/>
      <c r="B869" s="9"/>
    </row>
    <row r="870" spans="1:2" ht="15.75" customHeight="1" x14ac:dyDescent="0.25">
      <c r="A870" s="9"/>
      <c r="B870" s="9"/>
    </row>
    <row r="871" spans="1:2" ht="15.75" customHeight="1" x14ac:dyDescent="0.25">
      <c r="A871" s="9"/>
      <c r="B871" s="9"/>
    </row>
    <row r="872" spans="1:2" ht="15.75" customHeight="1" x14ac:dyDescent="0.25">
      <c r="A872" s="9"/>
      <c r="B872" s="9"/>
    </row>
    <row r="873" spans="1:2" ht="15.75" customHeight="1" x14ac:dyDescent="0.25">
      <c r="A873" s="9"/>
      <c r="B873" s="9"/>
    </row>
    <row r="874" spans="1:2" ht="15.75" customHeight="1" x14ac:dyDescent="0.25">
      <c r="A874" s="9"/>
      <c r="B874" s="9"/>
    </row>
    <row r="875" spans="1:2" ht="15.75" customHeight="1" x14ac:dyDescent="0.25">
      <c r="A875" s="9"/>
      <c r="B875" s="9"/>
    </row>
    <row r="876" spans="1:2" ht="15.75" customHeight="1" x14ac:dyDescent="0.25">
      <c r="A876" s="9"/>
      <c r="B876" s="9"/>
    </row>
    <row r="877" spans="1:2" ht="15.75" customHeight="1" x14ac:dyDescent="0.25">
      <c r="A877" s="9"/>
      <c r="B877" s="9"/>
    </row>
    <row r="878" spans="1:2" ht="15.75" customHeight="1" x14ac:dyDescent="0.25">
      <c r="A878" s="9"/>
      <c r="B878" s="9"/>
    </row>
    <row r="879" spans="1:2" ht="15.75" customHeight="1" x14ac:dyDescent="0.25">
      <c r="A879" s="9"/>
      <c r="B879" s="9"/>
    </row>
    <row r="880" spans="1:2" ht="15.75" customHeight="1" x14ac:dyDescent="0.25">
      <c r="A880" s="9"/>
      <c r="B880" s="9"/>
    </row>
    <row r="881" spans="1:2" ht="15.75" customHeight="1" x14ac:dyDescent="0.25">
      <c r="A881" s="9"/>
      <c r="B881" s="9"/>
    </row>
    <row r="882" spans="1:2" ht="15.75" customHeight="1" x14ac:dyDescent="0.25">
      <c r="A882" s="9"/>
      <c r="B882" s="9"/>
    </row>
    <row r="883" spans="1:2" ht="15.75" customHeight="1" x14ac:dyDescent="0.25">
      <c r="A883" s="9"/>
      <c r="B883" s="9"/>
    </row>
    <row r="884" spans="1:2" ht="15.75" customHeight="1" x14ac:dyDescent="0.25">
      <c r="A884" s="9"/>
      <c r="B884" s="9"/>
    </row>
    <row r="885" spans="1:2" ht="15.75" customHeight="1" x14ac:dyDescent="0.25">
      <c r="A885" s="9"/>
      <c r="B885" s="9"/>
    </row>
    <row r="886" spans="1:2" ht="15.75" customHeight="1" x14ac:dyDescent="0.25">
      <c r="A886" s="9"/>
      <c r="B886" s="9"/>
    </row>
    <row r="887" spans="1:2" ht="15.75" customHeight="1" x14ac:dyDescent="0.25">
      <c r="A887" s="9"/>
      <c r="B887" s="9"/>
    </row>
    <row r="888" spans="1:2" ht="15.75" customHeight="1" x14ac:dyDescent="0.25">
      <c r="A888" s="9"/>
      <c r="B888" s="9"/>
    </row>
    <row r="889" spans="1:2" ht="15.75" customHeight="1" x14ac:dyDescent="0.25">
      <c r="A889" s="9"/>
      <c r="B889" s="9"/>
    </row>
    <row r="890" spans="1:2" ht="15.75" customHeight="1" x14ac:dyDescent="0.25">
      <c r="A890" s="9"/>
      <c r="B890" s="9"/>
    </row>
    <row r="891" spans="1:2" ht="15.75" customHeight="1" x14ac:dyDescent="0.25">
      <c r="A891" s="9"/>
      <c r="B891" s="9"/>
    </row>
    <row r="892" spans="1:2" ht="15.75" customHeight="1" x14ac:dyDescent="0.25">
      <c r="A892" s="9"/>
      <c r="B892" s="9"/>
    </row>
    <row r="893" spans="1:2" ht="15.75" customHeight="1" x14ac:dyDescent="0.25">
      <c r="A893" s="9"/>
      <c r="B893" s="9"/>
    </row>
    <row r="894" spans="1:2" ht="15.75" customHeight="1" x14ac:dyDescent="0.25">
      <c r="A894" s="9"/>
      <c r="B894" s="9"/>
    </row>
    <row r="895" spans="1:2" ht="15.75" customHeight="1" x14ac:dyDescent="0.25">
      <c r="A895" s="9"/>
      <c r="B895" s="9"/>
    </row>
    <row r="896" spans="1:2" ht="15.75" customHeight="1" x14ac:dyDescent="0.25">
      <c r="A896" s="9"/>
      <c r="B896" s="9"/>
    </row>
    <row r="897" spans="1:2" ht="15.75" customHeight="1" x14ac:dyDescent="0.25">
      <c r="A897" s="9"/>
      <c r="B897" s="9"/>
    </row>
    <row r="898" spans="1:2" ht="15.75" customHeight="1" x14ac:dyDescent="0.25">
      <c r="A898" s="9"/>
      <c r="B898" s="9"/>
    </row>
    <row r="899" spans="1:2" ht="15.75" customHeight="1" x14ac:dyDescent="0.25">
      <c r="A899" s="9"/>
      <c r="B899" s="9"/>
    </row>
    <row r="900" spans="1:2" ht="15.75" customHeight="1" x14ac:dyDescent="0.25">
      <c r="A900" s="9"/>
      <c r="B900" s="9"/>
    </row>
    <row r="901" spans="1:2" ht="15.75" customHeight="1" x14ac:dyDescent="0.25">
      <c r="A901" s="9"/>
      <c r="B901" s="9"/>
    </row>
    <row r="902" spans="1:2" ht="15.75" customHeight="1" x14ac:dyDescent="0.25">
      <c r="A902" s="9"/>
      <c r="B902" s="9"/>
    </row>
    <row r="903" spans="1:2" ht="15.75" customHeight="1" x14ac:dyDescent="0.25">
      <c r="A903" s="9"/>
      <c r="B903" s="9"/>
    </row>
    <row r="904" spans="1:2" ht="15.75" customHeight="1" x14ac:dyDescent="0.25">
      <c r="A904" s="9"/>
      <c r="B904" s="9"/>
    </row>
    <row r="905" spans="1:2" ht="15.75" customHeight="1" x14ac:dyDescent="0.25">
      <c r="A905" s="9"/>
      <c r="B905" s="9"/>
    </row>
    <row r="906" spans="1:2" ht="15.75" customHeight="1" x14ac:dyDescent="0.25">
      <c r="A906" s="9"/>
      <c r="B906" s="9"/>
    </row>
    <row r="907" spans="1:2" ht="15.75" customHeight="1" x14ac:dyDescent="0.25">
      <c r="A907" s="9"/>
      <c r="B907" s="9"/>
    </row>
    <row r="908" spans="1:2" ht="15.75" customHeight="1" x14ac:dyDescent="0.25">
      <c r="A908" s="9"/>
      <c r="B908" s="9"/>
    </row>
    <row r="909" spans="1:2" ht="15.75" customHeight="1" x14ac:dyDescent="0.25">
      <c r="A909" s="9"/>
      <c r="B909" s="9"/>
    </row>
    <row r="910" spans="1:2" ht="15.75" customHeight="1" x14ac:dyDescent="0.25">
      <c r="A910" s="9"/>
      <c r="B910" s="9"/>
    </row>
    <row r="911" spans="1:2" ht="15.75" customHeight="1" x14ac:dyDescent="0.25">
      <c r="A911" s="9"/>
      <c r="B911" s="9"/>
    </row>
    <row r="912" spans="1:2" ht="15.75" customHeight="1" x14ac:dyDescent="0.25">
      <c r="A912" s="9"/>
      <c r="B912" s="9"/>
    </row>
    <row r="913" spans="1:2" ht="15.75" customHeight="1" x14ac:dyDescent="0.25">
      <c r="A913" s="9"/>
      <c r="B913" s="9"/>
    </row>
    <row r="914" spans="1:2" ht="15.75" customHeight="1" x14ac:dyDescent="0.25">
      <c r="A914" s="9"/>
      <c r="B914" s="9"/>
    </row>
    <row r="915" spans="1:2" ht="15.75" customHeight="1" x14ac:dyDescent="0.25">
      <c r="A915" s="9"/>
      <c r="B915" s="9"/>
    </row>
    <row r="916" spans="1:2" ht="15.75" customHeight="1" x14ac:dyDescent="0.25">
      <c r="A916" s="9"/>
      <c r="B916" s="9"/>
    </row>
    <row r="917" spans="1:2" ht="15.75" customHeight="1" x14ac:dyDescent="0.25">
      <c r="A917" s="9"/>
      <c r="B917" s="9"/>
    </row>
    <row r="918" spans="1:2" ht="15.75" customHeight="1" x14ac:dyDescent="0.25">
      <c r="A918" s="9"/>
      <c r="B918" s="9"/>
    </row>
    <row r="919" spans="1:2" ht="15.75" customHeight="1" x14ac:dyDescent="0.25">
      <c r="A919" s="9"/>
      <c r="B919" s="9"/>
    </row>
    <row r="920" spans="1:2" ht="15.75" customHeight="1" x14ac:dyDescent="0.25">
      <c r="A920" s="9"/>
      <c r="B920" s="9"/>
    </row>
    <row r="921" spans="1:2" ht="15.75" customHeight="1" x14ac:dyDescent="0.25">
      <c r="A921" s="9"/>
      <c r="B921" s="9"/>
    </row>
    <row r="922" spans="1:2" ht="15.75" customHeight="1" x14ac:dyDescent="0.25">
      <c r="A922" s="9"/>
      <c r="B922" s="9"/>
    </row>
    <row r="923" spans="1:2" ht="15.75" customHeight="1" x14ac:dyDescent="0.25">
      <c r="A923" s="9"/>
      <c r="B923" s="9"/>
    </row>
    <row r="924" spans="1:2" ht="15.75" customHeight="1" x14ac:dyDescent="0.25">
      <c r="A924" s="9"/>
      <c r="B924" s="9"/>
    </row>
    <row r="925" spans="1:2" ht="15.75" customHeight="1" x14ac:dyDescent="0.25">
      <c r="A925" s="9"/>
      <c r="B925" s="9"/>
    </row>
    <row r="926" spans="1:2" ht="15.75" customHeight="1" x14ac:dyDescent="0.25">
      <c r="A926" s="9"/>
      <c r="B926" s="9"/>
    </row>
    <row r="927" spans="1:2" ht="15.75" customHeight="1" x14ac:dyDescent="0.25">
      <c r="A927" s="9"/>
      <c r="B927" s="9"/>
    </row>
    <row r="928" spans="1:2" ht="15.75" customHeight="1" x14ac:dyDescent="0.25">
      <c r="A928" s="9"/>
      <c r="B928" s="9"/>
    </row>
    <row r="929" spans="1:2" ht="15.75" customHeight="1" x14ac:dyDescent="0.25">
      <c r="A929" s="9"/>
      <c r="B929" s="9"/>
    </row>
    <row r="930" spans="1:2" ht="15.75" customHeight="1" x14ac:dyDescent="0.25">
      <c r="A930" s="9"/>
      <c r="B930" s="9"/>
    </row>
    <row r="931" spans="1:2" ht="15.75" customHeight="1" x14ac:dyDescent="0.25">
      <c r="A931" s="9"/>
      <c r="B931" s="9"/>
    </row>
    <row r="932" spans="1:2" ht="15.75" customHeight="1" x14ac:dyDescent="0.25">
      <c r="A932" s="9"/>
      <c r="B932" s="9"/>
    </row>
    <row r="933" spans="1:2" ht="15.75" customHeight="1" x14ac:dyDescent="0.25">
      <c r="A933" s="9"/>
      <c r="B933" s="9"/>
    </row>
    <row r="934" spans="1:2" ht="15.75" customHeight="1" x14ac:dyDescent="0.25">
      <c r="A934" s="9"/>
      <c r="B934" s="9"/>
    </row>
    <row r="935" spans="1:2" ht="15.75" customHeight="1" x14ac:dyDescent="0.25">
      <c r="A935" s="9"/>
      <c r="B935" s="9"/>
    </row>
    <row r="936" spans="1:2" ht="15.75" customHeight="1" x14ac:dyDescent="0.25">
      <c r="A936" s="9"/>
      <c r="B936" s="9"/>
    </row>
    <row r="937" spans="1:2" ht="15.75" customHeight="1" x14ac:dyDescent="0.25">
      <c r="A937" s="9"/>
      <c r="B937" s="9"/>
    </row>
    <row r="938" spans="1:2" ht="15.75" customHeight="1" x14ac:dyDescent="0.25">
      <c r="A938" s="9"/>
      <c r="B938" s="9"/>
    </row>
    <row r="939" spans="1:2" ht="15.75" customHeight="1" x14ac:dyDescent="0.25">
      <c r="A939" s="9"/>
      <c r="B939" s="9"/>
    </row>
    <row r="940" spans="1:2" ht="15.75" customHeight="1" x14ac:dyDescent="0.25">
      <c r="A940" s="9"/>
      <c r="B940" s="9"/>
    </row>
    <row r="941" spans="1:2" ht="15.75" customHeight="1" x14ac:dyDescent="0.25">
      <c r="A941" s="9"/>
      <c r="B941" s="9"/>
    </row>
    <row r="942" spans="1:2" ht="15.75" customHeight="1" x14ac:dyDescent="0.25">
      <c r="A942" s="9"/>
      <c r="B942" s="9"/>
    </row>
    <row r="943" spans="1:2" ht="15.75" customHeight="1" x14ac:dyDescent="0.25">
      <c r="A943" s="9"/>
      <c r="B943" s="9"/>
    </row>
    <row r="944" spans="1:2" ht="15.75" customHeight="1" x14ac:dyDescent="0.25">
      <c r="A944" s="9"/>
      <c r="B944" s="9"/>
    </row>
    <row r="945" spans="1:2" ht="15.75" customHeight="1" x14ac:dyDescent="0.25">
      <c r="A945" s="9"/>
      <c r="B945" s="9"/>
    </row>
    <row r="946" spans="1:2" ht="15.75" customHeight="1" x14ac:dyDescent="0.25">
      <c r="A946" s="9"/>
      <c r="B946" s="9"/>
    </row>
    <row r="947" spans="1:2" ht="15.75" customHeight="1" x14ac:dyDescent="0.25">
      <c r="A947" s="9"/>
      <c r="B947" s="9"/>
    </row>
    <row r="948" spans="1:2" ht="15.75" customHeight="1" x14ac:dyDescent="0.25">
      <c r="A948" s="9"/>
      <c r="B948" s="9"/>
    </row>
    <row r="949" spans="1:2" ht="15.75" customHeight="1" x14ac:dyDescent="0.25">
      <c r="A949" s="9"/>
      <c r="B949" s="9"/>
    </row>
    <row r="950" spans="1:2" ht="15.75" customHeight="1" x14ac:dyDescent="0.25">
      <c r="A950" s="9"/>
      <c r="B950" s="9"/>
    </row>
    <row r="951" spans="1:2" ht="15.75" customHeight="1" x14ac:dyDescent="0.25">
      <c r="A951" s="9"/>
      <c r="B951" s="9"/>
    </row>
    <row r="952" spans="1:2" ht="15.75" customHeight="1" x14ac:dyDescent="0.25">
      <c r="A952" s="9"/>
      <c r="B952" s="9"/>
    </row>
    <row r="953" spans="1:2" ht="15.75" customHeight="1" x14ac:dyDescent="0.25">
      <c r="A953" s="9"/>
      <c r="B953" s="9"/>
    </row>
    <row r="954" spans="1:2" ht="15.75" customHeight="1" x14ac:dyDescent="0.25">
      <c r="A954" s="9"/>
      <c r="B954" s="9"/>
    </row>
    <row r="955" spans="1:2" ht="15.75" customHeight="1" x14ac:dyDescent="0.25">
      <c r="A955" s="9"/>
      <c r="B955" s="9"/>
    </row>
    <row r="956" spans="1:2" ht="15.75" customHeight="1" x14ac:dyDescent="0.25">
      <c r="A956" s="9"/>
      <c r="B956" s="9"/>
    </row>
    <row r="957" spans="1:2" ht="15.75" customHeight="1" x14ac:dyDescent="0.25">
      <c r="A957" s="9"/>
      <c r="B957" s="9"/>
    </row>
    <row r="958" spans="1:2" ht="15.75" customHeight="1" x14ac:dyDescent="0.25">
      <c r="A958" s="9"/>
      <c r="B958" s="9"/>
    </row>
    <row r="959" spans="1:2" ht="15.75" customHeight="1" x14ac:dyDescent="0.25">
      <c r="A959" s="9"/>
      <c r="B959" s="9"/>
    </row>
    <row r="960" spans="1:2" ht="15.75" customHeight="1" x14ac:dyDescent="0.25">
      <c r="A960" s="9"/>
      <c r="B960" s="9"/>
    </row>
    <row r="961" spans="1:2" ht="15.75" customHeight="1" x14ac:dyDescent="0.25">
      <c r="A961" s="9"/>
      <c r="B961" s="9"/>
    </row>
    <row r="962" spans="1:2" ht="15.75" customHeight="1" x14ac:dyDescent="0.25">
      <c r="A962" s="9"/>
      <c r="B962" s="9"/>
    </row>
    <row r="963" spans="1:2" ht="15.75" customHeight="1" x14ac:dyDescent="0.25">
      <c r="A963" s="9"/>
      <c r="B963" s="9"/>
    </row>
    <row r="964" spans="1:2" ht="15.75" customHeight="1" x14ac:dyDescent="0.25">
      <c r="A964" s="9"/>
      <c r="B964" s="9"/>
    </row>
    <row r="965" spans="1:2" ht="15.75" customHeight="1" x14ac:dyDescent="0.25">
      <c r="A965" s="9"/>
      <c r="B965" s="9"/>
    </row>
    <row r="966" spans="1:2" ht="15.75" customHeight="1" x14ac:dyDescent="0.25">
      <c r="A966" s="9"/>
      <c r="B966" s="9"/>
    </row>
    <row r="967" spans="1:2" ht="15.75" customHeight="1" x14ac:dyDescent="0.25">
      <c r="A967" s="9"/>
      <c r="B967" s="9"/>
    </row>
    <row r="968" spans="1:2" ht="15.75" customHeight="1" x14ac:dyDescent="0.25">
      <c r="A968" s="9"/>
      <c r="B968" s="9"/>
    </row>
    <row r="969" spans="1:2" ht="15.75" customHeight="1" x14ac:dyDescent="0.25">
      <c r="A969" s="9"/>
      <c r="B969" s="9"/>
    </row>
    <row r="970" spans="1:2" ht="15.75" customHeight="1" x14ac:dyDescent="0.25">
      <c r="A970" s="9"/>
      <c r="B970" s="9"/>
    </row>
    <row r="971" spans="1:2" ht="15.75" customHeight="1" x14ac:dyDescent="0.25">
      <c r="A971" s="9"/>
      <c r="B971" s="9"/>
    </row>
    <row r="972" spans="1:2" ht="15.75" customHeight="1" x14ac:dyDescent="0.25">
      <c r="A972" s="9"/>
      <c r="B972" s="9"/>
    </row>
    <row r="973" spans="1:2" ht="15.75" customHeight="1" x14ac:dyDescent="0.25">
      <c r="A973" s="9"/>
      <c r="B973" s="9"/>
    </row>
    <row r="974" spans="1:2" ht="15.75" customHeight="1" x14ac:dyDescent="0.25">
      <c r="A974" s="9"/>
      <c r="B974" s="9"/>
    </row>
    <row r="975" spans="1:2" ht="15.75" customHeight="1" x14ac:dyDescent="0.25">
      <c r="A975" s="9"/>
      <c r="B975" s="9"/>
    </row>
    <row r="976" spans="1:2" ht="15.75" customHeight="1" x14ac:dyDescent="0.25">
      <c r="A976" s="9"/>
      <c r="B976" s="9"/>
    </row>
    <row r="977" spans="1:2" ht="15.75" customHeight="1" x14ac:dyDescent="0.25">
      <c r="A977" s="9"/>
      <c r="B977" s="9"/>
    </row>
    <row r="978" spans="1:2" ht="15.75" customHeight="1" x14ac:dyDescent="0.25">
      <c r="A978" s="9"/>
      <c r="B978" s="9"/>
    </row>
    <row r="979" spans="1:2" ht="15.75" customHeight="1" x14ac:dyDescent="0.25">
      <c r="A979" s="9"/>
      <c r="B979" s="9"/>
    </row>
    <row r="980" spans="1:2" ht="15.75" customHeight="1" x14ac:dyDescent="0.25">
      <c r="A980" s="9"/>
      <c r="B980" s="9"/>
    </row>
    <row r="981" spans="1:2" ht="15.75" customHeight="1" x14ac:dyDescent="0.25">
      <c r="A981" s="9"/>
      <c r="B981" s="9"/>
    </row>
    <row r="982" spans="1:2" ht="15.75" customHeight="1" x14ac:dyDescent="0.25">
      <c r="A982" s="9"/>
      <c r="B982" s="9"/>
    </row>
    <row r="983" spans="1:2" ht="15.75" customHeight="1" x14ac:dyDescent="0.25">
      <c r="A983" s="9"/>
      <c r="B983" s="9"/>
    </row>
    <row r="984" spans="1:2" ht="15.75" customHeight="1" x14ac:dyDescent="0.25">
      <c r="A984" s="9"/>
      <c r="B984" s="9"/>
    </row>
    <row r="985" spans="1:2" ht="15.75" customHeight="1" x14ac:dyDescent="0.25">
      <c r="A985" s="9"/>
      <c r="B985" s="9"/>
    </row>
    <row r="986" spans="1:2" ht="15.75" customHeight="1" x14ac:dyDescent="0.25">
      <c r="A986" s="9"/>
      <c r="B986" s="9"/>
    </row>
    <row r="987" spans="1:2" ht="15.75" customHeight="1" x14ac:dyDescent="0.25">
      <c r="A987" s="9"/>
      <c r="B987" s="9"/>
    </row>
    <row r="988" spans="1:2" ht="15.75" customHeight="1" x14ac:dyDescent="0.25">
      <c r="A988" s="9"/>
      <c r="B988" s="9"/>
    </row>
    <row r="989" spans="1:2" ht="15.75" customHeight="1" x14ac:dyDescent="0.25">
      <c r="A989" s="9"/>
      <c r="B989" s="9"/>
    </row>
    <row r="990" spans="1:2" ht="15.75" customHeight="1" x14ac:dyDescent="0.25">
      <c r="A990" s="9"/>
      <c r="B990" s="9"/>
    </row>
    <row r="991" spans="1:2" ht="15.75" customHeight="1" x14ac:dyDescent="0.25">
      <c r="A991" s="9"/>
      <c r="B991" s="9"/>
    </row>
    <row r="992" spans="1:2" ht="15.75" customHeight="1" x14ac:dyDescent="0.25">
      <c r="A992" s="9"/>
      <c r="B992" s="9"/>
    </row>
    <row r="993" spans="1:2" ht="15.75" customHeight="1" x14ac:dyDescent="0.25">
      <c r="A993" s="9"/>
      <c r="B993" s="9"/>
    </row>
    <row r="994" spans="1:2" ht="15.75" customHeight="1" x14ac:dyDescent="0.25">
      <c r="A994" s="9"/>
      <c r="B994" s="9"/>
    </row>
    <row r="995" spans="1:2" ht="15.75" customHeight="1" x14ac:dyDescent="0.25">
      <c r="A995" s="9"/>
      <c r="B995" s="9"/>
    </row>
    <row r="996" spans="1:2" ht="15.75" customHeight="1" x14ac:dyDescent="0.25">
      <c r="A996" s="9"/>
      <c r="B996" s="9"/>
    </row>
    <row r="997" spans="1:2" ht="15.75" customHeight="1" x14ac:dyDescent="0.25">
      <c r="A997" s="9"/>
      <c r="B997" s="9"/>
    </row>
    <row r="998" spans="1:2" ht="15.75" customHeight="1" x14ac:dyDescent="0.25">
      <c r="A998" s="9"/>
      <c r="B998" s="9"/>
    </row>
    <row r="999" spans="1:2" ht="15.75" customHeight="1" x14ac:dyDescent="0.25">
      <c r="A999" s="9"/>
      <c r="B999" s="9"/>
    </row>
    <row r="1000" spans="1:2" ht="15.75" customHeight="1" x14ac:dyDescent="0.25">
      <c r="A1000" s="9"/>
      <c r="B1000" s="9"/>
    </row>
    <row r="1001" spans="1:2" ht="15.75" customHeight="1" x14ac:dyDescent="0.25">
      <c r="A1001" s="9"/>
      <c r="B1001" s="9"/>
    </row>
    <row r="1002" spans="1:2" ht="15.75" customHeight="1" x14ac:dyDescent="0.25">
      <c r="A1002" s="9"/>
      <c r="B1002" s="9"/>
    </row>
    <row r="1003" spans="1:2" ht="15.75" customHeight="1" x14ac:dyDescent="0.25">
      <c r="A1003" s="9"/>
      <c r="B1003" s="9"/>
    </row>
    <row r="1004" spans="1:2" ht="15.75" customHeight="1" x14ac:dyDescent="0.25">
      <c r="A1004" s="9"/>
      <c r="B1004" s="9"/>
    </row>
    <row r="1005" spans="1:2" ht="15.75" customHeight="1" x14ac:dyDescent="0.25">
      <c r="A1005" s="9"/>
      <c r="B1005" s="9"/>
    </row>
    <row r="1006" spans="1:2" ht="15.75" customHeight="1" x14ac:dyDescent="0.25">
      <c r="A1006" s="9"/>
      <c r="B1006" s="9"/>
    </row>
    <row r="1007" spans="1:2" ht="15.75" customHeight="1" x14ac:dyDescent="0.25">
      <c r="A1007" s="9"/>
      <c r="B1007" s="9"/>
    </row>
    <row r="1008" spans="1:2" ht="15.75" customHeight="1" x14ac:dyDescent="0.25">
      <c r="A1008" s="9"/>
      <c r="B1008" s="9"/>
    </row>
    <row r="1009" spans="1:2" ht="15.75" customHeight="1" x14ac:dyDescent="0.25">
      <c r="A1009" s="9"/>
      <c r="B1009" s="9"/>
    </row>
    <row r="1010" spans="1:2" ht="15.75" customHeight="1" x14ac:dyDescent="0.25">
      <c r="A1010" s="9"/>
      <c r="B1010" s="9"/>
    </row>
    <row r="1011" spans="1:2" ht="15.75" customHeight="1" x14ac:dyDescent="0.25">
      <c r="A1011" s="9"/>
      <c r="B1011" s="9"/>
    </row>
    <row r="1012" spans="1:2" ht="15.75" customHeight="1" x14ac:dyDescent="0.25">
      <c r="A1012" s="9"/>
      <c r="B1012" s="9"/>
    </row>
    <row r="1013" spans="1:2" ht="15.75" customHeight="1" x14ac:dyDescent="0.25">
      <c r="A1013" s="9"/>
      <c r="B1013" s="9"/>
    </row>
    <row r="1014" spans="1:2" ht="15.75" customHeight="1" x14ac:dyDescent="0.25">
      <c r="A1014" s="9"/>
      <c r="B1014" s="9"/>
    </row>
    <row r="1015" spans="1:2" ht="15.75" customHeight="1" x14ac:dyDescent="0.25">
      <c r="A1015" s="9"/>
      <c r="B1015" s="9"/>
    </row>
    <row r="1016" spans="1:2" ht="15.75" customHeight="1" x14ac:dyDescent="0.25">
      <c r="A1016" s="9"/>
      <c r="B1016" s="9"/>
    </row>
    <row r="1017" spans="1:2" ht="15.75" customHeight="1" x14ac:dyDescent="0.25">
      <c r="A1017" s="9"/>
      <c r="B1017" s="9"/>
    </row>
    <row r="1018" spans="1:2" ht="15.75" customHeight="1" x14ac:dyDescent="0.25">
      <c r="A1018" s="9"/>
      <c r="B1018" s="9"/>
    </row>
    <row r="1019" spans="1:2" ht="15.75" customHeight="1" x14ac:dyDescent="0.25">
      <c r="A1019" s="9"/>
      <c r="B1019" s="9"/>
    </row>
    <row r="1020" spans="1:2" ht="15.75" customHeight="1" x14ac:dyDescent="0.25">
      <c r="A1020" s="9"/>
      <c r="B1020" s="9"/>
    </row>
    <row r="1021" spans="1:2" ht="15.75" customHeight="1" x14ac:dyDescent="0.25">
      <c r="A1021" s="9"/>
      <c r="B1021" s="9"/>
    </row>
    <row r="1022" spans="1:2" ht="15.75" customHeight="1" x14ac:dyDescent="0.25">
      <c r="A1022" s="9"/>
      <c r="B1022" s="9"/>
    </row>
    <row r="1023" spans="1:2" ht="15.75" customHeight="1" x14ac:dyDescent="0.25">
      <c r="A1023" s="9"/>
      <c r="B1023" s="9"/>
    </row>
    <row r="1024" spans="1:2" ht="15.75" customHeight="1" x14ac:dyDescent="0.25">
      <c r="A1024" s="9"/>
      <c r="B1024" s="9"/>
    </row>
    <row r="1025" spans="1:2" ht="15.75" customHeight="1" x14ac:dyDescent="0.25">
      <c r="A1025" s="9"/>
      <c r="B1025" s="9"/>
    </row>
    <row r="1026" spans="1:2" ht="15.75" customHeight="1" x14ac:dyDescent="0.25">
      <c r="A1026" s="9"/>
      <c r="B1026" s="9"/>
    </row>
    <row r="1027" spans="1:2" ht="15.75" customHeight="1" x14ac:dyDescent="0.25">
      <c r="A1027" s="9"/>
      <c r="B1027" s="9"/>
    </row>
    <row r="1028" spans="1:2" ht="15.75" customHeight="1" x14ac:dyDescent="0.25">
      <c r="A1028" s="9"/>
      <c r="B1028" s="9"/>
    </row>
    <row r="1029" spans="1:2" ht="15.75" customHeight="1" x14ac:dyDescent="0.25">
      <c r="A1029" s="9"/>
      <c r="B1029" s="9"/>
    </row>
    <row r="1030" spans="1:2" ht="15.75" customHeight="1" x14ac:dyDescent="0.25">
      <c r="A1030" s="9"/>
      <c r="B1030" s="9"/>
    </row>
    <row r="1031" spans="1:2" ht="15.75" customHeight="1" x14ac:dyDescent="0.25">
      <c r="A1031" s="9"/>
      <c r="B1031" s="9"/>
    </row>
    <row r="1032" spans="1:2" ht="15.75" customHeight="1" x14ac:dyDescent="0.25">
      <c r="A1032" s="9"/>
      <c r="B1032" s="9"/>
    </row>
    <row r="1033" spans="1:2" ht="15.75" customHeight="1" x14ac:dyDescent="0.25">
      <c r="A1033" s="9"/>
      <c r="B1033" s="9"/>
    </row>
    <row r="1034" spans="1:2" ht="15.75" customHeight="1" x14ac:dyDescent="0.25">
      <c r="A1034" s="9"/>
      <c r="B1034" s="9"/>
    </row>
    <row r="1035" spans="1:2" ht="15.75" customHeight="1" x14ac:dyDescent="0.25">
      <c r="A1035" s="9"/>
      <c r="B1035" s="9"/>
    </row>
    <row r="1036" spans="1:2" ht="15.75" customHeight="1" x14ac:dyDescent="0.25">
      <c r="A1036" s="9"/>
      <c r="B1036" s="9"/>
    </row>
    <row r="1037" spans="1:2" ht="15.75" customHeight="1" x14ac:dyDescent="0.25">
      <c r="A1037" s="9"/>
      <c r="B1037" s="9"/>
    </row>
    <row r="1038" spans="1:2" ht="15.75" customHeight="1" x14ac:dyDescent="0.25">
      <c r="A1038" s="9"/>
      <c r="B1038" s="9"/>
    </row>
    <row r="1039" spans="1:2" ht="15.75" customHeight="1" x14ac:dyDescent="0.25">
      <c r="A1039" s="9"/>
      <c r="B1039" s="9"/>
    </row>
    <row r="1040" spans="1:2" ht="15.75" customHeight="1" x14ac:dyDescent="0.25">
      <c r="A1040" s="9"/>
      <c r="B1040" s="9"/>
    </row>
    <row r="1041" spans="1:2" ht="15.75" customHeight="1" x14ac:dyDescent="0.25">
      <c r="A1041" s="9"/>
      <c r="B1041" s="9"/>
    </row>
    <row r="1042" spans="1:2" ht="15.75" customHeight="1" x14ac:dyDescent="0.25">
      <c r="A1042" s="9"/>
      <c r="B1042" s="9"/>
    </row>
    <row r="1043" spans="1:2" ht="15.75" customHeight="1" x14ac:dyDescent="0.25">
      <c r="A1043" s="9"/>
      <c r="B1043" s="9"/>
    </row>
    <row r="1044" spans="1:2" ht="15.75" customHeight="1" x14ac:dyDescent="0.25">
      <c r="A1044" s="9"/>
      <c r="B1044" s="9"/>
    </row>
    <row r="1045" spans="1:2" ht="15.75" customHeight="1" x14ac:dyDescent="0.25">
      <c r="A1045" s="9"/>
      <c r="B1045" s="9"/>
    </row>
    <row r="1046" spans="1:2" ht="15.75" customHeight="1" x14ac:dyDescent="0.25">
      <c r="A1046" s="9"/>
      <c r="B1046" s="9"/>
    </row>
    <row r="1047" spans="1:2" ht="15.75" customHeight="1" x14ac:dyDescent="0.25">
      <c r="A1047" s="9"/>
      <c r="B1047" s="9"/>
    </row>
    <row r="1048" spans="1:2" ht="15.75" customHeight="1" x14ac:dyDescent="0.25">
      <c r="A1048" s="9"/>
      <c r="B1048" s="9"/>
    </row>
    <row r="1049" spans="1:2" ht="15.75" customHeight="1" x14ac:dyDescent="0.25">
      <c r="A1049" s="9"/>
      <c r="B1049" s="9"/>
    </row>
    <row r="1050" spans="1:2" ht="15.75" customHeight="1" x14ac:dyDescent="0.25">
      <c r="A1050" s="9"/>
      <c r="B1050" s="9"/>
    </row>
    <row r="1051" spans="1:2" ht="15.75" customHeight="1" x14ac:dyDescent="0.25">
      <c r="A1051" s="9"/>
      <c r="B1051" s="9"/>
    </row>
    <row r="1052" spans="1:2" ht="15.75" customHeight="1" x14ac:dyDescent="0.25">
      <c r="A1052" s="9"/>
      <c r="B1052" s="9"/>
    </row>
    <row r="1053" spans="1:2" ht="15.75" customHeight="1" x14ac:dyDescent="0.25">
      <c r="A1053" s="9"/>
      <c r="B1053" s="9"/>
    </row>
    <row r="1054" spans="1:2" ht="15.75" customHeight="1" x14ac:dyDescent="0.25">
      <c r="A1054" s="9"/>
      <c r="B1054" s="9"/>
    </row>
    <row r="1055" spans="1:2" ht="15.75" customHeight="1" x14ac:dyDescent="0.25">
      <c r="A1055" s="9"/>
      <c r="B1055" s="9"/>
    </row>
    <row r="1056" spans="1:2" ht="15.75" customHeight="1" x14ac:dyDescent="0.25">
      <c r="A1056" s="9"/>
      <c r="B1056" s="9"/>
    </row>
    <row r="1057" spans="1:2" ht="15.75" customHeight="1" x14ac:dyDescent="0.25">
      <c r="A1057" s="9"/>
      <c r="B1057" s="9"/>
    </row>
    <row r="1058" spans="1:2" ht="15.75" customHeight="1" x14ac:dyDescent="0.25">
      <c r="A1058" s="9"/>
      <c r="B1058" s="9"/>
    </row>
    <row r="1059" spans="1:2" ht="15.75" customHeight="1" x14ac:dyDescent="0.25">
      <c r="A1059" s="9"/>
      <c r="B1059" s="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356"/>
  <sheetViews>
    <sheetView tabSelected="1" workbookViewId="0">
      <pane ySplit="1" topLeftCell="A2" activePane="bottomLeft" state="frozen"/>
      <selection pane="bottomLeft" activeCell="L293" sqref="L293"/>
    </sheetView>
  </sheetViews>
  <sheetFormatPr baseColWidth="10" defaultColWidth="12.5703125" defaultRowHeight="15.75" customHeight="1" x14ac:dyDescent="0.2"/>
  <sheetData>
    <row r="1" spans="1:31" ht="15.75" customHeight="1" x14ac:dyDescent="0.2">
      <c r="A1" s="7"/>
      <c r="B1" s="20" t="s">
        <v>410</v>
      </c>
      <c r="C1" s="20" t="s">
        <v>411</v>
      </c>
      <c r="D1" s="20" t="s">
        <v>412</v>
      </c>
      <c r="E1" s="20" t="s">
        <v>413</v>
      </c>
      <c r="F1" s="20" t="s">
        <v>414</v>
      </c>
      <c r="G1" s="20" t="s">
        <v>415</v>
      </c>
      <c r="H1" s="20" t="s">
        <v>416</v>
      </c>
      <c r="I1" s="20" t="s">
        <v>417</v>
      </c>
      <c r="J1" s="20" t="s">
        <v>418</v>
      </c>
      <c r="K1" s="20" t="s">
        <v>419</v>
      </c>
      <c r="L1" s="20" t="s">
        <v>420</v>
      </c>
      <c r="M1" s="20" t="s">
        <v>421</v>
      </c>
      <c r="N1" s="20" t="s">
        <v>422</v>
      </c>
      <c r="O1" s="20" t="s">
        <v>423</v>
      </c>
      <c r="P1" s="20" t="s">
        <v>424</v>
      </c>
      <c r="Q1" s="20" t="s">
        <v>425</v>
      </c>
      <c r="R1" s="20" t="s">
        <v>426</v>
      </c>
      <c r="S1" s="20" t="s">
        <v>14</v>
      </c>
      <c r="T1" s="20"/>
      <c r="U1" s="20" t="s">
        <v>427</v>
      </c>
      <c r="V1" s="20" t="s">
        <v>16</v>
      </c>
      <c r="W1" s="20"/>
      <c r="X1" s="20" t="s">
        <v>428</v>
      </c>
      <c r="Y1" s="20" t="s">
        <v>17</v>
      </c>
      <c r="Z1" s="20"/>
      <c r="AA1" s="20" t="s">
        <v>429</v>
      </c>
      <c r="AB1" s="20" t="s">
        <v>18</v>
      </c>
      <c r="AC1" s="21"/>
      <c r="AD1" s="21"/>
      <c r="AE1" s="21"/>
    </row>
    <row r="2" spans="1:31" ht="12.75" x14ac:dyDescent="0.2">
      <c r="A2" s="22"/>
      <c r="B2" s="23" t="s">
        <v>430</v>
      </c>
      <c r="C2" s="24" t="s">
        <v>26</v>
      </c>
      <c r="D2" s="5">
        <v>1</v>
      </c>
      <c r="E2" s="5">
        <v>5</v>
      </c>
      <c r="F2" s="5">
        <v>18</v>
      </c>
      <c r="G2" s="25">
        <v>18</v>
      </c>
      <c r="H2" s="26">
        <f ca="1">IFERROR(__xludf.DUMMYFUNCTION("(R2 * IFERROR(IF(S2&lt;&gt;"""",FILTER($G:$G,$C:$C=S2),0), 0)) + (U2 * IFERROR(IF(V2&lt;&gt;"""",FILTER($G:$G,$C:$C=V2),0), 0)) + (X2 * IFERROR(IF(Y2&lt;&gt;"""",FILTER($G:$G,$C:$C=Y2),0), 0)) + (AA2 * IFERROR(IF(AB2&lt;&gt;"""",FILTER($G:$G,$C:$C=AB2),0), 0))"),7)</f>
        <v>7</v>
      </c>
      <c r="I2" s="27">
        <f t="shared" ref="I2:I256" ca="1" si="0">G2-H2</f>
        <v>11</v>
      </c>
      <c r="J2" s="5">
        <v>20</v>
      </c>
      <c r="K2" s="5">
        <v>20</v>
      </c>
      <c r="L2" s="5">
        <f>J2</f>
        <v>20</v>
      </c>
      <c r="M2" s="28">
        <f t="shared" ref="M2:M256" si="1">IFERROR(ROUND(G2/L2, 2), "?")</f>
        <v>0.9</v>
      </c>
      <c r="N2" s="29">
        <f t="shared" ref="N2:N256" ca="1" si="2">IFERROR(ROUND(I2/L2, 2), "?")</f>
        <v>0.55000000000000004</v>
      </c>
      <c r="O2" s="5">
        <v>2</v>
      </c>
      <c r="P2" s="30">
        <f t="shared" ref="P2:P256" si="3">IFERROR(ROUND(O2/L2, 2), "?")</f>
        <v>0.1</v>
      </c>
      <c r="Q2" s="31" t="s">
        <v>431</v>
      </c>
      <c r="R2" s="32">
        <v>1</v>
      </c>
      <c r="S2" s="33" t="s">
        <v>162</v>
      </c>
      <c r="T2" s="33"/>
      <c r="U2" s="33"/>
      <c r="V2" s="33"/>
      <c r="W2" s="33"/>
      <c r="X2" s="33"/>
      <c r="Y2" s="33"/>
      <c r="Z2" s="33"/>
      <c r="AA2" s="33"/>
      <c r="AB2" s="34"/>
      <c r="AC2" s="6"/>
      <c r="AD2" s="6"/>
      <c r="AE2" s="7"/>
    </row>
    <row r="3" spans="1:31" ht="12.75" x14ac:dyDescent="0.2">
      <c r="A3" s="22"/>
      <c r="B3" s="23" t="s">
        <v>430</v>
      </c>
      <c r="C3" s="24" t="s">
        <v>95</v>
      </c>
      <c r="D3" s="5">
        <v>6</v>
      </c>
      <c r="E3" s="5">
        <v>9</v>
      </c>
      <c r="F3" s="5">
        <v>32</v>
      </c>
      <c r="G3" s="25">
        <v>32</v>
      </c>
      <c r="H3" s="26">
        <f ca="1">IFERROR(__xludf.DUMMYFUNCTION("(R3 * IFERROR(IF(S3&lt;&gt;"""",FILTER($G:$G,$C:$C=S3),0), 0)) + (U3 * IFERROR(IF(V3&lt;&gt;"""",FILTER($G:$G,$C:$C=V3),0), 0)) + (X3 * IFERROR(IF(Y3&lt;&gt;"""",FILTER($G:$G,$C:$C=Y3),0), 0)) + (AA3 * IFERROR(IF(AB3&lt;&gt;"""",FILTER($G:$G,$C:$C=AB3),0), 0))"),14)</f>
        <v>14</v>
      </c>
      <c r="I3" s="27">
        <f t="shared" ca="1" si="0"/>
        <v>18</v>
      </c>
      <c r="J3" s="5">
        <v>60</v>
      </c>
      <c r="K3" s="5">
        <v>60</v>
      </c>
      <c r="L3" s="5">
        <f t="shared" ref="L3:L66" si="4">J3</f>
        <v>60</v>
      </c>
      <c r="M3" s="28">
        <f t="shared" si="1"/>
        <v>0.53</v>
      </c>
      <c r="N3" s="29">
        <f t="shared" ca="1" si="2"/>
        <v>0.3</v>
      </c>
      <c r="O3" s="5">
        <v>3</v>
      </c>
      <c r="P3" s="30">
        <f t="shared" si="3"/>
        <v>0.05</v>
      </c>
      <c r="Q3" s="31" t="s">
        <v>432</v>
      </c>
      <c r="R3" s="32">
        <v>1</v>
      </c>
      <c r="S3" s="33" t="s">
        <v>163</v>
      </c>
      <c r="T3" s="33"/>
      <c r="U3" s="33"/>
      <c r="V3" s="33"/>
      <c r="W3" s="33"/>
      <c r="X3" s="33"/>
      <c r="Y3" s="33"/>
      <c r="Z3" s="33"/>
      <c r="AA3" s="33"/>
      <c r="AB3" s="34"/>
      <c r="AC3" s="6"/>
      <c r="AD3" s="6"/>
      <c r="AE3" s="7"/>
    </row>
    <row r="4" spans="1:31" ht="12.75" x14ac:dyDescent="0.2">
      <c r="A4" s="22"/>
      <c r="B4" s="23" t="s">
        <v>430</v>
      </c>
      <c r="C4" s="24" t="s">
        <v>66</v>
      </c>
      <c r="D4" s="5">
        <v>10</v>
      </c>
      <c r="E4" s="5">
        <v>14</v>
      </c>
      <c r="F4" s="5">
        <v>50</v>
      </c>
      <c r="G4" s="25">
        <v>50</v>
      </c>
      <c r="H4" s="26">
        <f ca="1">IFERROR(__xludf.DUMMYFUNCTION("(R4 * IFERROR(IF(S4&lt;&gt;"""",FILTER($G:$G,$C:$C=S4),0), 0)) + (U4 * IFERROR(IF(V4&lt;&gt;"""",FILTER($G:$G,$C:$C=V4),0), 0)) + (X4 * IFERROR(IF(Y4&lt;&gt;"""",FILTER($G:$G,$C:$C=Y4),0), 0)) + (AA4 * IFERROR(IF(AB4&lt;&gt;"""",FILTER($G:$G,$C:$C=AB4),0), 0))"),14)</f>
        <v>14</v>
      </c>
      <c r="I4" s="27">
        <f t="shared" ca="1" si="0"/>
        <v>36</v>
      </c>
      <c r="J4" s="5">
        <v>240</v>
      </c>
      <c r="K4" s="5">
        <v>240</v>
      </c>
      <c r="L4" s="5">
        <f t="shared" si="4"/>
        <v>240</v>
      </c>
      <c r="M4" s="28">
        <f t="shared" si="1"/>
        <v>0.21</v>
      </c>
      <c r="N4" s="29">
        <f t="shared" ca="1" si="2"/>
        <v>0.15</v>
      </c>
      <c r="O4" s="5">
        <v>5</v>
      </c>
      <c r="P4" s="30">
        <f t="shared" si="3"/>
        <v>0.02</v>
      </c>
      <c r="Q4" s="31" t="s">
        <v>433</v>
      </c>
      <c r="R4" s="32">
        <v>1</v>
      </c>
      <c r="S4" s="33" t="s">
        <v>165</v>
      </c>
      <c r="T4" s="33"/>
      <c r="U4" s="33"/>
      <c r="V4" s="33"/>
      <c r="W4" s="33"/>
      <c r="X4" s="33"/>
      <c r="Y4" s="33"/>
      <c r="Z4" s="33"/>
      <c r="AA4" s="33"/>
      <c r="AB4" s="34"/>
      <c r="AC4" s="6"/>
      <c r="AD4" s="6"/>
      <c r="AE4" s="7"/>
    </row>
    <row r="5" spans="1:31" ht="12.75" x14ac:dyDescent="0.2">
      <c r="A5" s="22"/>
      <c r="B5" s="23" t="s">
        <v>430</v>
      </c>
      <c r="C5" s="24" t="s">
        <v>189</v>
      </c>
      <c r="D5" s="5">
        <v>16</v>
      </c>
      <c r="E5" s="5">
        <v>15</v>
      </c>
      <c r="F5" s="5">
        <v>54</v>
      </c>
      <c r="G5" s="25">
        <v>54</v>
      </c>
      <c r="H5" s="26">
        <f ca="1">IFERROR(__xludf.DUMMYFUNCTION("(R5 * IFERROR(IF(S5&lt;&gt;"""",FILTER($G:$G,$C:$C=S5),0), 0)) + (U5 * IFERROR(IF(V5&lt;&gt;"""",FILTER($G:$G,$C:$C=V5),0), 0)) + (X5 * IFERROR(IF(Y5&lt;&gt;"""",FILTER($G:$G,$C:$C=Y5),0), 0)) + (AA5 * IFERROR(IF(AB5&lt;&gt;"""",FILTER($G:$G,$C:$C=AB5),0), 0))"),14)</f>
        <v>14</v>
      </c>
      <c r="I5" s="27">
        <f t="shared" ca="1" si="0"/>
        <v>40</v>
      </c>
      <c r="J5" s="5">
        <v>360</v>
      </c>
      <c r="K5" s="5">
        <v>360</v>
      </c>
      <c r="L5" s="5">
        <f t="shared" si="4"/>
        <v>360</v>
      </c>
      <c r="M5" s="28">
        <f t="shared" si="1"/>
        <v>0.15</v>
      </c>
      <c r="N5" s="29">
        <f t="shared" ca="1" si="2"/>
        <v>0.11</v>
      </c>
      <c r="O5" s="5">
        <v>5</v>
      </c>
      <c r="P5" s="30">
        <f t="shared" si="3"/>
        <v>0.01</v>
      </c>
      <c r="Q5" s="31" t="s">
        <v>434</v>
      </c>
      <c r="R5" s="32">
        <v>1</v>
      </c>
      <c r="S5" s="33" t="s">
        <v>166</v>
      </c>
      <c r="T5" s="33"/>
      <c r="U5" s="33"/>
      <c r="V5" s="33"/>
      <c r="W5" s="33"/>
      <c r="X5" s="33"/>
      <c r="Y5" s="33"/>
      <c r="Z5" s="33"/>
      <c r="AA5" s="33"/>
      <c r="AB5" s="34"/>
      <c r="AC5" s="6"/>
      <c r="AD5" s="6"/>
      <c r="AE5" s="7"/>
    </row>
    <row r="6" spans="1:31" ht="12.75" x14ac:dyDescent="0.2">
      <c r="A6" s="22"/>
      <c r="B6" s="23" t="s">
        <v>430</v>
      </c>
      <c r="C6" s="24" t="s">
        <v>43</v>
      </c>
      <c r="D6" s="5">
        <v>27</v>
      </c>
      <c r="E6" s="5">
        <v>15</v>
      </c>
      <c r="F6" s="5">
        <v>54</v>
      </c>
      <c r="G6" s="25">
        <v>54</v>
      </c>
      <c r="H6" s="26">
        <f ca="1">IFERROR(__xludf.DUMMYFUNCTION("(R6 * IFERROR(IF(S6&lt;&gt;"""",FILTER($G:$G,$C:$C=S6),0), 0)) + (U6 * IFERROR(IF(V6&lt;&gt;"""",FILTER($G:$G,$C:$C=V6),0), 0)) + (X6 * IFERROR(IF(Y6&lt;&gt;"""",FILTER($G:$G,$C:$C=Y6),0), 0)) + (AA6 * IFERROR(IF(AB6&lt;&gt;"""",FILTER($G:$G,$C:$C=AB6),0), 0))"),0)</f>
        <v>0</v>
      </c>
      <c r="I6" s="27">
        <f t="shared" ca="1" si="0"/>
        <v>54</v>
      </c>
      <c r="J6" s="5">
        <v>120</v>
      </c>
      <c r="K6" s="5">
        <v>120</v>
      </c>
      <c r="L6" s="5">
        <f t="shared" si="4"/>
        <v>120</v>
      </c>
      <c r="M6" s="28">
        <f t="shared" si="1"/>
        <v>0.45</v>
      </c>
      <c r="N6" s="29">
        <f t="shared" ca="1" si="2"/>
        <v>0.45</v>
      </c>
      <c r="O6" s="5">
        <v>5</v>
      </c>
      <c r="P6" s="30">
        <f t="shared" si="3"/>
        <v>0.04</v>
      </c>
      <c r="Q6" s="31" t="s">
        <v>435</v>
      </c>
      <c r="R6" s="33"/>
      <c r="S6" s="33"/>
      <c r="T6" s="33"/>
      <c r="U6" s="33"/>
      <c r="V6" s="33"/>
      <c r="W6" s="33"/>
      <c r="X6" s="33"/>
      <c r="Y6" s="33"/>
      <c r="Z6" s="33"/>
      <c r="AA6" s="33"/>
      <c r="AB6" s="34"/>
      <c r="AC6" s="6"/>
      <c r="AD6" s="6"/>
      <c r="AE6" s="7"/>
    </row>
    <row r="7" spans="1:31" ht="12.75" x14ac:dyDescent="0.2">
      <c r="A7" s="22"/>
      <c r="B7" s="23" t="s">
        <v>430</v>
      </c>
      <c r="C7" s="24" t="s">
        <v>53</v>
      </c>
      <c r="D7" s="5">
        <v>32</v>
      </c>
      <c r="E7" s="5">
        <v>18</v>
      </c>
      <c r="F7" s="5">
        <v>64</v>
      </c>
      <c r="G7" s="25">
        <v>64</v>
      </c>
      <c r="H7" s="26">
        <f ca="1">IFERROR(__xludf.DUMMYFUNCTION("(R7 * IFERROR(IF(S7&lt;&gt;"""",FILTER($G:$G,$C:$C=S7),0), 0)) + (U7 * IFERROR(IF(V7&lt;&gt;"""",FILTER($G:$G,$C:$C=V7),0), 0)) + (X7 * IFERROR(IF(Y7&lt;&gt;"""",FILTER($G:$G,$C:$C=Y7),0), 0)) + (AA7 * IFERROR(IF(AB7&lt;&gt;"""",FILTER($G:$G,$C:$C=AB7),0), 0))"),14)</f>
        <v>14</v>
      </c>
      <c r="I7" s="27">
        <f t="shared" ca="1" si="0"/>
        <v>50</v>
      </c>
      <c r="J7" s="5">
        <v>480</v>
      </c>
      <c r="K7" s="5">
        <v>480</v>
      </c>
      <c r="L7" s="5">
        <f t="shared" si="4"/>
        <v>480</v>
      </c>
      <c r="M7" s="28">
        <f t="shared" si="1"/>
        <v>0.13</v>
      </c>
      <c r="N7" s="29">
        <f t="shared" ca="1" si="2"/>
        <v>0.1</v>
      </c>
      <c r="O7" s="5">
        <v>6</v>
      </c>
      <c r="P7" s="30">
        <f t="shared" si="3"/>
        <v>0.01</v>
      </c>
      <c r="Q7" s="31" t="s">
        <v>433</v>
      </c>
      <c r="R7" s="32">
        <v>1</v>
      </c>
      <c r="S7" s="33" t="s">
        <v>167</v>
      </c>
      <c r="T7" s="33"/>
      <c r="U7" s="33"/>
      <c r="V7" s="33"/>
      <c r="W7" s="33"/>
      <c r="X7" s="33"/>
      <c r="Y7" s="33"/>
      <c r="Z7" s="33"/>
      <c r="AA7" s="33"/>
      <c r="AB7" s="34"/>
      <c r="AC7" s="6"/>
      <c r="AD7" s="6"/>
      <c r="AE7" s="7"/>
    </row>
    <row r="8" spans="1:31" ht="12.75" x14ac:dyDescent="0.2">
      <c r="A8" s="22"/>
      <c r="B8" s="23" t="s">
        <v>430</v>
      </c>
      <c r="C8" s="24" t="s">
        <v>55</v>
      </c>
      <c r="D8" s="5">
        <v>39</v>
      </c>
      <c r="E8" s="5">
        <v>19</v>
      </c>
      <c r="F8" s="5">
        <v>68</v>
      </c>
      <c r="G8" s="25">
        <v>68</v>
      </c>
      <c r="H8" s="26">
        <f ca="1">IFERROR(__xludf.DUMMYFUNCTION("(R8 * IFERROR(IF(S8&lt;&gt;"""",FILTER($G:$G,$C:$C=S8),0), 0)) + (U8 * IFERROR(IF(V8&lt;&gt;"""",FILTER($G:$G,$C:$C=V8),0), 0)) + (X8 * IFERROR(IF(Y8&lt;&gt;"""",FILTER($G:$G,$C:$C=Y8),0), 0)) + (AA8 * IFERROR(IF(AB8&lt;&gt;"""",FILTER($G:$G,$C:$C=AB8),0), 0))"),31.2)</f>
        <v>31.2</v>
      </c>
      <c r="I8" s="27">
        <f t="shared" ca="1" si="0"/>
        <v>36.799999999999997</v>
      </c>
      <c r="J8" s="5">
        <v>35</v>
      </c>
      <c r="K8" s="5">
        <v>35</v>
      </c>
      <c r="L8" s="5">
        <f t="shared" si="4"/>
        <v>35</v>
      </c>
      <c r="M8" s="28">
        <f t="shared" si="1"/>
        <v>1.94</v>
      </c>
      <c r="N8" s="29">
        <f t="shared" ca="1" si="2"/>
        <v>1.05</v>
      </c>
      <c r="O8" s="5">
        <v>8</v>
      </c>
      <c r="P8" s="30">
        <f t="shared" si="3"/>
        <v>0.23</v>
      </c>
      <c r="Q8" s="31"/>
      <c r="R8" s="32">
        <v>0.2</v>
      </c>
      <c r="S8" s="33" t="s">
        <v>436</v>
      </c>
      <c r="T8" s="32"/>
      <c r="U8" s="32">
        <v>24</v>
      </c>
      <c r="V8" s="33" t="s">
        <v>437</v>
      </c>
      <c r="W8" s="33"/>
      <c r="X8" s="33"/>
      <c r="Y8" s="33"/>
      <c r="Z8" s="33"/>
      <c r="AA8" s="33"/>
      <c r="AB8" s="34"/>
      <c r="AC8" s="6"/>
      <c r="AD8" s="6"/>
      <c r="AE8" s="7"/>
    </row>
    <row r="9" spans="1:31" ht="12.75" x14ac:dyDescent="0.2">
      <c r="A9" s="22"/>
      <c r="B9" s="23" t="s">
        <v>430</v>
      </c>
      <c r="C9" s="24" t="s">
        <v>44</v>
      </c>
      <c r="D9" s="5">
        <v>44</v>
      </c>
      <c r="E9" s="5">
        <v>56</v>
      </c>
      <c r="F9" s="5">
        <v>201</v>
      </c>
      <c r="G9" s="25">
        <v>201</v>
      </c>
      <c r="H9" s="26">
        <f ca="1">IFERROR(__xludf.DUMMYFUNCTION("(R9 * IFERROR(IF(S9&lt;&gt;"""",FILTER($G:$G,$C:$C=S9),0), 0)) + (U9 * IFERROR(IF(V9&lt;&gt;"""",FILTER($G:$G,$C:$C=V9),0), 0)) + (X9 * IFERROR(IF(Y9&lt;&gt;"""",FILTER($G:$G,$C:$C=Y9),0), 0)) + (AA9 * IFERROR(IF(AB9&lt;&gt;"""",FILTER($G:$G,$C:$C=AB9),0), 0))"),0)</f>
        <v>0</v>
      </c>
      <c r="I9" s="27">
        <f t="shared" ca="1" si="0"/>
        <v>201</v>
      </c>
      <c r="J9" s="5">
        <v>720</v>
      </c>
      <c r="K9" s="5">
        <v>720</v>
      </c>
      <c r="L9" s="5">
        <f t="shared" si="4"/>
        <v>720</v>
      </c>
      <c r="M9" s="28">
        <f t="shared" si="1"/>
        <v>0.28000000000000003</v>
      </c>
      <c r="N9" s="29">
        <f t="shared" ca="1" si="2"/>
        <v>0.28000000000000003</v>
      </c>
      <c r="O9" s="5">
        <v>24</v>
      </c>
      <c r="P9" s="30">
        <f t="shared" si="3"/>
        <v>0.03</v>
      </c>
      <c r="Q9" s="31" t="s">
        <v>438</v>
      </c>
      <c r="R9" s="33"/>
      <c r="S9" s="33"/>
      <c r="T9" s="33"/>
      <c r="U9" s="33"/>
      <c r="V9" s="33"/>
      <c r="W9" s="33"/>
      <c r="X9" s="33"/>
      <c r="Y9" s="33"/>
      <c r="Z9" s="33"/>
      <c r="AA9" s="33"/>
      <c r="AB9" s="34"/>
      <c r="AC9" s="6"/>
      <c r="AD9" s="6"/>
      <c r="AE9" s="7"/>
    </row>
    <row r="10" spans="1:31" ht="12.75" x14ac:dyDescent="0.2">
      <c r="A10" s="22"/>
      <c r="B10" s="23" t="s">
        <v>430</v>
      </c>
      <c r="C10" s="24" t="s">
        <v>192</v>
      </c>
      <c r="D10" s="5">
        <v>50</v>
      </c>
      <c r="E10" s="5">
        <v>39</v>
      </c>
      <c r="F10" s="5">
        <v>140</v>
      </c>
      <c r="G10" s="25">
        <v>140</v>
      </c>
      <c r="H10" s="26">
        <f ca="1">IFERROR(__xludf.DUMMYFUNCTION("(R10 * IFERROR(IF(S10&lt;&gt;"""",FILTER($G:$G,$C:$C=S10),0), 0)) + (U10 * IFERROR(IF(V10&lt;&gt;"""",FILTER($G:$G,$C:$C=V10),0), 0)) + (X10 * IFERROR(IF(Y10&lt;&gt;"""",FILTER($G:$G,$C:$C=Y10),0), 0)) + (AA10 * IFERROR(IF(AB10&lt;&gt;"""",FILTER($G:$G,$C:$C=AB10),0), 0))"),0)</f>
        <v>0</v>
      </c>
      <c r="I10" s="27">
        <f t="shared" ca="1" si="0"/>
        <v>140</v>
      </c>
      <c r="J10" s="5">
        <v>180</v>
      </c>
      <c r="K10" s="5">
        <v>180</v>
      </c>
      <c r="L10" s="5">
        <f t="shared" si="4"/>
        <v>180</v>
      </c>
      <c r="M10" s="28">
        <f t="shared" si="1"/>
        <v>0.78</v>
      </c>
      <c r="N10" s="29">
        <f t="shared" ca="1" si="2"/>
        <v>0.78</v>
      </c>
      <c r="O10" s="5">
        <v>17</v>
      </c>
      <c r="P10" s="30">
        <f t="shared" si="3"/>
        <v>0.09</v>
      </c>
      <c r="Q10" s="31" t="s">
        <v>439</v>
      </c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4"/>
      <c r="AC10" s="6"/>
      <c r="AD10" s="6"/>
      <c r="AE10" s="7"/>
    </row>
    <row r="11" spans="1:31" ht="12.75" x14ac:dyDescent="0.2">
      <c r="A11" s="22"/>
      <c r="B11" s="35" t="s">
        <v>430</v>
      </c>
      <c r="C11" s="36" t="s">
        <v>136</v>
      </c>
      <c r="D11" s="8">
        <v>62</v>
      </c>
      <c r="E11" s="8">
        <v>65</v>
      </c>
      <c r="F11" s="8">
        <v>234</v>
      </c>
      <c r="G11" s="37">
        <v>234</v>
      </c>
      <c r="H11" s="26">
        <f ca="1">IFERROR(__xludf.DUMMYFUNCTION("(R11 * IFERROR(IF(S11&lt;&gt;"""",FILTER($G:$G,$C:$C=S11),0), 0)) + (U11 * IFERROR(IF(V11&lt;&gt;"""",FILTER($G:$G,$C:$C=V11),0), 0)) + (X11 * IFERROR(IF(Y11&lt;&gt;"""",FILTER($G:$G,$C:$C=Y11),0), 0)) + (AA11 * IFERROR(IF(AB11&lt;&gt;"""",FILTER($G:$G,$C:$C=AB11),0), 0))"),0)</f>
        <v>0</v>
      </c>
      <c r="I11" s="27">
        <f t="shared" ca="1" si="0"/>
        <v>234</v>
      </c>
      <c r="J11" s="8">
        <v>300</v>
      </c>
      <c r="K11" s="8">
        <v>300</v>
      </c>
      <c r="L11" s="5">
        <f t="shared" si="4"/>
        <v>300</v>
      </c>
      <c r="M11" s="28">
        <f t="shared" si="1"/>
        <v>0.78</v>
      </c>
      <c r="N11" s="29">
        <f t="shared" ca="1" si="2"/>
        <v>0.78</v>
      </c>
      <c r="O11" s="8">
        <v>43</v>
      </c>
      <c r="P11" s="27">
        <f t="shared" si="3"/>
        <v>0.14000000000000001</v>
      </c>
      <c r="Q11" s="38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7"/>
      <c r="AD11" s="7"/>
      <c r="AE11" s="7"/>
    </row>
    <row r="12" spans="1:31" ht="12.75" x14ac:dyDescent="0.2">
      <c r="A12" s="22"/>
      <c r="B12" s="39" t="s">
        <v>20</v>
      </c>
      <c r="C12" s="40" t="s">
        <v>21</v>
      </c>
      <c r="D12" s="5">
        <v>2</v>
      </c>
      <c r="E12" s="5">
        <v>6</v>
      </c>
      <c r="F12" s="5">
        <v>21</v>
      </c>
      <c r="G12" s="25">
        <v>21</v>
      </c>
      <c r="H12" s="26">
        <f ca="1">IFERROR(__xludf.DUMMYFUNCTION("(R12 * IFERROR(IF(S12&lt;&gt;"""",FILTER($G:$G,$C:$C=S12),0), 0)) + (U12 * IFERROR(IF(V12&lt;&gt;"""",FILTER($G:$G,$C:$C=V12),0), 0)) + (X12 * IFERROR(IF(Y12&lt;&gt;"""",FILTER($G:$G,$C:$C=Y12),0), 0)) + (AA12 * IFERROR(IF(AB12&lt;&gt;"""",FILTER($G:$G,$C:$C=AB12),0), 0))"),9)</f>
        <v>9</v>
      </c>
      <c r="I12" s="27">
        <f t="shared" ca="1" si="0"/>
        <v>12</v>
      </c>
      <c r="J12" s="5">
        <v>5</v>
      </c>
      <c r="K12" s="5">
        <v>4</v>
      </c>
      <c r="L12" s="5">
        <f t="shared" si="4"/>
        <v>5</v>
      </c>
      <c r="M12" s="28">
        <f t="shared" si="1"/>
        <v>4.2</v>
      </c>
      <c r="N12" s="29">
        <f t="shared" ca="1" si="2"/>
        <v>2.4</v>
      </c>
      <c r="O12" s="5">
        <v>3</v>
      </c>
      <c r="P12" s="30">
        <f t="shared" si="3"/>
        <v>0.6</v>
      </c>
      <c r="Q12" s="31" t="s">
        <v>440</v>
      </c>
      <c r="R12" s="32">
        <v>3</v>
      </c>
      <c r="S12" s="33" t="s">
        <v>22</v>
      </c>
      <c r="T12" s="33"/>
      <c r="U12" s="33"/>
      <c r="V12" s="33"/>
      <c r="W12" s="33"/>
      <c r="X12" s="33"/>
      <c r="Y12" s="33"/>
      <c r="Z12" s="33"/>
      <c r="AA12" s="33"/>
      <c r="AB12" s="34"/>
      <c r="AC12" s="6"/>
      <c r="AD12" s="6"/>
      <c r="AE12" s="7"/>
    </row>
    <row r="13" spans="1:31" ht="12.75" x14ac:dyDescent="0.2">
      <c r="A13" s="22"/>
      <c r="B13" s="39" t="s">
        <v>20</v>
      </c>
      <c r="C13" s="40" t="s">
        <v>24</v>
      </c>
      <c r="D13" s="5">
        <v>7</v>
      </c>
      <c r="E13" s="5">
        <v>20</v>
      </c>
      <c r="F13" s="5">
        <v>72</v>
      </c>
      <c r="G13" s="25">
        <v>72</v>
      </c>
      <c r="H13" s="26">
        <f ca="1">IFERROR(__xludf.DUMMYFUNCTION("(R13 * IFERROR(IF(S13&lt;&gt;"""",FILTER($G:$G,$C:$C=S13),0), 0)) + (U13 * IFERROR(IF(V13&lt;&gt;"""",FILTER($G:$G,$C:$C=V13),0), 0)) + (X13 * IFERROR(IF(Y13&lt;&gt;"""",FILTER($G:$G,$C:$C=Y13),0), 0)) + (AA13 * IFERROR(IF(AB13&lt;&gt;"""",FILTER($G:$G,$C:$C=AB13),0), 0))"),50)</f>
        <v>50</v>
      </c>
      <c r="I13" s="27">
        <f t="shared" ca="1" si="0"/>
        <v>22</v>
      </c>
      <c r="J13" s="5">
        <v>30</v>
      </c>
      <c r="K13" s="5">
        <v>25</v>
      </c>
      <c r="L13" s="5">
        <f t="shared" si="4"/>
        <v>30</v>
      </c>
      <c r="M13" s="28">
        <f t="shared" si="1"/>
        <v>2.4</v>
      </c>
      <c r="N13" s="29">
        <f t="shared" ca="1" si="2"/>
        <v>0.73</v>
      </c>
      <c r="O13" s="5">
        <v>8</v>
      </c>
      <c r="P13" s="30">
        <f t="shared" si="3"/>
        <v>0.27</v>
      </c>
      <c r="Q13" s="31" t="s">
        <v>441</v>
      </c>
      <c r="R13" s="32">
        <v>2</v>
      </c>
      <c r="S13" s="33" t="s">
        <v>25</v>
      </c>
      <c r="T13" s="32"/>
      <c r="U13" s="32">
        <v>2</v>
      </c>
      <c r="V13" s="33" t="s">
        <v>26</v>
      </c>
      <c r="W13" s="33"/>
      <c r="X13" s="33"/>
      <c r="Y13" s="33"/>
      <c r="Z13" s="33"/>
      <c r="AA13" s="33"/>
      <c r="AB13" s="34"/>
      <c r="AC13" s="6"/>
      <c r="AD13" s="6"/>
      <c r="AE13" s="7"/>
    </row>
    <row r="14" spans="1:31" ht="12.75" x14ac:dyDescent="0.2">
      <c r="A14" s="22"/>
      <c r="B14" s="39" t="s">
        <v>20</v>
      </c>
      <c r="C14" s="40" t="s">
        <v>27</v>
      </c>
      <c r="D14" s="5">
        <v>10</v>
      </c>
      <c r="E14" s="5">
        <v>29</v>
      </c>
      <c r="F14" s="5">
        <v>104</v>
      </c>
      <c r="G14" s="25">
        <v>104</v>
      </c>
      <c r="H14" s="26">
        <f ca="1">IFERROR(__xludf.DUMMYFUNCTION("(R14 * IFERROR(IF(S14&lt;&gt;"""",FILTER($G:$G,$C:$C=S14),0), 0)) + (U14 * IFERROR(IF(V14&lt;&gt;"""",FILTER($G:$G,$C:$C=V14),0), 0)) + (X14 * IFERROR(IF(Y14&lt;&gt;"""",FILTER($G:$G,$C:$C=Y14),0), 0)) + (AA14 * IFERROR(IF(AB14&lt;&gt;"""",FILTER($G:$G,$C:$C=AB14),0), 0))"),74)</f>
        <v>74</v>
      </c>
      <c r="I14" s="27">
        <f t="shared" ca="1" si="0"/>
        <v>30</v>
      </c>
      <c r="J14" s="5">
        <v>60</v>
      </c>
      <c r="K14" s="5">
        <v>51</v>
      </c>
      <c r="L14" s="5">
        <f t="shared" si="4"/>
        <v>60</v>
      </c>
      <c r="M14" s="28">
        <f t="shared" si="1"/>
        <v>1.73</v>
      </c>
      <c r="N14" s="29">
        <f t="shared" ca="1" si="2"/>
        <v>0.5</v>
      </c>
      <c r="O14" s="5">
        <v>13</v>
      </c>
      <c r="P14" s="30">
        <f t="shared" si="3"/>
        <v>0.22</v>
      </c>
      <c r="Q14" s="31" t="s">
        <v>442</v>
      </c>
      <c r="R14" s="32">
        <v>2</v>
      </c>
      <c r="S14" s="33" t="s">
        <v>22</v>
      </c>
      <c r="T14" s="32"/>
      <c r="U14" s="32">
        <v>2</v>
      </c>
      <c r="V14" s="33" t="s">
        <v>26</v>
      </c>
      <c r="W14" s="32"/>
      <c r="X14" s="32">
        <v>1</v>
      </c>
      <c r="Y14" s="33" t="s">
        <v>28</v>
      </c>
      <c r="Z14" s="33"/>
      <c r="AA14" s="33"/>
      <c r="AB14" s="34"/>
      <c r="AC14" s="6"/>
      <c r="AD14" s="6"/>
      <c r="AE14" s="7"/>
    </row>
    <row r="15" spans="1:31" ht="12.75" x14ac:dyDescent="0.2">
      <c r="A15" s="22"/>
      <c r="B15" s="39" t="s">
        <v>20</v>
      </c>
      <c r="C15" s="40" t="s">
        <v>29</v>
      </c>
      <c r="D15" s="5">
        <v>19</v>
      </c>
      <c r="E15" s="5">
        <v>39</v>
      </c>
      <c r="F15" s="5">
        <v>140</v>
      </c>
      <c r="G15" s="25">
        <v>140</v>
      </c>
      <c r="H15" s="26">
        <f ca="1">IFERROR(__xludf.DUMMYFUNCTION("(R15 * IFERROR(IF(S15&lt;&gt;"""",FILTER($G:$G,$C:$C=S15),0), 0)) + (U15 * IFERROR(IF(V15&lt;&gt;"""",FILTER($G:$G,$C:$C=V15),0), 0)) + (X15 * IFERROR(IF(Y15&lt;&gt;"""",FILTER($G:$G,$C:$C=Y15),0), 0)) + (AA15 * IFERROR(IF(AB15&lt;&gt;"""",FILTER($G:$G,$C:$C=AB15),0), 0))"),116)</f>
        <v>116</v>
      </c>
      <c r="I15" s="27">
        <f t="shared" ca="1" si="0"/>
        <v>24</v>
      </c>
      <c r="J15" s="5">
        <v>45</v>
      </c>
      <c r="K15" s="5">
        <v>38</v>
      </c>
      <c r="L15" s="5">
        <f t="shared" si="4"/>
        <v>45</v>
      </c>
      <c r="M15" s="28">
        <f t="shared" si="1"/>
        <v>3.11</v>
      </c>
      <c r="N15" s="29">
        <f t="shared" ca="1" si="2"/>
        <v>0.53</v>
      </c>
      <c r="O15" s="5">
        <v>17</v>
      </c>
      <c r="P15" s="30">
        <f t="shared" si="3"/>
        <v>0.38</v>
      </c>
      <c r="Q15" s="31" t="s">
        <v>443</v>
      </c>
      <c r="R15" s="32">
        <v>2</v>
      </c>
      <c r="S15" s="33" t="s">
        <v>22</v>
      </c>
      <c r="T15" s="32"/>
      <c r="U15" s="32">
        <v>1</v>
      </c>
      <c r="V15" s="33" t="s">
        <v>26</v>
      </c>
      <c r="W15" s="32"/>
      <c r="X15" s="32">
        <v>2</v>
      </c>
      <c r="Y15" s="33" t="s">
        <v>30</v>
      </c>
      <c r="Z15" s="33"/>
      <c r="AA15" s="33"/>
      <c r="AB15" s="34"/>
      <c r="AC15" s="6"/>
      <c r="AD15" s="6"/>
      <c r="AE15" s="7"/>
    </row>
    <row r="16" spans="1:31" ht="12.75" x14ac:dyDescent="0.2">
      <c r="A16" s="22"/>
      <c r="B16" s="39" t="s">
        <v>20</v>
      </c>
      <c r="C16" s="40" t="s">
        <v>31</v>
      </c>
      <c r="D16" s="5">
        <v>26</v>
      </c>
      <c r="E16" s="5">
        <v>63</v>
      </c>
      <c r="F16" s="5">
        <v>226</v>
      </c>
      <c r="G16" s="25">
        <v>226</v>
      </c>
      <c r="H16" s="26">
        <f ca="1">IFERROR(__xludf.DUMMYFUNCTION("(R16 * IFERROR(IF(S16&lt;&gt;"""",FILTER($G:$G,$C:$C=S16),0), 0)) + (U16 * IFERROR(IF(V16&lt;&gt;"""",FILTER($G:$G,$C:$C=V16),0), 0)) + (X16 * IFERROR(IF(Y16&lt;&gt;"""",FILTER($G:$G,$C:$C=Y16),0), 0)) + (AA16 * IFERROR(IF(AB16&lt;&gt;"""",FILTER($G:$G,$C:$C=AB16),0), 0))"),203)</f>
        <v>203</v>
      </c>
      <c r="I16" s="27">
        <f t="shared" ca="1" si="0"/>
        <v>23</v>
      </c>
      <c r="J16" s="5">
        <v>45</v>
      </c>
      <c r="K16" s="5">
        <v>38</v>
      </c>
      <c r="L16" s="5">
        <f t="shared" si="4"/>
        <v>45</v>
      </c>
      <c r="M16" s="28">
        <f t="shared" si="1"/>
        <v>5.0199999999999996</v>
      </c>
      <c r="N16" s="29">
        <f t="shared" ca="1" si="2"/>
        <v>0.51</v>
      </c>
      <c r="O16" s="5">
        <v>27</v>
      </c>
      <c r="P16" s="30">
        <f t="shared" si="3"/>
        <v>0.6</v>
      </c>
      <c r="Q16" s="31">
        <v>3</v>
      </c>
      <c r="R16" s="32">
        <v>1</v>
      </c>
      <c r="S16" s="33" t="s">
        <v>22</v>
      </c>
      <c r="T16" s="32"/>
      <c r="U16" s="32">
        <v>2</v>
      </c>
      <c r="V16" s="33" t="s">
        <v>26</v>
      </c>
      <c r="W16" s="32"/>
      <c r="X16" s="32">
        <v>2</v>
      </c>
      <c r="Y16" s="33" t="s">
        <v>32</v>
      </c>
      <c r="Z16" s="33"/>
      <c r="AA16" s="33"/>
      <c r="AB16" s="34"/>
      <c r="AC16" s="6"/>
      <c r="AD16" s="6"/>
      <c r="AE16" s="7"/>
    </row>
    <row r="17" spans="1:31" ht="12.75" x14ac:dyDescent="0.2">
      <c r="A17" s="22"/>
      <c r="B17" s="39" t="s">
        <v>20</v>
      </c>
      <c r="C17" s="40" t="s">
        <v>33</v>
      </c>
      <c r="D17" s="5">
        <v>33</v>
      </c>
      <c r="E17" s="5">
        <v>53</v>
      </c>
      <c r="F17" s="5">
        <v>190</v>
      </c>
      <c r="G17" s="25">
        <v>190</v>
      </c>
      <c r="H17" s="26">
        <f ca="1">IFERROR(__xludf.DUMMYFUNCTION("(R17 * IFERROR(IF(S17&lt;&gt;"""",FILTER($G:$G,$C:$C=S17),0), 0)) + (U17 * IFERROR(IF(V17&lt;&gt;"""",FILTER($G:$G,$C:$C=V17),0), 0)) + (X17 * IFERROR(IF(Y17&lt;&gt;"""",FILTER($G:$G,$C:$C=Y17),0), 0)) + (AA17 * IFERROR(IF(AB17&lt;&gt;"""",FILTER($G:$G,$C:$C=AB17),0), 0))"),171)</f>
        <v>171</v>
      </c>
      <c r="I17" s="27">
        <f t="shared" ca="1" si="0"/>
        <v>19</v>
      </c>
      <c r="J17" s="5">
        <v>15</v>
      </c>
      <c r="K17" s="5">
        <v>12</v>
      </c>
      <c r="L17" s="5">
        <f t="shared" si="4"/>
        <v>15</v>
      </c>
      <c r="M17" s="28">
        <f t="shared" si="1"/>
        <v>12.67</v>
      </c>
      <c r="N17" s="29">
        <f t="shared" ca="1" si="2"/>
        <v>1.27</v>
      </c>
      <c r="O17" s="5">
        <v>23</v>
      </c>
      <c r="P17" s="30">
        <f t="shared" si="3"/>
        <v>1.53</v>
      </c>
      <c r="Q17" s="31" t="s">
        <v>443</v>
      </c>
      <c r="R17" s="32">
        <v>2</v>
      </c>
      <c r="S17" s="33" t="s">
        <v>22</v>
      </c>
      <c r="T17" s="32"/>
      <c r="U17" s="32">
        <v>1</v>
      </c>
      <c r="V17" s="33" t="s">
        <v>34</v>
      </c>
      <c r="W17" s="32"/>
      <c r="X17" s="32">
        <v>1</v>
      </c>
      <c r="Y17" s="33" t="s">
        <v>35</v>
      </c>
      <c r="Z17" s="33"/>
      <c r="AA17" s="33"/>
      <c r="AB17" s="34"/>
      <c r="AC17" s="6"/>
      <c r="AD17" s="6"/>
      <c r="AE17" s="7"/>
    </row>
    <row r="18" spans="1:31" ht="12.75" x14ac:dyDescent="0.2">
      <c r="A18" s="22"/>
      <c r="B18" s="39" t="s">
        <v>20</v>
      </c>
      <c r="C18" s="40" t="s">
        <v>36</v>
      </c>
      <c r="D18" s="5">
        <v>37</v>
      </c>
      <c r="E18" s="5">
        <v>63</v>
      </c>
      <c r="F18" s="5">
        <v>226</v>
      </c>
      <c r="G18" s="25">
        <v>226</v>
      </c>
      <c r="H18" s="26">
        <f ca="1">IFERROR(__xludf.DUMMYFUNCTION("(R18 * IFERROR(IF(S18&lt;&gt;"""",FILTER($G:$G,$C:$C=S18),0), 0)) + (U18 * IFERROR(IF(V18&lt;&gt;"""",FILTER($G:$G,$C:$C=V18),0), 0)) + (X18 * IFERROR(IF(Y18&lt;&gt;"""",FILTER($G:$G,$C:$C=Y18),0), 0)) + (AA18 * IFERROR(IF(AB18&lt;&gt;"""",FILTER($G:$G,$C:$C=AB18),0), 0))"),207)</f>
        <v>207</v>
      </c>
      <c r="I18" s="27">
        <f t="shared" ca="1" si="0"/>
        <v>19</v>
      </c>
      <c r="J18" s="5">
        <v>15</v>
      </c>
      <c r="K18" s="5">
        <v>12</v>
      </c>
      <c r="L18" s="5">
        <f t="shared" si="4"/>
        <v>15</v>
      </c>
      <c r="M18" s="28">
        <f t="shared" si="1"/>
        <v>15.07</v>
      </c>
      <c r="N18" s="29">
        <f t="shared" ca="1" si="2"/>
        <v>1.27</v>
      </c>
      <c r="O18" s="5">
        <v>27</v>
      </c>
      <c r="P18" s="30">
        <f t="shared" si="3"/>
        <v>1.8</v>
      </c>
      <c r="Q18" s="31">
        <v>2</v>
      </c>
      <c r="R18" s="32">
        <v>2</v>
      </c>
      <c r="S18" s="33" t="s">
        <v>22</v>
      </c>
      <c r="T18" s="32"/>
      <c r="U18" s="32">
        <v>1</v>
      </c>
      <c r="V18" s="33" t="s">
        <v>34</v>
      </c>
      <c r="W18" s="32"/>
      <c r="X18" s="32">
        <v>1</v>
      </c>
      <c r="Y18" s="33" t="s">
        <v>35</v>
      </c>
      <c r="Z18" s="32"/>
      <c r="AA18" s="32">
        <v>1</v>
      </c>
      <c r="AB18" s="34" t="s">
        <v>37</v>
      </c>
      <c r="AC18" s="6"/>
      <c r="AD18" s="6"/>
      <c r="AE18" s="7"/>
    </row>
    <row r="19" spans="1:31" ht="12.75" x14ac:dyDescent="0.2">
      <c r="A19" s="22"/>
      <c r="B19" s="39" t="s">
        <v>20</v>
      </c>
      <c r="C19" s="40" t="s">
        <v>38</v>
      </c>
      <c r="D19" s="5">
        <v>39</v>
      </c>
      <c r="E19" s="5">
        <v>79</v>
      </c>
      <c r="F19" s="5">
        <v>284</v>
      </c>
      <c r="G19" s="25">
        <v>284</v>
      </c>
      <c r="H19" s="26">
        <f ca="1">IFERROR(__xludf.DUMMYFUNCTION("(R19 * IFERROR(IF(S19&lt;&gt;"""",FILTER($G:$G,$C:$C=S19),0), 0)) + (U19 * IFERROR(IF(V19&lt;&gt;"""",FILTER($G:$G,$C:$C=V19),0), 0)) + (X19 * IFERROR(IF(Y19&lt;&gt;"""",FILTER($G:$G,$C:$C=Y19),0), 0)) + (AA19 * IFERROR(IF(AB19&lt;&gt;"""",FILTER($G:$G,$C:$C=AB19),0), 0))"),258)</f>
        <v>258</v>
      </c>
      <c r="I19" s="27">
        <f t="shared" ca="1" si="0"/>
        <v>26</v>
      </c>
      <c r="J19" s="5">
        <v>45</v>
      </c>
      <c r="K19" s="5">
        <v>38</v>
      </c>
      <c r="L19" s="5">
        <f t="shared" si="4"/>
        <v>45</v>
      </c>
      <c r="M19" s="28">
        <f t="shared" si="1"/>
        <v>6.31</v>
      </c>
      <c r="N19" s="29">
        <f t="shared" ca="1" si="2"/>
        <v>0.57999999999999996</v>
      </c>
      <c r="O19" s="5">
        <v>34</v>
      </c>
      <c r="P19" s="30">
        <f t="shared" si="3"/>
        <v>0.76</v>
      </c>
      <c r="Q19" s="31">
        <v>2</v>
      </c>
      <c r="R19" s="32">
        <v>2</v>
      </c>
      <c r="S19" s="33" t="s">
        <v>39</v>
      </c>
      <c r="T19" s="32"/>
      <c r="U19" s="32">
        <v>1</v>
      </c>
      <c r="V19" s="33" t="s">
        <v>40</v>
      </c>
      <c r="W19" s="32"/>
      <c r="X19" s="32">
        <v>3</v>
      </c>
      <c r="Y19" s="33" t="s">
        <v>26</v>
      </c>
      <c r="Z19" s="32"/>
      <c r="AA19" s="32">
        <v>1</v>
      </c>
      <c r="AB19" s="34" t="s">
        <v>41</v>
      </c>
      <c r="AC19" s="6"/>
      <c r="AD19" s="6"/>
      <c r="AE19" s="7"/>
    </row>
    <row r="20" spans="1:31" ht="12.75" x14ac:dyDescent="0.2">
      <c r="A20" s="22"/>
      <c r="B20" s="39" t="s">
        <v>20</v>
      </c>
      <c r="C20" s="40" t="s">
        <v>42</v>
      </c>
      <c r="D20" s="5">
        <v>45</v>
      </c>
      <c r="E20" s="5">
        <v>112</v>
      </c>
      <c r="F20" s="5">
        <v>403</v>
      </c>
      <c r="G20" s="25">
        <v>403</v>
      </c>
      <c r="H20" s="41">
        <f ca="1">IFERROR(__xludf.DUMMYFUNCTION("(R20 * IFERROR(IF(S20&lt;&gt;"""",FILTER($G:$G,$C:$C=S20),0), 0)) + (U20 * IFERROR(IF(V20&lt;&gt;"""",FILTER($G:$G,$C:$C=V20),0), 0)) + (X20 * IFERROR(IF(Y20&lt;&gt;"""",FILTER($G:$G,$C:$C=Y20),0), 0)) + (AA20 * IFERROR(IF(AB20&lt;&gt;"""",FILTER($G:$G,$C:$C=AB20),0), 0))"),383)</f>
        <v>383</v>
      </c>
      <c r="I20" s="30">
        <f t="shared" ca="1" si="0"/>
        <v>20</v>
      </c>
      <c r="J20" s="5">
        <v>15</v>
      </c>
      <c r="K20" s="5">
        <v>12</v>
      </c>
      <c r="L20" s="5">
        <f t="shared" si="4"/>
        <v>15</v>
      </c>
      <c r="M20" s="42">
        <f t="shared" si="1"/>
        <v>26.87</v>
      </c>
      <c r="N20" s="43">
        <f t="shared" ca="1" si="2"/>
        <v>1.33</v>
      </c>
      <c r="O20" s="5">
        <v>48</v>
      </c>
      <c r="P20" s="30">
        <f t="shared" si="3"/>
        <v>3.2</v>
      </c>
      <c r="Q20" s="31" t="s">
        <v>444</v>
      </c>
      <c r="R20" s="32">
        <v>2</v>
      </c>
      <c r="S20" s="33" t="s">
        <v>22</v>
      </c>
      <c r="T20" s="32"/>
      <c r="U20" s="32">
        <v>1</v>
      </c>
      <c r="V20" s="33" t="s">
        <v>43</v>
      </c>
      <c r="W20" s="32"/>
      <c r="X20" s="32">
        <v>1</v>
      </c>
      <c r="Y20" s="33" t="s">
        <v>35</v>
      </c>
      <c r="Z20" s="32"/>
      <c r="AA20" s="32">
        <v>1</v>
      </c>
      <c r="AB20" s="34" t="s">
        <v>44</v>
      </c>
      <c r="AC20" s="6"/>
      <c r="AD20" s="6"/>
      <c r="AE20" s="6"/>
    </row>
    <row r="21" spans="1:31" ht="12.75" x14ac:dyDescent="0.2">
      <c r="A21" s="22"/>
      <c r="B21" s="39" t="s">
        <v>20</v>
      </c>
      <c r="C21" s="40" t="s">
        <v>45</v>
      </c>
      <c r="D21" s="5">
        <v>86</v>
      </c>
      <c r="E21" s="5">
        <v>76</v>
      </c>
      <c r="F21" s="5">
        <v>234</v>
      </c>
      <c r="G21" s="25">
        <v>234</v>
      </c>
      <c r="H21" s="41">
        <f ca="1">IFERROR(__xludf.DUMMYFUNCTION("(R21 * IFERROR(IF(S21&lt;&gt;"""",FILTER($G:$G,$C:$C=S21),0), 0)) + (U21 * IFERROR(IF(V21&lt;&gt;"""",FILTER($G:$G,$C:$C=V21),0), 0)) + (X21 * IFERROR(IF(Y21&lt;&gt;"""",FILTER($G:$G,$C:$C=Y21),0), 0)) + (AA21 * IFERROR(IF(AB21&lt;&gt;"""",FILTER($G:$G,$C:$C=AB21),0), 0))"),243)</f>
        <v>243</v>
      </c>
      <c r="I21" s="30">
        <f t="shared" ca="1" si="0"/>
        <v>-9</v>
      </c>
      <c r="J21" s="5">
        <v>25</v>
      </c>
      <c r="K21" s="5">
        <v>25</v>
      </c>
      <c r="L21" s="5">
        <f t="shared" si="4"/>
        <v>25</v>
      </c>
      <c r="M21" s="42">
        <f t="shared" si="1"/>
        <v>9.36</v>
      </c>
      <c r="N21" s="43">
        <f t="shared" ca="1" si="2"/>
        <v>-0.36</v>
      </c>
      <c r="O21" s="5">
        <v>43</v>
      </c>
      <c r="P21" s="30">
        <f t="shared" si="3"/>
        <v>1.72</v>
      </c>
      <c r="Q21" s="31">
        <v>2</v>
      </c>
      <c r="R21" s="32">
        <v>2</v>
      </c>
      <c r="S21" s="33" t="s">
        <v>46</v>
      </c>
      <c r="T21" s="32"/>
      <c r="U21" s="32">
        <v>1</v>
      </c>
      <c r="V21" s="33" t="s">
        <v>41</v>
      </c>
      <c r="W21" s="32"/>
      <c r="X21" s="32">
        <v>1</v>
      </c>
      <c r="Y21" s="33" t="s">
        <v>47</v>
      </c>
      <c r="Z21" s="32"/>
      <c r="AA21" s="32">
        <v>5</v>
      </c>
      <c r="AB21" s="34" t="s">
        <v>22</v>
      </c>
      <c r="AC21" s="6"/>
      <c r="AD21" s="6"/>
      <c r="AE21" s="7"/>
    </row>
    <row r="22" spans="1:31" ht="12.75" x14ac:dyDescent="0.2">
      <c r="A22" s="22"/>
      <c r="B22" s="44" t="s">
        <v>20</v>
      </c>
      <c r="C22" s="45" t="s">
        <v>48</v>
      </c>
      <c r="D22" s="8">
        <v>91</v>
      </c>
      <c r="E22" s="8">
        <v>118</v>
      </c>
      <c r="F22" s="8">
        <v>424</v>
      </c>
      <c r="G22" s="37">
        <v>424</v>
      </c>
      <c r="H22" s="26">
        <f ca="1">IFERROR(__xludf.DUMMYFUNCTION("(R22 * IFERROR(IF(S22&lt;&gt;"""",FILTER($G:$G,$C:$C=S22),0), 0)) + (U22 * IFERROR(IF(V22&lt;&gt;"""",FILTER($G:$G,$C:$C=V22),0), 0)) + (X22 * IFERROR(IF(Y22&lt;&gt;"""",FILTER($G:$G,$C:$C=Y22),0), 0)) + (AA22 * IFERROR(IF(AB22&lt;&gt;"""",FILTER($G:$G,$C:$C=AB22),0), 0))"),403)</f>
        <v>403</v>
      </c>
      <c r="I22" s="27">
        <f t="shared" ca="1" si="0"/>
        <v>21</v>
      </c>
      <c r="J22" s="8">
        <v>30</v>
      </c>
      <c r="K22" s="8">
        <v>25</v>
      </c>
      <c r="L22" s="5">
        <f t="shared" si="4"/>
        <v>30</v>
      </c>
      <c r="M22" s="28">
        <f t="shared" si="1"/>
        <v>14.13</v>
      </c>
      <c r="N22" s="29">
        <f t="shared" ca="1" si="2"/>
        <v>0.7</v>
      </c>
      <c r="O22" s="8">
        <v>50</v>
      </c>
      <c r="P22" s="27">
        <f t="shared" si="3"/>
        <v>1.67</v>
      </c>
      <c r="Q22" s="38">
        <v>1</v>
      </c>
      <c r="R22" s="46">
        <v>3</v>
      </c>
      <c r="S22" s="34" t="s">
        <v>22</v>
      </c>
      <c r="T22" s="46"/>
      <c r="U22" s="46">
        <v>1</v>
      </c>
      <c r="V22" s="34" t="s">
        <v>26</v>
      </c>
      <c r="W22" s="46"/>
      <c r="X22" s="46">
        <v>2</v>
      </c>
      <c r="Y22" s="34" t="s">
        <v>49</v>
      </c>
      <c r="Z22" s="46"/>
      <c r="AA22" s="46">
        <v>3</v>
      </c>
      <c r="AB22" s="34" t="s">
        <v>50</v>
      </c>
      <c r="AC22" s="7"/>
      <c r="AD22" s="7"/>
      <c r="AE22" s="7"/>
    </row>
    <row r="23" spans="1:31" ht="12.75" x14ac:dyDescent="0.2">
      <c r="A23" s="22"/>
      <c r="B23" s="23" t="s">
        <v>51</v>
      </c>
      <c r="C23" s="24" t="s">
        <v>52</v>
      </c>
      <c r="D23" s="5">
        <v>84</v>
      </c>
      <c r="E23" s="5">
        <v>91</v>
      </c>
      <c r="F23" s="5">
        <v>327</v>
      </c>
      <c r="G23" s="25">
        <v>327</v>
      </c>
      <c r="H23" s="26">
        <f ca="1">IFERROR(__xludf.DUMMYFUNCTION("(R23 * IFERROR(IF(S23&lt;&gt;"""",FILTER($G:$G,$C:$C=S23),0), 0)) + (U23 * IFERROR(IF(V23&lt;&gt;"""",FILTER($G:$G,$C:$C=V23),0), 0)) + (X23 * IFERROR(IF(Y23&lt;&gt;"""",FILTER($G:$G,$C:$C=Y23),0), 0)) + (AA23 * IFERROR(IF(AB23&lt;&gt;"""",FILTER($G:$G,$C:$C=AB23),0), 0))"),304)</f>
        <v>304</v>
      </c>
      <c r="I23" s="27">
        <f t="shared" ca="1" si="0"/>
        <v>23</v>
      </c>
      <c r="J23" s="5">
        <v>60</v>
      </c>
      <c r="K23" s="5">
        <v>51</v>
      </c>
      <c r="L23" s="5">
        <f t="shared" si="4"/>
        <v>60</v>
      </c>
      <c r="M23" s="28">
        <f t="shared" si="1"/>
        <v>5.45</v>
      </c>
      <c r="N23" s="29">
        <f t="shared" ca="1" si="2"/>
        <v>0.38</v>
      </c>
      <c r="O23" s="5">
        <v>39</v>
      </c>
      <c r="P23" s="30">
        <f t="shared" si="3"/>
        <v>0.65</v>
      </c>
      <c r="Q23" s="31">
        <v>2</v>
      </c>
      <c r="R23" s="32">
        <v>1</v>
      </c>
      <c r="S23" s="33" t="s">
        <v>53</v>
      </c>
      <c r="T23" s="32"/>
      <c r="U23" s="32">
        <v>2</v>
      </c>
      <c r="V23" s="33" t="s">
        <v>54</v>
      </c>
      <c r="W23" s="32"/>
      <c r="X23" s="32">
        <v>1</v>
      </c>
      <c r="Y23" s="33" t="s">
        <v>55</v>
      </c>
      <c r="Z23" s="33"/>
      <c r="AA23" s="33"/>
      <c r="AB23" s="34"/>
      <c r="AC23" s="6"/>
      <c r="AD23" s="6"/>
      <c r="AE23" s="7"/>
    </row>
    <row r="24" spans="1:31" ht="12.75" x14ac:dyDescent="0.2">
      <c r="A24" s="22"/>
      <c r="B24" s="23" t="s">
        <v>51</v>
      </c>
      <c r="C24" s="24" t="s">
        <v>56</v>
      </c>
      <c r="D24" s="5">
        <v>84</v>
      </c>
      <c r="E24" s="5">
        <v>112</v>
      </c>
      <c r="F24" s="5">
        <v>403</v>
      </c>
      <c r="G24" s="25">
        <v>403</v>
      </c>
      <c r="H24" s="26">
        <f ca="1">IFERROR(__xludf.DUMMYFUNCTION("(R24 * IFERROR(IF(S24&lt;&gt;"""",FILTER($G:$G,$C:$C=S24),0), 0)) + (U24 * IFERROR(IF(V24&lt;&gt;"""",FILTER($G:$G,$C:$C=V24),0), 0)) + (X24 * IFERROR(IF(Y24&lt;&gt;"""",FILTER($G:$G,$C:$C=Y24),0), 0)) + (AA24 * IFERROR(IF(AB24&lt;&gt;"""",FILTER($G:$G,$C:$C=AB24),0), 0))"),370)</f>
        <v>370</v>
      </c>
      <c r="I24" s="27">
        <f t="shared" ca="1" si="0"/>
        <v>33</v>
      </c>
      <c r="J24" s="5">
        <v>75</v>
      </c>
      <c r="K24" s="5">
        <v>63</v>
      </c>
      <c r="L24" s="5">
        <f t="shared" si="4"/>
        <v>75</v>
      </c>
      <c r="M24" s="28">
        <f t="shared" si="1"/>
        <v>5.37</v>
      </c>
      <c r="N24" s="29">
        <f t="shared" ca="1" si="2"/>
        <v>0.44</v>
      </c>
      <c r="O24" s="5">
        <v>48</v>
      </c>
      <c r="P24" s="30">
        <f t="shared" si="3"/>
        <v>0.64</v>
      </c>
      <c r="Q24" s="31" t="s">
        <v>444</v>
      </c>
      <c r="R24" s="32">
        <v>1</v>
      </c>
      <c r="S24" s="33" t="s">
        <v>57</v>
      </c>
      <c r="T24" s="32"/>
      <c r="U24" s="32">
        <v>1</v>
      </c>
      <c r="V24" s="33" t="s">
        <v>58</v>
      </c>
      <c r="W24" s="33"/>
      <c r="X24" s="33"/>
      <c r="Y24" s="33"/>
      <c r="Z24" s="33"/>
      <c r="AA24" s="33"/>
      <c r="AB24" s="34"/>
      <c r="AC24" s="6"/>
      <c r="AD24" s="6"/>
      <c r="AE24" s="7"/>
    </row>
    <row r="25" spans="1:31" ht="12.75" x14ac:dyDescent="0.2">
      <c r="A25" s="22"/>
      <c r="B25" s="23" t="s">
        <v>51</v>
      </c>
      <c r="C25" s="24" t="s">
        <v>59</v>
      </c>
      <c r="D25" s="5">
        <v>93</v>
      </c>
      <c r="E25" s="5">
        <v>101</v>
      </c>
      <c r="F25" s="5">
        <v>363</v>
      </c>
      <c r="G25" s="25">
        <v>363</v>
      </c>
      <c r="H25" s="26">
        <f ca="1">IFERROR(__xludf.DUMMYFUNCTION("(R25 * IFERROR(IF(S25&lt;&gt;"""",FILTER($G:$G,$C:$C=S25),0), 0)) + (U25 * IFERROR(IF(V25&lt;&gt;"""",FILTER($G:$G,$C:$C=V25),0), 0)) + (X25 * IFERROR(IF(Y25&lt;&gt;"""",FILTER($G:$G,$C:$C=Y25),0), 0)) + (AA25 * IFERROR(IF(AB25&lt;&gt;"""",FILTER($G:$G,$C:$C=AB25),0), 0))"),346)</f>
        <v>346</v>
      </c>
      <c r="I25" s="27">
        <f t="shared" ca="1" si="0"/>
        <v>17</v>
      </c>
      <c r="J25" s="5">
        <v>60</v>
      </c>
      <c r="K25" s="5">
        <v>51</v>
      </c>
      <c r="L25" s="5">
        <f t="shared" si="4"/>
        <v>60</v>
      </c>
      <c r="M25" s="28">
        <f t="shared" si="1"/>
        <v>6.05</v>
      </c>
      <c r="N25" s="29">
        <f t="shared" ca="1" si="2"/>
        <v>0.28000000000000003</v>
      </c>
      <c r="O25" s="5">
        <v>48</v>
      </c>
      <c r="P25" s="30">
        <f t="shared" si="3"/>
        <v>0.8</v>
      </c>
      <c r="Q25" s="31" t="s">
        <v>444</v>
      </c>
      <c r="R25" s="32">
        <v>2</v>
      </c>
      <c r="S25" s="33" t="s">
        <v>54</v>
      </c>
      <c r="T25" s="32"/>
      <c r="U25" s="32">
        <v>2</v>
      </c>
      <c r="V25" s="33" t="s">
        <v>60</v>
      </c>
      <c r="W25" s="32"/>
      <c r="X25" s="32">
        <v>1</v>
      </c>
      <c r="Y25" s="33" t="s">
        <v>30</v>
      </c>
      <c r="Z25" s="33"/>
      <c r="AA25" s="33"/>
      <c r="AB25" s="34"/>
      <c r="AC25" s="6"/>
      <c r="AD25" s="6"/>
      <c r="AE25" s="7"/>
    </row>
    <row r="26" spans="1:31" ht="12.75" x14ac:dyDescent="0.2">
      <c r="A26" s="22"/>
      <c r="B26" s="35" t="s">
        <v>51</v>
      </c>
      <c r="C26" s="36" t="s">
        <v>445</v>
      </c>
      <c r="D26" s="8">
        <v>99</v>
      </c>
      <c r="E26" s="8">
        <v>89</v>
      </c>
      <c r="F26" s="8">
        <v>320</v>
      </c>
      <c r="G26" s="37">
        <v>320</v>
      </c>
      <c r="H26" s="26">
        <f ca="1">IFERROR(__xludf.DUMMYFUNCTION("(R26 * IFERROR(IF(S26&lt;&gt;"""",FILTER($G:$G,$C:$C=S26),0), 0)) + (U26 * IFERROR(IF(V26&lt;&gt;"""",FILTER($G:$G,$C:$C=V26),0), 0)) + (X26 * IFERROR(IF(Y26&lt;&gt;"""",FILTER($G:$G,$C:$C=Y26),0), 0)) + (AA26 * IFERROR(IF(AB26&lt;&gt;"""",FILTER($G:$G,$C:$C=AB26),0), 0))"),283)</f>
        <v>283</v>
      </c>
      <c r="I26" s="27">
        <f t="shared" ca="1" si="0"/>
        <v>37</v>
      </c>
      <c r="J26" s="8">
        <v>90</v>
      </c>
      <c r="K26" s="8">
        <v>77</v>
      </c>
      <c r="L26" s="5">
        <f t="shared" si="4"/>
        <v>90</v>
      </c>
      <c r="M26" s="28">
        <f t="shared" si="1"/>
        <v>3.56</v>
      </c>
      <c r="N26" s="29">
        <f t="shared" ca="1" si="2"/>
        <v>0.41</v>
      </c>
      <c r="O26" s="8">
        <v>38</v>
      </c>
      <c r="P26" s="27">
        <f t="shared" si="3"/>
        <v>0.42</v>
      </c>
      <c r="Q26" s="38">
        <v>2</v>
      </c>
      <c r="R26" s="46">
        <v>2</v>
      </c>
      <c r="S26" s="34" t="s">
        <v>26</v>
      </c>
      <c r="T26" s="46"/>
      <c r="U26" s="46">
        <v>1</v>
      </c>
      <c r="V26" s="34" t="s">
        <v>62</v>
      </c>
      <c r="W26" s="46"/>
      <c r="X26" s="46">
        <v>1</v>
      </c>
      <c r="Y26" s="34" t="s">
        <v>58</v>
      </c>
      <c r="Z26" s="34"/>
      <c r="AA26" s="34"/>
      <c r="AB26" s="34"/>
      <c r="AC26" s="7"/>
      <c r="AD26" s="7"/>
      <c r="AE26" s="7"/>
    </row>
    <row r="27" spans="1:31" ht="12.75" x14ac:dyDescent="0.2">
      <c r="A27" s="22"/>
      <c r="B27" s="39" t="s">
        <v>63</v>
      </c>
      <c r="C27" s="40" t="s">
        <v>64</v>
      </c>
      <c r="D27" s="5">
        <v>9</v>
      </c>
      <c r="E27" s="5">
        <v>30</v>
      </c>
      <c r="F27" s="5">
        <v>108</v>
      </c>
      <c r="G27" s="25">
        <v>108</v>
      </c>
      <c r="H27" s="26">
        <f ca="1">IFERROR(__xludf.DUMMYFUNCTION("(R27 * IFERROR(IF(S27&lt;&gt;"""",FILTER($G:$G,$C:$C=S27),0), 0)) + (U27 * IFERROR(IF(V27&lt;&gt;"""",FILTER($G:$G,$C:$C=V27),0), 0)) + (X27 * IFERROR(IF(Y27&lt;&gt;"""",FILTER($G:$G,$C:$C=Y27),0), 0)) + (AA27 * IFERROR(IF(AB27&lt;&gt;"""",FILTER($G:$G,$C:$C=AB27),0), 0))"),86)</f>
        <v>86</v>
      </c>
      <c r="I27" s="27">
        <f t="shared" ca="1" si="0"/>
        <v>22</v>
      </c>
      <c r="J27" s="5">
        <v>30</v>
      </c>
      <c r="K27" s="5">
        <v>25</v>
      </c>
      <c r="L27" s="5">
        <f t="shared" si="4"/>
        <v>30</v>
      </c>
      <c r="M27" s="28">
        <f t="shared" si="1"/>
        <v>3.6</v>
      </c>
      <c r="N27" s="29">
        <f t="shared" ca="1" si="2"/>
        <v>0.73</v>
      </c>
      <c r="O27" s="5">
        <v>13</v>
      </c>
      <c r="P27" s="30">
        <f t="shared" si="3"/>
        <v>0.43</v>
      </c>
      <c r="Q27" s="31" t="s">
        <v>438</v>
      </c>
      <c r="R27" s="32">
        <v>3</v>
      </c>
      <c r="S27" s="33" t="s">
        <v>26</v>
      </c>
      <c r="T27" s="32"/>
      <c r="U27" s="32">
        <v>1</v>
      </c>
      <c r="V27" s="33" t="s">
        <v>28</v>
      </c>
      <c r="W27" s="33"/>
      <c r="X27" s="33"/>
      <c r="Y27" s="33"/>
      <c r="Z27" s="33"/>
      <c r="AA27" s="33"/>
      <c r="AB27" s="34"/>
      <c r="AC27" s="6"/>
      <c r="AD27" s="6"/>
      <c r="AE27" s="7"/>
    </row>
    <row r="28" spans="1:31" ht="12.75" x14ac:dyDescent="0.2">
      <c r="A28" s="22"/>
      <c r="B28" s="39" t="s">
        <v>63</v>
      </c>
      <c r="C28" s="40" t="s">
        <v>65</v>
      </c>
      <c r="D28" s="5">
        <v>11</v>
      </c>
      <c r="E28" s="5">
        <v>56</v>
      </c>
      <c r="F28" s="5">
        <v>201</v>
      </c>
      <c r="G28" s="25">
        <v>201</v>
      </c>
      <c r="H28" s="26">
        <f ca="1">IFERROR(__xludf.DUMMYFUNCTION("(R28 * IFERROR(IF(S28&lt;&gt;"""",FILTER($G:$G,$C:$C=S28),0), 0)) + (U28 * IFERROR(IF(V28&lt;&gt;"""",FILTER($G:$G,$C:$C=V28),0), 0)) + (X28 * IFERROR(IF(Y28&lt;&gt;"""",FILTER($G:$G,$C:$C=Y28),0), 0)) + (AA28 * IFERROR(IF(AB28&lt;&gt;"""",FILTER($G:$G,$C:$C=AB28),0), 0))"),172)</f>
        <v>172</v>
      </c>
      <c r="I28" s="27">
        <f t="shared" ca="1" si="0"/>
        <v>29</v>
      </c>
      <c r="J28" s="5">
        <v>60</v>
      </c>
      <c r="K28" s="5">
        <v>51</v>
      </c>
      <c r="L28" s="5">
        <f t="shared" si="4"/>
        <v>60</v>
      </c>
      <c r="M28" s="28">
        <f t="shared" si="1"/>
        <v>3.35</v>
      </c>
      <c r="N28" s="29">
        <f t="shared" ca="1" si="2"/>
        <v>0.48</v>
      </c>
      <c r="O28" s="5">
        <v>24</v>
      </c>
      <c r="P28" s="30">
        <f t="shared" si="3"/>
        <v>0.4</v>
      </c>
      <c r="Q28" s="31" t="s">
        <v>443</v>
      </c>
      <c r="R28" s="32">
        <v>4</v>
      </c>
      <c r="S28" s="33" t="s">
        <v>26</v>
      </c>
      <c r="T28" s="32"/>
      <c r="U28" s="32">
        <v>2</v>
      </c>
      <c r="V28" s="33" t="s">
        <v>66</v>
      </c>
      <c r="W28" s="33"/>
      <c r="X28" s="33"/>
      <c r="Y28" s="33"/>
      <c r="Z28" s="33"/>
      <c r="AA28" s="33"/>
      <c r="AB28" s="34"/>
      <c r="AC28" s="6"/>
      <c r="AD28" s="6"/>
      <c r="AE28" s="7"/>
    </row>
    <row r="29" spans="1:31" ht="12.75" x14ac:dyDescent="0.2">
      <c r="A29" s="22"/>
      <c r="B29" s="39" t="s">
        <v>63</v>
      </c>
      <c r="C29" s="40" t="s">
        <v>67</v>
      </c>
      <c r="D29" s="5">
        <v>18</v>
      </c>
      <c r="E29" s="5">
        <v>50</v>
      </c>
      <c r="F29" s="5">
        <v>180</v>
      </c>
      <c r="G29" s="25">
        <v>180</v>
      </c>
      <c r="H29" s="26">
        <f ca="1">IFERROR(__xludf.DUMMYFUNCTION("(R29 * IFERROR(IF(S29&lt;&gt;"""",FILTER($G:$G,$C:$C=S29),0), 0)) + (U29 * IFERROR(IF(V29&lt;&gt;"""",FILTER($G:$G,$C:$C=V29),0), 0)) + (X29 * IFERROR(IF(Y29&lt;&gt;"""",FILTER($G:$G,$C:$C=Y29),0), 0)) + (AA29 * IFERROR(IF(AB29&lt;&gt;"""",FILTER($G:$G,$C:$C=AB29),0), 0))"),142)</f>
        <v>142</v>
      </c>
      <c r="I29" s="27">
        <f t="shared" ca="1" si="0"/>
        <v>38</v>
      </c>
      <c r="J29" s="5">
        <v>120</v>
      </c>
      <c r="K29" s="5">
        <v>102</v>
      </c>
      <c r="L29" s="5">
        <f t="shared" si="4"/>
        <v>120</v>
      </c>
      <c r="M29" s="28">
        <f t="shared" si="1"/>
        <v>1.5</v>
      </c>
      <c r="N29" s="29">
        <f t="shared" ca="1" si="2"/>
        <v>0.32</v>
      </c>
      <c r="O29" s="5">
        <v>22</v>
      </c>
      <c r="P29" s="30">
        <f t="shared" si="3"/>
        <v>0.18</v>
      </c>
      <c r="Q29" s="31" t="s">
        <v>446</v>
      </c>
      <c r="R29" s="32">
        <v>2</v>
      </c>
      <c r="S29" s="33" t="s">
        <v>21</v>
      </c>
      <c r="T29" s="32"/>
      <c r="U29" s="32">
        <v>2</v>
      </c>
      <c r="V29" s="33" t="s">
        <v>66</v>
      </c>
      <c r="W29" s="33"/>
      <c r="X29" s="33"/>
      <c r="Y29" s="33"/>
      <c r="Z29" s="33"/>
      <c r="AA29" s="33"/>
      <c r="AB29" s="34"/>
      <c r="AC29" s="6"/>
      <c r="AD29" s="6"/>
      <c r="AE29" s="7"/>
    </row>
    <row r="30" spans="1:31" ht="12.75" x14ac:dyDescent="0.2">
      <c r="A30" s="22"/>
      <c r="B30" s="39" t="s">
        <v>63</v>
      </c>
      <c r="C30" s="40" t="s">
        <v>68</v>
      </c>
      <c r="D30" s="5">
        <v>27</v>
      </c>
      <c r="E30" s="5">
        <v>63</v>
      </c>
      <c r="F30" s="5">
        <v>226</v>
      </c>
      <c r="G30" s="25">
        <v>226</v>
      </c>
      <c r="H30" s="26">
        <f ca="1">IFERROR(__xludf.DUMMYFUNCTION("(R30 * IFERROR(IF(S30&lt;&gt;"""",FILTER($G:$G,$C:$C=S30),0), 0)) + (U30 * IFERROR(IF(V30&lt;&gt;"""",FILTER($G:$G,$C:$C=V30),0), 0)) + (X30 * IFERROR(IF(Y30&lt;&gt;"""",FILTER($G:$G,$C:$C=Y30),0), 0)) + (AA30 * IFERROR(IF(AB30&lt;&gt;"""",FILTER($G:$G,$C:$C=AB30),0), 0))"),186)</f>
        <v>186</v>
      </c>
      <c r="I30" s="27">
        <f t="shared" ca="1" si="0"/>
        <v>40</v>
      </c>
      <c r="J30" s="5">
        <v>120</v>
      </c>
      <c r="K30" s="5">
        <v>102</v>
      </c>
      <c r="L30" s="5">
        <f t="shared" si="4"/>
        <v>120</v>
      </c>
      <c r="M30" s="28">
        <f t="shared" si="1"/>
        <v>1.88</v>
      </c>
      <c r="N30" s="29">
        <f t="shared" ca="1" si="2"/>
        <v>0.33</v>
      </c>
      <c r="O30" s="5">
        <v>27</v>
      </c>
      <c r="P30" s="30">
        <f t="shared" si="3"/>
        <v>0.23</v>
      </c>
      <c r="Q30" s="31">
        <v>2</v>
      </c>
      <c r="R30" s="32">
        <v>2</v>
      </c>
      <c r="S30" s="33" t="s">
        <v>43</v>
      </c>
      <c r="T30" s="32"/>
      <c r="U30" s="32">
        <v>1</v>
      </c>
      <c r="V30" s="33" t="s">
        <v>37</v>
      </c>
      <c r="W30" s="32"/>
      <c r="X30" s="32">
        <v>2</v>
      </c>
      <c r="Y30" s="33" t="s">
        <v>21</v>
      </c>
      <c r="Z30" s="33"/>
      <c r="AA30" s="33"/>
      <c r="AB30" s="34"/>
      <c r="AC30" s="6"/>
      <c r="AD30" s="6"/>
      <c r="AE30" s="7"/>
    </row>
    <row r="31" spans="1:31" ht="12.75" x14ac:dyDescent="0.2">
      <c r="A31" s="22"/>
      <c r="B31" s="39" t="s">
        <v>63</v>
      </c>
      <c r="C31" s="40" t="s">
        <v>69</v>
      </c>
      <c r="D31" s="5">
        <v>30</v>
      </c>
      <c r="E31" s="5">
        <v>33</v>
      </c>
      <c r="F31" s="5">
        <v>118</v>
      </c>
      <c r="G31" s="25">
        <v>118</v>
      </c>
      <c r="H31" s="26">
        <f ca="1">IFERROR(__xludf.DUMMYFUNCTION("(R31 * IFERROR(IF(S31&lt;&gt;"""",FILTER($G:$G,$C:$C=S31),0), 0)) + (U31 * IFERROR(IF(V31&lt;&gt;"""",FILTER($G:$G,$C:$C=V31),0), 0)) + (X31 * IFERROR(IF(Y31&lt;&gt;"""",FILTER($G:$G,$C:$C=Y31),0), 0)) + (AA31 * IFERROR(IF(AB31&lt;&gt;"""",FILTER($G:$G,$C:$C=AB31),0), 0))"),86)</f>
        <v>86</v>
      </c>
      <c r="I31" s="27">
        <f t="shared" ca="1" si="0"/>
        <v>32</v>
      </c>
      <c r="J31" s="5">
        <v>90</v>
      </c>
      <c r="K31" s="5">
        <v>76</v>
      </c>
      <c r="L31" s="5">
        <f t="shared" si="4"/>
        <v>90</v>
      </c>
      <c r="M31" s="28">
        <f t="shared" si="1"/>
        <v>1.31</v>
      </c>
      <c r="N31" s="29">
        <f t="shared" ca="1" si="2"/>
        <v>0.36</v>
      </c>
      <c r="O31" s="5">
        <v>14</v>
      </c>
      <c r="P31" s="30">
        <f t="shared" si="3"/>
        <v>0.16</v>
      </c>
      <c r="Q31" s="31">
        <v>2</v>
      </c>
      <c r="R31" s="32">
        <v>2</v>
      </c>
      <c r="S31" s="33" t="s">
        <v>34</v>
      </c>
      <c r="T31" s="33"/>
      <c r="U31" s="33"/>
      <c r="V31" s="33"/>
      <c r="W31" s="33"/>
      <c r="X31" s="33"/>
      <c r="Y31" s="33"/>
      <c r="Z31" s="33"/>
      <c r="AA31" s="33"/>
      <c r="AB31" s="34"/>
      <c r="AC31" s="6"/>
      <c r="AD31" s="6"/>
      <c r="AE31" s="7"/>
    </row>
    <row r="32" spans="1:31" ht="12.75" x14ac:dyDescent="0.2">
      <c r="A32" s="22"/>
      <c r="B32" s="39" t="s">
        <v>63</v>
      </c>
      <c r="C32" s="40" t="s">
        <v>70</v>
      </c>
      <c r="D32" s="5">
        <v>35</v>
      </c>
      <c r="E32" s="5">
        <v>83</v>
      </c>
      <c r="F32" s="5">
        <v>298</v>
      </c>
      <c r="G32" s="25">
        <v>298</v>
      </c>
      <c r="H32" s="26">
        <f ca="1">IFERROR(__xludf.DUMMYFUNCTION("(R32 * IFERROR(IF(S32&lt;&gt;"""",FILTER($G:$G,$C:$C=S32),0), 0)) + (U32 * IFERROR(IF(V32&lt;&gt;"""",FILTER($G:$G,$C:$C=V32),0), 0)) + (X32 * IFERROR(IF(Y32&lt;&gt;"""",FILTER($G:$G,$C:$C=Y32),0), 0)) + (AA32 * IFERROR(IF(AB32&lt;&gt;"""",FILTER($G:$G,$C:$C=AB32),0), 0))"),280)</f>
        <v>280</v>
      </c>
      <c r="I32" s="27">
        <f t="shared" ca="1" si="0"/>
        <v>18</v>
      </c>
      <c r="J32" s="5">
        <v>35</v>
      </c>
      <c r="K32" s="5">
        <v>29</v>
      </c>
      <c r="L32" s="5">
        <f t="shared" si="4"/>
        <v>35</v>
      </c>
      <c r="M32" s="28">
        <f t="shared" si="1"/>
        <v>8.51</v>
      </c>
      <c r="N32" s="29">
        <f t="shared" ca="1" si="2"/>
        <v>0.51</v>
      </c>
      <c r="O32" s="5">
        <v>36</v>
      </c>
      <c r="P32" s="30">
        <f t="shared" si="3"/>
        <v>1.03</v>
      </c>
      <c r="Q32" s="31">
        <v>2</v>
      </c>
      <c r="R32" s="32">
        <v>2</v>
      </c>
      <c r="S32" s="33" t="s">
        <v>39</v>
      </c>
      <c r="T32" s="32"/>
      <c r="U32" s="32">
        <v>1</v>
      </c>
      <c r="V32" s="33" t="s">
        <v>37</v>
      </c>
      <c r="W32" s="32"/>
      <c r="X32" s="32">
        <v>1</v>
      </c>
      <c r="Y32" s="33" t="s">
        <v>71</v>
      </c>
      <c r="Z32" s="32"/>
      <c r="AA32" s="32">
        <v>1</v>
      </c>
      <c r="AB32" s="34" t="s">
        <v>35</v>
      </c>
      <c r="AC32" s="6"/>
      <c r="AD32" s="6"/>
      <c r="AE32" s="7"/>
    </row>
    <row r="33" spans="1:31" ht="12.75" x14ac:dyDescent="0.2">
      <c r="A33" s="22"/>
      <c r="B33" s="39" t="s">
        <v>63</v>
      </c>
      <c r="C33" s="40" t="s">
        <v>72</v>
      </c>
      <c r="D33" s="5">
        <v>41</v>
      </c>
      <c r="E33" s="5">
        <v>68</v>
      </c>
      <c r="F33" s="5">
        <v>244</v>
      </c>
      <c r="G33" s="25">
        <v>244</v>
      </c>
      <c r="H33" s="26">
        <f ca="1">IFERROR(__xludf.DUMMYFUNCTION("(R33 * IFERROR(IF(S33&lt;&gt;"""",FILTER($G:$G,$C:$C=S33),0), 0)) + (U33 * IFERROR(IF(V33&lt;&gt;"""",FILTER($G:$G,$C:$C=V33),0), 0)) + (X33 * IFERROR(IF(Y33&lt;&gt;"""",FILTER($G:$G,$C:$C=Y33),0), 0)) + (AA33 * IFERROR(IF(AB33&lt;&gt;"""",FILTER($G:$G,$C:$C=AB33),0), 0))"),216)</f>
        <v>216</v>
      </c>
      <c r="I33" s="27">
        <f t="shared" ca="1" si="0"/>
        <v>28</v>
      </c>
      <c r="J33" s="5">
        <v>90</v>
      </c>
      <c r="K33" s="5">
        <v>76</v>
      </c>
      <c r="L33" s="5">
        <f t="shared" si="4"/>
        <v>90</v>
      </c>
      <c r="M33" s="28">
        <f t="shared" si="1"/>
        <v>2.71</v>
      </c>
      <c r="N33" s="29">
        <f t="shared" ca="1" si="2"/>
        <v>0.31</v>
      </c>
      <c r="O33" s="5">
        <v>29</v>
      </c>
      <c r="P33" s="30">
        <f t="shared" si="3"/>
        <v>0.32</v>
      </c>
      <c r="Q33" s="31">
        <v>2</v>
      </c>
      <c r="R33" s="32">
        <v>2</v>
      </c>
      <c r="S33" s="33" t="s">
        <v>43</v>
      </c>
      <c r="T33" s="32"/>
      <c r="U33" s="32">
        <v>3</v>
      </c>
      <c r="V33" s="33" t="s">
        <v>39</v>
      </c>
      <c r="W33" s="33"/>
      <c r="X33" s="33"/>
      <c r="Y33" s="33"/>
      <c r="Z33" s="33"/>
      <c r="AA33" s="33"/>
      <c r="AB33" s="34"/>
      <c r="AC33" s="6"/>
      <c r="AD33" s="6"/>
      <c r="AE33" s="7"/>
    </row>
    <row r="34" spans="1:31" ht="12.75" x14ac:dyDescent="0.2">
      <c r="A34" s="22"/>
      <c r="B34" s="39" t="s">
        <v>63</v>
      </c>
      <c r="C34" s="40" t="s">
        <v>447</v>
      </c>
      <c r="D34" s="5">
        <v>48</v>
      </c>
      <c r="E34" s="5">
        <v>116</v>
      </c>
      <c r="F34" s="5">
        <v>417</v>
      </c>
      <c r="G34" s="25">
        <v>417</v>
      </c>
      <c r="H34" s="26">
        <f ca="1">IFERROR(__xludf.DUMMYFUNCTION("(R34 * IFERROR(IF(S34&lt;&gt;"""",FILTER($G:$G,$C:$C=S34),0), 0)) + (U34 * IFERROR(IF(V34&lt;&gt;"""",FILTER($G:$G,$C:$C=V34),0), 0)) + (X34 * IFERROR(IF(Y34&lt;&gt;"""",FILTER($G:$G,$C:$C=Y34),0), 0)) + (AA34 * IFERROR(IF(AB34&lt;&gt;"""",FILTER($G:$G,$C:$C=AB34),0), 0))"),391)</f>
        <v>391</v>
      </c>
      <c r="I34" s="27">
        <f t="shared" ca="1" si="0"/>
        <v>26</v>
      </c>
      <c r="J34" s="5">
        <v>40</v>
      </c>
      <c r="K34" s="5">
        <v>34</v>
      </c>
      <c r="L34" s="5">
        <f t="shared" si="4"/>
        <v>40</v>
      </c>
      <c r="M34" s="28">
        <f t="shared" si="1"/>
        <v>10.43</v>
      </c>
      <c r="N34" s="29">
        <f t="shared" ca="1" si="2"/>
        <v>0.65</v>
      </c>
      <c r="O34" s="5">
        <v>50</v>
      </c>
      <c r="P34" s="30">
        <f t="shared" si="3"/>
        <v>1.25</v>
      </c>
      <c r="Q34" s="31">
        <v>2</v>
      </c>
      <c r="R34" s="32">
        <v>1</v>
      </c>
      <c r="S34" s="33" t="s">
        <v>44</v>
      </c>
      <c r="T34" s="32"/>
      <c r="U34" s="32">
        <v>1</v>
      </c>
      <c r="V34" s="33" t="s">
        <v>37</v>
      </c>
      <c r="W34" s="32"/>
      <c r="X34" s="32">
        <v>1</v>
      </c>
      <c r="Y34" s="33" t="s">
        <v>62</v>
      </c>
      <c r="Z34" s="33"/>
      <c r="AA34" s="33"/>
      <c r="AB34" s="34"/>
      <c r="AC34" s="6"/>
      <c r="AD34" s="6"/>
      <c r="AE34" s="7"/>
    </row>
    <row r="35" spans="1:31" ht="12.75" x14ac:dyDescent="0.2">
      <c r="A35" s="22"/>
      <c r="B35" s="39" t="s">
        <v>63</v>
      </c>
      <c r="C35" s="40" t="s">
        <v>74</v>
      </c>
      <c r="D35" s="5">
        <v>60</v>
      </c>
      <c r="E35" s="5">
        <v>55</v>
      </c>
      <c r="F35" s="5">
        <v>198</v>
      </c>
      <c r="G35" s="25">
        <v>198</v>
      </c>
      <c r="H35" s="26">
        <f ca="1">IFERROR(__xludf.DUMMYFUNCTION("(R35 * IFERROR(IF(S35&lt;&gt;"""",FILTER($G:$G,$C:$C=S35),0), 0)) + (U35 * IFERROR(IF(V35&lt;&gt;"""",FILTER($G:$G,$C:$C=V35),0), 0)) + (X35 * IFERROR(IF(Y35&lt;&gt;"""",FILTER($G:$G,$C:$C=Y35),0), 0)) + (AA35 * IFERROR(IF(AB35&lt;&gt;"""",FILTER($G:$G,$C:$C=AB35),0), 0))"),180)</f>
        <v>180</v>
      </c>
      <c r="I35" s="27">
        <f t="shared" ca="1" si="0"/>
        <v>18</v>
      </c>
      <c r="J35" s="5">
        <v>15</v>
      </c>
      <c r="K35" s="5">
        <v>12</v>
      </c>
      <c r="L35" s="5">
        <f t="shared" si="4"/>
        <v>15</v>
      </c>
      <c r="M35" s="28">
        <f t="shared" si="1"/>
        <v>13.2</v>
      </c>
      <c r="N35" s="29">
        <f t="shared" ca="1" si="2"/>
        <v>1.2</v>
      </c>
      <c r="O35" s="5">
        <v>24</v>
      </c>
      <c r="P35" s="30">
        <f t="shared" si="3"/>
        <v>1.6</v>
      </c>
      <c r="Q35" s="31" t="s">
        <v>446</v>
      </c>
      <c r="R35" s="32">
        <v>2</v>
      </c>
      <c r="S35" s="33" t="s">
        <v>21</v>
      </c>
      <c r="T35" s="32"/>
      <c r="U35" s="32">
        <v>1</v>
      </c>
      <c r="V35" s="33" t="s">
        <v>41</v>
      </c>
      <c r="W35" s="32"/>
      <c r="X35" s="32">
        <v>4</v>
      </c>
      <c r="Y35" s="33" t="s">
        <v>75</v>
      </c>
      <c r="Z35" s="33"/>
      <c r="AA35" s="33"/>
      <c r="AB35" s="34"/>
      <c r="AC35" s="6"/>
      <c r="AD35" s="6"/>
      <c r="AE35" s="7"/>
    </row>
    <row r="36" spans="1:31" ht="12.75" x14ac:dyDescent="0.2">
      <c r="A36" s="22"/>
      <c r="B36" s="39" t="s">
        <v>63</v>
      </c>
      <c r="C36" s="40" t="s">
        <v>76</v>
      </c>
      <c r="D36" s="5">
        <v>68</v>
      </c>
      <c r="E36" s="5">
        <v>53</v>
      </c>
      <c r="F36" s="5">
        <v>190</v>
      </c>
      <c r="G36" s="25">
        <v>190</v>
      </c>
      <c r="H36" s="26">
        <f ca="1">IFERROR(__xludf.DUMMYFUNCTION("(R36 * IFERROR(IF(S36&lt;&gt;"""",FILTER($G:$G,$C:$C=S36),0), 0)) + (U36 * IFERROR(IF(V36&lt;&gt;"""",FILTER($G:$G,$C:$C=V36),0), 0)) + (X36 * IFERROR(IF(Y36&lt;&gt;"""",FILTER($G:$G,$C:$C=Y36),0), 0)) + (AA36 * IFERROR(IF(AB36&lt;&gt;"""",FILTER($G:$G,$C:$C=AB36),0), 0))"),160)</f>
        <v>160</v>
      </c>
      <c r="I36" s="27">
        <f t="shared" ca="1" si="0"/>
        <v>30</v>
      </c>
      <c r="J36" s="5">
        <v>60</v>
      </c>
      <c r="K36" s="5">
        <v>51</v>
      </c>
      <c r="L36" s="5">
        <f t="shared" si="4"/>
        <v>60</v>
      </c>
      <c r="M36" s="28">
        <f t="shared" si="1"/>
        <v>3.17</v>
      </c>
      <c r="N36" s="29">
        <f t="shared" ca="1" si="2"/>
        <v>0.5</v>
      </c>
      <c r="O36" s="5">
        <v>23</v>
      </c>
      <c r="P36" s="30">
        <f t="shared" si="3"/>
        <v>0.38</v>
      </c>
      <c r="Q36" s="31" t="s">
        <v>446</v>
      </c>
      <c r="R36" s="32">
        <v>2</v>
      </c>
      <c r="S36" s="33" t="s">
        <v>77</v>
      </c>
      <c r="T36" s="32"/>
      <c r="U36" s="32">
        <v>1</v>
      </c>
      <c r="V36" s="33" t="s">
        <v>41</v>
      </c>
      <c r="W36" s="33"/>
      <c r="X36" s="33"/>
      <c r="Y36" s="33"/>
      <c r="Z36" s="33"/>
      <c r="AA36" s="33"/>
      <c r="AB36" s="34"/>
      <c r="AC36" s="6"/>
      <c r="AD36" s="6"/>
      <c r="AE36" s="7"/>
    </row>
    <row r="37" spans="1:31" ht="12.75" x14ac:dyDescent="0.2">
      <c r="A37" s="22"/>
      <c r="B37" s="39" t="s">
        <v>63</v>
      </c>
      <c r="C37" s="40" t="s">
        <v>78</v>
      </c>
      <c r="D37" s="5">
        <v>72</v>
      </c>
      <c r="E37" s="5">
        <v>55</v>
      </c>
      <c r="F37" s="5">
        <v>198</v>
      </c>
      <c r="G37" s="25">
        <v>198</v>
      </c>
      <c r="H37" s="26">
        <f ca="1">IFERROR(__xludf.DUMMYFUNCTION("(R37 * IFERROR(IF(S37&lt;&gt;"""",FILTER($G:$G,$C:$C=S37),0), 0)) + (U37 * IFERROR(IF(V37&lt;&gt;"""",FILTER($G:$G,$C:$C=V37),0), 0)) + (X37 * IFERROR(IF(Y37&lt;&gt;"""",FILTER($G:$G,$C:$C=Y37),0), 0)) + (AA37 * IFERROR(IF(AB37&lt;&gt;"""",FILTER($G:$G,$C:$C=AB37),0), 0))"),178)</f>
        <v>178</v>
      </c>
      <c r="I37" s="27">
        <f t="shared" ca="1" si="0"/>
        <v>20</v>
      </c>
      <c r="J37" s="5">
        <v>21</v>
      </c>
      <c r="K37" s="5">
        <v>21</v>
      </c>
      <c r="L37" s="5">
        <f t="shared" si="4"/>
        <v>21</v>
      </c>
      <c r="M37" s="28">
        <f t="shared" si="1"/>
        <v>9.43</v>
      </c>
      <c r="N37" s="29">
        <f t="shared" ca="1" si="2"/>
        <v>0.95</v>
      </c>
      <c r="O37" s="5">
        <v>24</v>
      </c>
      <c r="P37" s="30">
        <f t="shared" si="3"/>
        <v>1.1399999999999999</v>
      </c>
      <c r="Q37" s="31" t="s">
        <v>446</v>
      </c>
      <c r="R37" s="32">
        <v>2</v>
      </c>
      <c r="S37" s="33" t="s">
        <v>79</v>
      </c>
      <c r="T37" s="32"/>
      <c r="U37" s="32">
        <v>2</v>
      </c>
      <c r="V37" s="33" t="s">
        <v>80</v>
      </c>
      <c r="W37" s="32"/>
      <c r="X37" s="32">
        <v>2</v>
      </c>
      <c r="Y37" s="33" t="s">
        <v>39</v>
      </c>
      <c r="Z37" s="32"/>
      <c r="AA37" s="32">
        <v>2</v>
      </c>
      <c r="AB37" s="34" t="s">
        <v>81</v>
      </c>
      <c r="AC37" s="6"/>
      <c r="AD37" s="6"/>
      <c r="AE37" s="7"/>
    </row>
    <row r="38" spans="1:31" ht="12.75" x14ac:dyDescent="0.2">
      <c r="A38" s="22"/>
      <c r="B38" s="39" t="s">
        <v>63</v>
      </c>
      <c r="C38" s="40" t="s">
        <v>82</v>
      </c>
      <c r="D38" s="5">
        <v>80</v>
      </c>
      <c r="E38" s="5">
        <v>98</v>
      </c>
      <c r="F38" s="5">
        <v>352</v>
      </c>
      <c r="G38" s="25">
        <v>352</v>
      </c>
      <c r="H38" s="26">
        <f ca="1">IFERROR(__xludf.DUMMYFUNCTION("(R38 * IFERROR(IF(S38&lt;&gt;"""",FILTER($G:$G,$C:$C=S38),0), 0)) + (U38 * IFERROR(IF(V38&lt;&gt;"""",FILTER($G:$G,$C:$C=V38),0), 0)) + (X38 * IFERROR(IF(Y38&lt;&gt;"""",FILTER($G:$G,$C:$C=Y38),0), 0)) + (AA38 * IFERROR(IF(AB38&lt;&gt;"""",FILTER($G:$G,$C:$C=AB38),0), 0))"),334)</f>
        <v>334</v>
      </c>
      <c r="I38" s="27">
        <f t="shared" ca="1" si="0"/>
        <v>18</v>
      </c>
      <c r="J38" s="5">
        <v>20</v>
      </c>
      <c r="K38" s="5">
        <v>17</v>
      </c>
      <c r="L38" s="5">
        <f t="shared" si="4"/>
        <v>20</v>
      </c>
      <c r="M38" s="28">
        <f t="shared" si="1"/>
        <v>17.600000000000001</v>
      </c>
      <c r="N38" s="29">
        <f t="shared" ca="1" si="2"/>
        <v>0.9</v>
      </c>
      <c r="O38" s="5">
        <v>42</v>
      </c>
      <c r="P38" s="30">
        <f t="shared" si="3"/>
        <v>2.1</v>
      </c>
      <c r="Q38" s="31">
        <v>2</v>
      </c>
      <c r="R38" s="32">
        <v>3</v>
      </c>
      <c r="S38" s="33" t="s">
        <v>83</v>
      </c>
      <c r="T38" s="32"/>
      <c r="U38" s="32">
        <v>1</v>
      </c>
      <c r="V38" s="33" t="s">
        <v>66</v>
      </c>
      <c r="W38" s="32"/>
      <c r="X38" s="32">
        <v>3</v>
      </c>
      <c r="Y38" s="33" t="s">
        <v>84</v>
      </c>
      <c r="Z38" s="32"/>
      <c r="AA38" s="32">
        <v>1</v>
      </c>
      <c r="AB38" s="34" t="s">
        <v>35</v>
      </c>
      <c r="AC38" s="6"/>
      <c r="AD38" s="6"/>
      <c r="AE38" s="7"/>
    </row>
    <row r="39" spans="1:31" ht="12.75" x14ac:dyDescent="0.2">
      <c r="A39" s="22"/>
      <c r="B39" s="39" t="s">
        <v>63</v>
      </c>
      <c r="C39" s="40" t="s">
        <v>85</v>
      </c>
      <c r="D39" s="5">
        <v>90</v>
      </c>
      <c r="E39" s="5">
        <v>90</v>
      </c>
      <c r="F39" s="5">
        <v>324</v>
      </c>
      <c r="G39" s="25">
        <v>324</v>
      </c>
      <c r="H39" s="26">
        <f ca="1">IFERROR(__xludf.DUMMYFUNCTION("(R39 * IFERROR(IF(S39&lt;&gt;"""",FILTER($G:$G,$C:$C=S39),0), 0)) + (U39 * IFERROR(IF(V39&lt;&gt;"""",FILTER($G:$G,$C:$C=V39),0), 0)) + (X39 * IFERROR(IF(Y39&lt;&gt;"""",FILTER($G:$G,$C:$C=Y39),0), 0)) + (AA39 * IFERROR(IF(AB39&lt;&gt;"""",FILTER($G:$G,$C:$C=AB39),0), 0))"),294)</f>
        <v>294</v>
      </c>
      <c r="I39" s="27">
        <f t="shared" ca="1" si="0"/>
        <v>30</v>
      </c>
      <c r="J39" s="5">
        <v>40</v>
      </c>
      <c r="K39" s="5">
        <v>34</v>
      </c>
      <c r="L39" s="5">
        <f t="shared" si="4"/>
        <v>40</v>
      </c>
      <c r="M39" s="28">
        <f t="shared" si="1"/>
        <v>8.1</v>
      </c>
      <c r="N39" s="29">
        <f t="shared" ca="1" si="2"/>
        <v>0.75</v>
      </c>
      <c r="O39" s="5">
        <v>39</v>
      </c>
      <c r="P39" s="30">
        <f t="shared" si="3"/>
        <v>0.98</v>
      </c>
      <c r="Q39" s="31">
        <v>2</v>
      </c>
      <c r="R39" s="32">
        <v>3</v>
      </c>
      <c r="S39" s="33" t="s">
        <v>86</v>
      </c>
      <c r="T39" s="32"/>
      <c r="U39" s="32">
        <v>1</v>
      </c>
      <c r="V39" s="33" t="s">
        <v>87</v>
      </c>
      <c r="W39" s="33"/>
      <c r="X39" s="33"/>
      <c r="Y39" s="33"/>
      <c r="Z39" s="33"/>
      <c r="AA39" s="33"/>
      <c r="AB39" s="34"/>
      <c r="AC39" s="6"/>
      <c r="AD39" s="6"/>
      <c r="AE39" s="7"/>
    </row>
    <row r="40" spans="1:31" ht="12.75" x14ac:dyDescent="0.2">
      <c r="A40" s="22"/>
      <c r="B40" s="39" t="s">
        <v>63</v>
      </c>
      <c r="C40" s="40" t="s">
        <v>88</v>
      </c>
      <c r="D40" s="5">
        <v>94</v>
      </c>
      <c r="E40" s="5">
        <v>98</v>
      </c>
      <c r="F40" s="5">
        <v>352</v>
      </c>
      <c r="G40" s="25">
        <v>352</v>
      </c>
      <c r="H40" s="26">
        <f ca="1">IFERROR(__xludf.DUMMYFUNCTION("(R40 * IFERROR(IF(S40&lt;&gt;"""",FILTER($G:$G,$C:$C=S40),0), 0)) + (U40 * IFERROR(IF(V40&lt;&gt;"""",FILTER($G:$G,$C:$C=V40),0), 0)) + (X40 * IFERROR(IF(Y40&lt;&gt;"""",FILTER($G:$G,$C:$C=Y40),0), 0)) + (AA40 * IFERROR(IF(AB40&lt;&gt;"""",FILTER($G:$G,$C:$C=AB40),0), 0))"),327)</f>
        <v>327</v>
      </c>
      <c r="I40" s="27">
        <f t="shared" ca="1" si="0"/>
        <v>25</v>
      </c>
      <c r="J40" s="5">
        <v>60</v>
      </c>
      <c r="K40" s="5">
        <v>51</v>
      </c>
      <c r="L40" s="5">
        <f t="shared" si="4"/>
        <v>60</v>
      </c>
      <c r="M40" s="28">
        <f t="shared" si="1"/>
        <v>5.87</v>
      </c>
      <c r="N40" s="29">
        <f t="shared" ca="1" si="2"/>
        <v>0.42</v>
      </c>
      <c r="O40" s="5">
        <v>42</v>
      </c>
      <c r="P40" s="30">
        <f t="shared" si="3"/>
        <v>0.7</v>
      </c>
      <c r="Q40" s="31">
        <v>2</v>
      </c>
      <c r="R40" s="32">
        <v>3</v>
      </c>
      <c r="S40" s="33" t="s">
        <v>22</v>
      </c>
      <c r="T40" s="32"/>
      <c r="U40" s="32">
        <v>1</v>
      </c>
      <c r="V40" s="33" t="s">
        <v>71</v>
      </c>
      <c r="W40" s="32"/>
      <c r="X40" s="32">
        <v>2</v>
      </c>
      <c r="Y40" s="33" t="s">
        <v>32</v>
      </c>
      <c r="Z40" s="32"/>
      <c r="AA40" s="32">
        <v>1</v>
      </c>
      <c r="AB40" s="34" t="s">
        <v>50</v>
      </c>
      <c r="AC40" s="6"/>
      <c r="AD40" s="6"/>
      <c r="AE40" s="7"/>
    </row>
    <row r="41" spans="1:31" ht="12.75" x14ac:dyDescent="0.2">
      <c r="A41" s="22"/>
      <c r="B41" s="44" t="s">
        <v>63</v>
      </c>
      <c r="C41" s="45" t="s">
        <v>89</v>
      </c>
      <c r="D41" s="8">
        <v>96</v>
      </c>
      <c r="E41" s="8">
        <v>49</v>
      </c>
      <c r="F41" s="8">
        <v>176</v>
      </c>
      <c r="G41" s="37">
        <v>176</v>
      </c>
      <c r="H41" s="26">
        <f ca="1">IFERROR(__xludf.DUMMYFUNCTION("(R41 * IFERROR(IF(S41&lt;&gt;"""",FILTER($G:$G,$C:$C=S41),0), 0)) + (U41 * IFERROR(IF(V41&lt;&gt;"""",FILTER($G:$G,$C:$C=V41),0), 0)) + (X41 * IFERROR(IF(Y41&lt;&gt;"""",FILTER($G:$G,$C:$C=Y41),0), 0)) + (AA41 * IFERROR(IF(AB41&lt;&gt;"""",FILTER($G:$G,$C:$C=AB41),0), 0))"),148)</f>
        <v>148</v>
      </c>
      <c r="I41" s="27">
        <f t="shared" ca="1" si="0"/>
        <v>28</v>
      </c>
      <c r="J41" s="8">
        <v>30</v>
      </c>
      <c r="K41" s="8">
        <v>25</v>
      </c>
      <c r="L41" s="5">
        <f t="shared" si="4"/>
        <v>30</v>
      </c>
      <c r="M41" s="28">
        <f t="shared" si="1"/>
        <v>5.87</v>
      </c>
      <c r="N41" s="29">
        <f t="shared" ca="1" si="2"/>
        <v>0.93</v>
      </c>
      <c r="O41" s="8">
        <v>21</v>
      </c>
      <c r="P41" s="27">
        <f t="shared" si="3"/>
        <v>0.7</v>
      </c>
      <c r="Q41" s="38" t="s">
        <v>448</v>
      </c>
      <c r="R41" s="46">
        <v>1</v>
      </c>
      <c r="S41" s="34" t="s">
        <v>43</v>
      </c>
      <c r="T41" s="46"/>
      <c r="U41" s="46">
        <v>3</v>
      </c>
      <c r="V41" s="34" t="s">
        <v>90</v>
      </c>
      <c r="W41" s="46"/>
      <c r="X41" s="46">
        <v>1</v>
      </c>
      <c r="Y41" s="34" t="s">
        <v>46</v>
      </c>
      <c r="Z41" s="46"/>
      <c r="AA41" s="46">
        <v>2</v>
      </c>
      <c r="AB41" s="34" t="s">
        <v>91</v>
      </c>
      <c r="AC41" s="7"/>
      <c r="AD41" s="7"/>
      <c r="AE41" s="7"/>
    </row>
    <row r="42" spans="1:31" ht="12.75" x14ac:dyDescent="0.2">
      <c r="A42" s="22"/>
      <c r="B42" s="23" t="s">
        <v>92</v>
      </c>
      <c r="C42" s="24" t="s">
        <v>93</v>
      </c>
      <c r="D42" s="5">
        <v>21</v>
      </c>
      <c r="E42" s="5">
        <v>46</v>
      </c>
      <c r="F42" s="5">
        <v>165</v>
      </c>
      <c r="G42" s="25">
        <v>165</v>
      </c>
      <c r="H42" s="26">
        <f ca="1">IFERROR(__xludf.DUMMYFUNCTION("(R42 * IFERROR(IF(S42&lt;&gt;"""",FILTER($G:$G,$C:$C=S42),0), 0)) + (U42 * IFERROR(IF(V42&lt;&gt;"""",FILTER($G:$G,$C:$C=V42),0), 0)) + (X42 * IFERROR(IF(Y42&lt;&gt;"""",FILTER($G:$G,$C:$C=Y42),0), 0)) + (AA42 * IFERROR(IF(AB42&lt;&gt;"""",FILTER($G:$G,$C:$C=AB42),0), 0))"),128)</f>
        <v>128</v>
      </c>
      <c r="I42" s="27">
        <f t="shared" ca="1" si="0"/>
        <v>37</v>
      </c>
      <c r="J42" s="5">
        <v>90</v>
      </c>
      <c r="K42" s="5">
        <v>76</v>
      </c>
      <c r="L42" s="5">
        <f t="shared" si="4"/>
        <v>90</v>
      </c>
      <c r="M42" s="28">
        <f t="shared" si="1"/>
        <v>1.83</v>
      </c>
      <c r="N42" s="29">
        <f t="shared" ca="1" si="2"/>
        <v>0.41</v>
      </c>
      <c r="O42" s="5">
        <v>20</v>
      </c>
      <c r="P42" s="30">
        <f t="shared" si="3"/>
        <v>0.22</v>
      </c>
      <c r="Q42" s="31" t="s">
        <v>446</v>
      </c>
      <c r="R42" s="32">
        <v>2</v>
      </c>
      <c r="S42" s="33" t="s">
        <v>80</v>
      </c>
      <c r="T42" s="32"/>
      <c r="U42" s="32">
        <v>1</v>
      </c>
      <c r="V42" s="33" t="s">
        <v>28</v>
      </c>
      <c r="W42" s="32"/>
      <c r="X42" s="32">
        <v>1</v>
      </c>
      <c r="Y42" s="33" t="s">
        <v>41</v>
      </c>
      <c r="Z42" s="33"/>
      <c r="AA42" s="33"/>
      <c r="AB42" s="34"/>
      <c r="AC42" s="6"/>
      <c r="AD42" s="6"/>
      <c r="AE42" s="7"/>
    </row>
    <row r="43" spans="1:31" ht="12.75" x14ac:dyDescent="0.2">
      <c r="A43" s="22"/>
      <c r="B43" s="23" t="s">
        <v>92</v>
      </c>
      <c r="C43" s="24" t="s">
        <v>94</v>
      </c>
      <c r="D43" s="5">
        <v>23</v>
      </c>
      <c r="E43" s="5">
        <v>71</v>
      </c>
      <c r="F43" s="5">
        <v>255</v>
      </c>
      <c r="G43" s="25">
        <v>255</v>
      </c>
      <c r="H43" s="26">
        <f ca="1">IFERROR(__xludf.DUMMYFUNCTION("(R43 * IFERROR(IF(S43&lt;&gt;"""",FILTER($G:$G,$C:$C=S43),0), 0)) + (U43 * IFERROR(IF(V43&lt;&gt;"""",FILTER($G:$G,$C:$C=V43),0), 0)) + (X43 * IFERROR(IF(Y43&lt;&gt;"""",FILTER($G:$G,$C:$C=Y43),0), 0)) + (AA43 * IFERROR(IF(AB43&lt;&gt;"""",FILTER($G:$G,$C:$C=AB43),0), 0))"),232)</f>
        <v>232</v>
      </c>
      <c r="I43" s="27">
        <f t="shared" ca="1" si="0"/>
        <v>23</v>
      </c>
      <c r="J43" s="5">
        <v>60</v>
      </c>
      <c r="K43" s="5">
        <v>51</v>
      </c>
      <c r="L43" s="5">
        <f t="shared" si="4"/>
        <v>60</v>
      </c>
      <c r="M43" s="28">
        <f t="shared" si="1"/>
        <v>4.25</v>
      </c>
      <c r="N43" s="29">
        <f t="shared" ca="1" si="2"/>
        <v>0.38</v>
      </c>
      <c r="O43" s="5">
        <v>31</v>
      </c>
      <c r="P43" s="30">
        <f t="shared" si="3"/>
        <v>0.52</v>
      </c>
      <c r="Q43" s="47" t="s">
        <v>446</v>
      </c>
      <c r="R43" s="32">
        <v>1</v>
      </c>
      <c r="S43" s="33" t="s">
        <v>30</v>
      </c>
      <c r="T43" s="32"/>
      <c r="U43" s="32">
        <v>1</v>
      </c>
      <c r="V43" s="33" t="s">
        <v>95</v>
      </c>
      <c r="W43" s="32"/>
      <c r="X43" s="32">
        <v>2</v>
      </c>
      <c r="Y43" s="33" t="s">
        <v>96</v>
      </c>
      <c r="Z43" s="32"/>
      <c r="AA43" s="32">
        <v>1</v>
      </c>
      <c r="AB43" s="34" t="s">
        <v>26</v>
      </c>
      <c r="AC43" s="6"/>
      <c r="AD43" s="6"/>
      <c r="AE43" s="7"/>
    </row>
    <row r="44" spans="1:31" ht="12.75" x14ac:dyDescent="0.2">
      <c r="A44" s="22"/>
      <c r="B44" s="23" t="s">
        <v>92</v>
      </c>
      <c r="C44" s="24" t="s">
        <v>97</v>
      </c>
      <c r="D44" s="5">
        <v>23</v>
      </c>
      <c r="E44" s="5">
        <v>61</v>
      </c>
      <c r="F44" s="5">
        <v>219</v>
      </c>
      <c r="G44" s="25">
        <v>219</v>
      </c>
      <c r="H44" s="26">
        <f ca="1">IFERROR(__xludf.DUMMYFUNCTION("(R44 * IFERROR(IF(S44&lt;&gt;"""",FILTER($G:$G,$C:$C=S44),0), 0)) + (U44 * IFERROR(IF(V44&lt;&gt;"""",FILTER($G:$G,$C:$C=V44),0), 0)) + (X44 * IFERROR(IF(Y44&lt;&gt;"""",FILTER($G:$G,$C:$C=Y44),0), 0)) + (AA44 * IFERROR(IF(AB44&lt;&gt;"""",FILTER($G:$G,$C:$C=AB44),0), 0))"),115)</f>
        <v>115</v>
      </c>
      <c r="I44" s="27">
        <f t="shared" ca="1" si="0"/>
        <v>104</v>
      </c>
      <c r="J44" s="5">
        <v>180</v>
      </c>
      <c r="K44" s="5">
        <v>153</v>
      </c>
      <c r="L44" s="5">
        <f t="shared" si="4"/>
        <v>180</v>
      </c>
      <c r="M44" s="28">
        <f t="shared" si="1"/>
        <v>1.22</v>
      </c>
      <c r="N44" s="29">
        <f t="shared" ca="1" si="2"/>
        <v>0.57999999999999996</v>
      </c>
      <c r="O44" s="5">
        <v>26</v>
      </c>
      <c r="P44" s="30">
        <f t="shared" si="3"/>
        <v>0.14000000000000001</v>
      </c>
      <c r="Q44" s="47" t="s">
        <v>446</v>
      </c>
      <c r="R44" s="32">
        <v>5</v>
      </c>
      <c r="S44" s="33" t="s">
        <v>22</v>
      </c>
      <c r="T44" s="32"/>
      <c r="U44" s="32">
        <v>1</v>
      </c>
      <c r="V44" s="33" t="s">
        <v>71</v>
      </c>
      <c r="W44" s="32"/>
      <c r="X44" s="32">
        <v>1</v>
      </c>
      <c r="Y44" s="33" t="s">
        <v>40</v>
      </c>
      <c r="Z44" s="33"/>
      <c r="AA44" s="33"/>
      <c r="AB44" s="34"/>
      <c r="AC44" s="6"/>
      <c r="AD44" s="6"/>
      <c r="AE44" s="7"/>
    </row>
    <row r="45" spans="1:31" ht="12.75" x14ac:dyDescent="0.2">
      <c r="A45" s="22"/>
      <c r="B45" s="23" t="s">
        <v>92</v>
      </c>
      <c r="C45" s="24" t="s">
        <v>98</v>
      </c>
      <c r="D45" s="5">
        <v>24</v>
      </c>
      <c r="E45" s="5">
        <v>79</v>
      </c>
      <c r="F45" s="5">
        <v>284</v>
      </c>
      <c r="G45" s="25">
        <v>284</v>
      </c>
      <c r="H45" s="26">
        <f ca="1">IFERROR(__xludf.DUMMYFUNCTION("(R45 * IFERROR(IF(S45&lt;&gt;"""",FILTER($G:$G,$C:$C=S45),0), 0)) + (U45 * IFERROR(IF(V45&lt;&gt;"""",FILTER($G:$G,$C:$C=V45),0), 0)) + (X45 * IFERROR(IF(Y45&lt;&gt;"""",FILTER($G:$G,$C:$C=Y45),0), 0)) + (AA45 * IFERROR(IF(AB45&lt;&gt;"""",FILTER($G:$G,$C:$C=AB45),0), 0))"),226)</f>
        <v>226</v>
      </c>
      <c r="I45" s="27">
        <f t="shared" ca="1" si="0"/>
        <v>58</v>
      </c>
      <c r="J45" s="5">
        <v>240</v>
      </c>
      <c r="K45" s="5">
        <v>204</v>
      </c>
      <c r="L45" s="5">
        <f t="shared" si="4"/>
        <v>240</v>
      </c>
      <c r="M45" s="28">
        <f t="shared" si="1"/>
        <v>1.18</v>
      </c>
      <c r="N45" s="29">
        <f t="shared" ca="1" si="2"/>
        <v>0.24</v>
      </c>
      <c r="O45" s="5">
        <v>34</v>
      </c>
      <c r="P45" s="30">
        <f t="shared" si="3"/>
        <v>0.14000000000000001</v>
      </c>
      <c r="Q45" s="31">
        <v>2</v>
      </c>
      <c r="R45" s="32">
        <v>1</v>
      </c>
      <c r="S45" s="33" t="s">
        <v>35</v>
      </c>
      <c r="T45" s="32"/>
      <c r="U45" s="32">
        <v>1</v>
      </c>
      <c r="V45" s="33" t="s">
        <v>27</v>
      </c>
      <c r="W45" s="33"/>
      <c r="X45" s="33"/>
      <c r="Y45" s="33"/>
      <c r="Z45" s="33"/>
      <c r="AA45" s="33"/>
      <c r="AB45" s="34"/>
      <c r="AC45" s="6"/>
      <c r="AD45" s="6"/>
      <c r="AE45" s="7"/>
    </row>
    <row r="46" spans="1:31" ht="12.75" x14ac:dyDescent="0.2">
      <c r="A46" s="22"/>
      <c r="B46" s="23" t="s">
        <v>92</v>
      </c>
      <c r="C46" s="24" t="s">
        <v>99</v>
      </c>
      <c r="D46" s="5">
        <v>35</v>
      </c>
      <c r="E46" s="5">
        <v>88</v>
      </c>
      <c r="F46" s="5">
        <v>316</v>
      </c>
      <c r="G46" s="25">
        <v>316</v>
      </c>
      <c r="H46" s="26">
        <f ca="1">IFERROR(__xludf.DUMMYFUNCTION("(R46 * IFERROR(IF(S46&lt;&gt;"""",FILTER($G:$G,$C:$C=S46),0), 0)) + (U46 * IFERROR(IF(V46&lt;&gt;"""",FILTER($G:$G,$C:$C=V46),0), 0)) + (X46 * IFERROR(IF(Y46&lt;&gt;"""",FILTER($G:$G,$C:$C=Y46),0), 0)) + (AA46 * IFERROR(IF(AB46&lt;&gt;"""",FILTER($G:$G,$C:$C=AB46),0), 0))"),209)</f>
        <v>209</v>
      </c>
      <c r="I46" s="27">
        <f t="shared" ca="1" si="0"/>
        <v>107</v>
      </c>
      <c r="J46" s="5">
        <v>180</v>
      </c>
      <c r="K46" s="5">
        <v>153</v>
      </c>
      <c r="L46" s="5">
        <f t="shared" si="4"/>
        <v>180</v>
      </c>
      <c r="M46" s="28">
        <f t="shared" si="1"/>
        <v>1.76</v>
      </c>
      <c r="N46" s="29">
        <f t="shared" ca="1" si="2"/>
        <v>0.59</v>
      </c>
      <c r="O46" s="5">
        <v>38</v>
      </c>
      <c r="P46" s="30">
        <f t="shared" si="3"/>
        <v>0.21</v>
      </c>
      <c r="Q46" s="31" t="s">
        <v>444</v>
      </c>
      <c r="R46" s="32">
        <v>3</v>
      </c>
      <c r="S46" s="33" t="s">
        <v>22</v>
      </c>
      <c r="T46" s="32"/>
      <c r="U46" s="32">
        <v>2</v>
      </c>
      <c r="V46" s="33" t="s">
        <v>100</v>
      </c>
      <c r="W46" s="32"/>
      <c r="X46" s="32">
        <v>1</v>
      </c>
      <c r="Y46" s="33" t="s">
        <v>71</v>
      </c>
      <c r="Z46" s="32"/>
      <c r="AA46" s="32">
        <v>1</v>
      </c>
      <c r="AB46" s="34" t="s">
        <v>40</v>
      </c>
      <c r="AC46" s="6"/>
      <c r="AD46" s="6"/>
      <c r="AE46" s="7"/>
    </row>
    <row r="47" spans="1:31" ht="12.75" x14ac:dyDescent="0.2">
      <c r="A47" s="22"/>
      <c r="B47" s="23" t="s">
        <v>92</v>
      </c>
      <c r="C47" s="24" t="s">
        <v>101</v>
      </c>
      <c r="D47" s="5">
        <v>36</v>
      </c>
      <c r="E47" s="5">
        <v>89</v>
      </c>
      <c r="F47" s="5">
        <v>320</v>
      </c>
      <c r="G47" s="25">
        <v>320</v>
      </c>
      <c r="H47" s="26">
        <f ca="1">IFERROR(__xludf.DUMMYFUNCTION("(R47 * IFERROR(IF(S47&lt;&gt;"""",FILTER($G:$G,$C:$C=S47),0), 0)) + (U47 * IFERROR(IF(V47&lt;&gt;"""",FILTER($G:$G,$C:$C=V47),0), 0)) + (X47 * IFERROR(IF(Y47&lt;&gt;"""",FILTER($G:$G,$C:$C=Y47),0), 0)) + (AA47 * IFERROR(IF(AB47&lt;&gt;"""",FILTER($G:$G,$C:$C=AB47),0), 0))"),286)</f>
        <v>286</v>
      </c>
      <c r="I47" s="27">
        <f t="shared" ca="1" si="0"/>
        <v>34</v>
      </c>
      <c r="J47" s="5">
        <v>120</v>
      </c>
      <c r="K47" s="5">
        <v>102</v>
      </c>
      <c r="L47" s="5">
        <f t="shared" si="4"/>
        <v>120</v>
      </c>
      <c r="M47" s="28">
        <f t="shared" si="1"/>
        <v>2.67</v>
      </c>
      <c r="N47" s="29">
        <f t="shared" ca="1" si="2"/>
        <v>0.28000000000000003</v>
      </c>
      <c r="O47" s="5">
        <v>38</v>
      </c>
      <c r="P47" s="30">
        <f t="shared" si="3"/>
        <v>0.32</v>
      </c>
      <c r="Q47" s="31" t="s">
        <v>444</v>
      </c>
      <c r="R47" s="32">
        <v>2</v>
      </c>
      <c r="S47" s="33" t="s">
        <v>54</v>
      </c>
      <c r="T47" s="32"/>
      <c r="U47" s="32">
        <v>1</v>
      </c>
      <c r="V47" s="33" t="s">
        <v>28</v>
      </c>
      <c r="W47" s="32"/>
      <c r="X47" s="32">
        <v>1</v>
      </c>
      <c r="Y47" s="33" t="s">
        <v>41</v>
      </c>
      <c r="Z47" s="33"/>
      <c r="AA47" s="33"/>
      <c r="AB47" s="34"/>
      <c r="AC47" s="6"/>
      <c r="AD47" s="6"/>
      <c r="AE47" s="7"/>
    </row>
    <row r="48" spans="1:31" ht="12.75" x14ac:dyDescent="0.2">
      <c r="A48" s="22"/>
      <c r="B48" s="23" t="s">
        <v>92</v>
      </c>
      <c r="C48" s="24" t="s">
        <v>102</v>
      </c>
      <c r="D48" s="5">
        <v>38</v>
      </c>
      <c r="E48" s="5">
        <v>86</v>
      </c>
      <c r="F48" s="5">
        <v>309</v>
      </c>
      <c r="G48" s="25">
        <v>309</v>
      </c>
      <c r="H48" s="26">
        <f ca="1">IFERROR(__xludf.DUMMYFUNCTION("(R48 * IFERROR(IF(S48&lt;&gt;"""",FILTER($G:$G,$C:$C=S48),0), 0)) + (U48 * IFERROR(IF(V48&lt;&gt;"""",FILTER($G:$G,$C:$C=V48),0), 0)) + (X48 * IFERROR(IF(Y48&lt;&gt;"""",FILTER($G:$G,$C:$C=Y48),0), 0)) + (AA48 * IFERROR(IF(AB48&lt;&gt;"""",FILTER($G:$G,$C:$C=AB48),0), 0))"),270)</f>
        <v>270</v>
      </c>
      <c r="I48" s="27">
        <f t="shared" ca="1" si="0"/>
        <v>39</v>
      </c>
      <c r="J48" s="5">
        <v>120</v>
      </c>
      <c r="K48" s="5">
        <v>102</v>
      </c>
      <c r="L48" s="5">
        <f t="shared" si="4"/>
        <v>120</v>
      </c>
      <c r="M48" s="28">
        <f t="shared" si="1"/>
        <v>2.58</v>
      </c>
      <c r="N48" s="29">
        <f t="shared" ca="1" si="2"/>
        <v>0.33</v>
      </c>
      <c r="O48" s="5">
        <v>37</v>
      </c>
      <c r="P48" s="30">
        <f t="shared" si="3"/>
        <v>0.31</v>
      </c>
      <c r="Q48" s="31">
        <v>2</v>
      </c>
      <c r="R48" s="32">
        <v>1</v>
      </c>
      <c r="S48" s="33" t="s">
        <v>39</v>
      </c>
      <c r="T48" s="32"/>
      <c r="U48" s="32">
        <v>4</v>
      </c>
      <c r="V48" s="33" t="s">
        <v>26</v>
      </c>
      <c r="W48" s="32"/>
      <c r="X48" s="32">
        <v>1</v>
      </c>
      <c r="Y48" s="33" t="s">
        <v>103</v>
      </c>
      <c r="Z48" s="33"/>
      <c r="AA48" s="33"/>
      <c r="AB48" s="34"/>
      <c r="AC48" s="6"/>
      <c r="AD48" s="6"/>
      <c r="AE48" s="7"/>
    </row>
    <row r="49" spans="1:31" ht="12.75" x14ac:dyDescent="0.2">
      <c r="A49" s="22"/>
      <c r="B49" s="23" t="s">
        <v>92</v>
      </c>
      <c r="C49" s="24" t="s">
        <v>104</v>
      </c>
      <c r="D49" s="5">
        <v>42</v>
      </c>
      <c r="E49" s="5">
        <v>134</v>
      </c>
      <c r="F49" s="5">
        <v>482</v>
      </c>
      <c r="G49" s="25">
        <v>482</v>
      </c>
      <c r="H49" s="26">
        <f ca="1">IFERROR(__xludf.DUMMYFUNCTION("(R49 * IFERROR(IF(S49&lt;&gt;"""",FILTER($G:$G,$C:$C=S49),0), 0)) + (U49 * IFERROR(IF(V49&lt;&gt;"""",FILTER($G:$G,$C:$C=V49),0), 0)) + (X49 * IFERROR(IF(Y49&lt;&gt;"""",FILTER($G:$G,$C:$C=Y49),0), 0)) + (AA49 * IFERROR(IF(AB49&lt;&gt;"""",FILTER($G:$G,$C:$C=AB49),0), 0))"),350)</f>
        <v>350</v>
      </c>
      <c r="I49" s="27">
        <f t="shared" ca="1" si="0"/>
        <v>132</v>
      </c>
      <c r="J49" s="5">
        <v>200</v>
      </c>
      <c r="K49" s="5">
        <v>170</v>
      </c>
      <c r="L49" s="5">
        <f t="shared" si="4"/>
        <v>200</v>
      </c>
      <c r="M49" s="28">
        <f t="shared" si="1"/>
        <v>2.41</v>
      </c>
      <c r="N49" s="29">
        <f t="shared" ca="1" si="2"/>
        <v>0.66</v>
      </c>
      <c r="O49" s="5">
        <v>57</v>
      </c>
      <c r="P49" s="30">
        <f t="shared" si="3"/>
        <v>0.28999999999999998</v>
      </c>
      <c r="Q49" s="31">
        <v>2</v>
      </c>
      <c r="R49" s="32">
        <v>2</v>
      </c>
      <c r="S49" s="33" t="s">
        <v>449</v>
      </c>
      <c r="T49" s="32"/>
      <c r="U49" s="32">
        <v>2</v>
      </c>
      <c r="V49" s="33" t="s">
        <v>22</v>
      </c>
      <c r="W49" s="32"/>
      <c r="X49" s="32">
        <v>2</v>
      </c>
      <c r="Y49" s="33" t="s">
        <v>26</v>
      </c>
      <c r="Z49" s="32"/>
      <c r="AA49" s="32">
        <v>2</v>
      </c>
      <c r="AB49" s="34" t="s">
        <v>62</v>
      </c>
      <c r="AC49" s="6"/>
      <c r="AD49" s="6"/>
      <c r="AE49" s="7"/>
    </row>
    <row r="50" spans="1:31" ht="12.75" x14ac:dyDescent="0.2">
      <c r="A50" s="22"/>
      <c r="B50" s="23" t="s">
        <v>92</v>
      </c>
      <c r="C50" s="24" t="s">
        <v>106</v>
      </c>
      <c r="D50" s="5">
        <v>54</v>
      </c>
      <c r="E50" s="5">
        <v>125</v>
      </c>
      <c r="F50" s="5">
        <v>450</v>
      </c>
      <c r="G50" s="25">
        <v>450</v>
      </c>
      <c r="H50" s="26">
        <f ca="1">IFERROR(__xludf.DUMMYFUNCTION("(R50 * IFERROR(IF(S50&lt;&gt;"""",FILTER($G:$G,$C:$C=S50),0), 0)) + (U50 * IFERROR(IF(V50&lt;&gt;"""",FILTER($G:$G,$C:$C=V50),0), 0)) + (X50 * IFERROR(IF(Y50&lt;&gt;"""",FILTER($G:$G,$C:$C=Y50),0), 0)) + (AA50 * IFERROR(IF(AB50&lt;&gt;"""",FILTER($G:$G,$C:$C=AB50),0), 0))"),441)</f>
        <v>441</v>
      </c>
      <c r="I50" s="27">
        <f t="shared" ca="1" si="0"/>
        <v>9</v>
      </c>
      <c r="J50" s="5">
        <v>15</v>
      </c>
      <c r="K50" s="5">
        <v>12</v>
      </c>
      <c r="L50" s="5">
        <f t="shared" si="4"/>
        <v>15</v>
      </c>
      <c r="M50" s="28">
        <f t="shared" si="1"/>
        <v>30</v>
      </c>
      <c r="N50" s="29">
        <f t="shared" ca="1" si="2"/>
        <v>0.6</v>
      </c>
      <c r="O50" s="5">
        <v>49</v>
      </c>
      <c r="P50" s="30">
        <f t="shared" si="3"/>
        <v>3.27</v>
      </c>
      <c r="Q50" s="31" t="s">
        <v>444</v>
      </c>
      <c r="R50" s="32">
        <v>1</v>
      </c>
      <c r="S50" s="33" t="s">
        <v>97</v>
      </c>
      <c r="T50" s="32"/>
      <c r="U50" s="32">
        <v>3</v>
      </c>
      <c r="V50" s="33" t="s">
        <v>107</v>
      </c>
      <c r="W50" s="32"/>
      <c r="X50" s="32">
        <v>3</v>
      </c>
      <c r="Y50" s="33" t="s">
        <v>30</v>
      </c>
      <c r="Z50" s="32"/>
      <c r="AA50" s="32">
        <v>1</v>
      </c>
      <c r="AB50" s="34" t="s">
        <v>108</v>
      </c>
      <c r="AC50" s="6"/>
      <c r="AD50" s="6"/>
      <c r="AE50" s="7"/>
    </row>
    <row r="51" spans="1:31" ht="12.75" x14ac:dyDescent="0.2">
      <c r="A51" s="22"/>
      <c r="B51" s="23" t="s">
        <v>92</v>
      </c>
      <c r="C51" s="24" t="s">
        <v>109</v>
      </c>
      <c r="D51" s="5">
        <v>65</v>
      </c>
      <c r="E51" s="5">
        <v>72</v>
      </c>
      <c r="F51" s="5">
        <v>259</v>
      </c>
      <c r="G51" s="25">
        <v>259</v>
      </c>
      <c r="H51" s="26">
        <f ca="1">IFERROR(__xludf.DUMMYFUNCTION("(R51 * IFERROR(IF(S51&lt;&gt;"""",FILTER($G:$G,$C:$C=S51),0), 0)) + (U51 * IFERROR(IF(V51&lt;&gt;"""",FILTER($G:$G,$C:$C=V51),0), 0)) + (X51 * IFERROR(IF(Y51&lt;&gt;"""",FILTER($G:$G,$C:$C=Y51),0), 0)) + (AA51 * IFERROR(IF(AB51&lt;&gt;"""",FILTER($G:$G,$C:$C=AB51),0), 0))"),226)</f>
        <v>226</v>
      </c>
      <c r="I51" s="27">
        <f t="shared" ca="1" si="0"/>
        <v>33</v>
      </c>
      <c r="J51" s="5">
        <v>75</v>
      </c>
      <c r="K51" s="5">
        <v>64</v>
      </c>
      <c r="L51" s="5">
        <f t="shared" si="4"/>
        <v>75</v>
      </c>
      <c r="M51" s="28">
        <f t="shared" si="1"/>
        <v>3.45</v>
      </c>
      <c r="N51" s="29">
        <f t="shared" ca="1" si="2"/>
        <v>0.44</v>
      </c>
      <c r="O51" s="5">
        <v>31</v>
      </c>
      <c r="P51" s="30">
        <f t="shared" si="3"/>
        <v>0.41</v>
      </c>
      <c r="Q51" s="31">
        <v>2</v>
      </c>
      <c r="R51" s="32">
        <v>3</v>
      </c>
      <c r="S51" s="33" t="s">
        <v>110</v>
      </c>
      <c r="T51" s="32"/>
      <c r="U51" s="32">
        <v>2</v>
      </c>
      <c r="V51" s="33" t="s">
        <v>26</v>
      </c>
      <c r="W51" s="32"/>
      <c r="X51" s="32">
        <v>2</v>
      </c>
      <c r="Y51" s="33" t="s">
        <v>96</v>
      </c>
      <c r="Z51" s="32"/>
      <c r="AA51" s="32">
        <v>4</v>
      </c>
      <c r="AB51" s="34" t="s">
        <v>22</v>
      </c>
      <c r="AC51" s="6"/>
      <c r="AD51" s="6"/>
      <c r="AE51" s="6"/>
    </row>
    <row r="52" spans="1:31" ht="12.75" x14ac:dyDescent="0.2">
      <c r="A52" s="22"/>
      <c r="B52" s="23" t="s">
        <v>92</v>
      </c>
      <c r="C52" s="24" t="s">
        <v>111</v>
      </c>
      <c r="D52" s="5">
        <v>68</v>
      </c>
      <c r="E52" s="5">
        <v>249</v>
      </c>
      <c r="F52" s="5">
        <v>896</v>
      </c>
      <c r="G52" s="25">
        <v>896</v>
      </c>
      <c r="H52" s="41">
        <f ca="1">IFERROR(__xludf.DUMMYFUNCTION("(R52 * IFERROR(IF(S52&lt;&gt;"""",FILTER($G:$G,$C:$C=S52),0), 0)) + (U52 * IFERROR(IF(V52&lt;&gt;"""",FILTER($G:$G,$C:$C=V52),0), 0)) + (X52 * IFERROR(IF(Y52&lt;&gt;"""",FILTER($G:$G,$C:$C=Y52),0), 0)) + (AA52 * IFERROR(IF(AB52&lt;&gt;"""",FILTER($G:$G,$C:$C=AB52),0), 0))"),851)</f>
        <v>851</v>
      </c>
      <c r="I52" s="30">
        <f t="shared" ca="1" si="0"/>
        <v>45</v>
      </c>
      <c r="J52" s="5">
        <v>150</v>
      </c>
      <c r="K52" s="5">
        <v>127</v>
      </c>
      <c r="L52" s="5">
        <f t="shared" si="4"/>
        <v>150</v>
      </c>
      <c r="M52" s="42">
        <f t="shared" si="1"/>
        <v>5.97</v>
      </c>
      <c r="N52" s="43">
        <f t="shared" ca="1" si="2"/>
        <v>0.3</v>
      </c>
      <c r="O52" s="5">
        <v>107</v>
      </c>
      <c r="P52" s="30">
        <f t="shared" si="3"/>
        <v>0.71</v>
      </c>
      <c r="Q52" s="31">
        <v>1</v>
      </c>
      <c r="R52" s="32">
        <v>2</v>
      </c>
      <c r="S52" s="33" t="s">
        <v>112</v>
      </c>
      <c r="T52" s="32"/>
      <c r="U52" s="32">
        <v>2</v>
      </c>
      <c r="V52" s="33" t="s">
        <v>26</v>
      </c>
      <c r="W52" s="32"/>
      <c r="X52" s="32">
        <v>3</v>
      </c>
      <c r="Y52" s="33" t="s">
        <v>22</v>
      </c>
      <c r="Z52" s="32"/>
      <c r="AA52" s="32">
        <v>1</v>
      </c>
      <c r="AB52" s="34" t="s">
        <v>71</v>
      </c>
      <c r="AC52" s="6"/>
      <c r="AD52" s="6"/>
      <c r="AE52" s="6"/>
    </row>
    <row r="53" spans="1:31" ht="12.75" x14ac:dyDescent="0.2">
      <c r="A53" s="22"/>
      <c r="B53" s="23" t="s">
        <v>92</v>
      </c>
      <c r="C53" s="24" t="s">
        <v>113</v>
      </c>
      <c r="D53" s="5">
        <v>89</v>
      </c>
      <c r="E53" s="5">
        <v>125</v>
      </c>
      <c r="F53" s="5">
        <v>450</v>
      </c>
      <c r="G53" s="25">
        <v>450</v>
      </c>
      <c r="H53" s="41">
        <f ca="1">IFERROR(__xludf.DUMMYFUNCTION("(R53 * IFERROR(IF(S53&lt;&gt;"""",FILTER($G:$G,$C:$C=S53),0), 0)) + (U53 * IFERROR(IF(V53&lt;&gt;"""",FILTER($G:$G,$C:$C=V53),0), 0)) + (X53 * IFERROR(IF(Y53&lt;&gt;"""",FILTER($G:$G,$C:$C=Y53),0), 0)) + (AA53 * IFERROR(IF(AB53&lt;&gt;"""",FILTER($G:$G,$C:$C=AB53),0), 0))"),403)</f>
        <v>403</v>
      </c>
      <c r="I53" s="30">
        <f t="shared" ca="1" si="0"/>
        <v>47</v>
      </c>
      <c r="J53" s="5">
        <v>180</v>
      </c>
      <c r="K53" s="5">
        <v>153</v>
      </c>
      <c r="L53" s="5">
        <f t="shared" si="4"/>
        <v>180</v>
      </c>
      <c r="M53" s="42">
        <f t="shared" si="1"/>
        <v>2.5</v>
      </c>
      <c r="N53" s="43">
        <f t="shared" ca="1" si="2"/>
        <v>0.26</v>
      </c>
      <c r="O53" s="5">
        <v>54</v>
      </c>
      <c r="P53" s="30">
        <f t="shared" si="3"/>
        <v>0.3</v>
      </c>
      <c r="Q53" s="31">
        <v>2</v>
      </c>
      <c r="R53" s="32">
        <v>3</v>
      </c>
      <c r="S53" s="33" t="s">
        <v>22</v>
      </c>
      <c r="T53" s="32"/>
      <c r="U53" s="32">
        <v>2</v>
      </c>
      <c r="V53" s="33" t="s">
        <v>49</v>
      </c>
      <c r="W53" s="32"/>
      <c r="X53" s="32">
        <v>2</v>
      </c>
      <c r="Y53" s="33" t="s">
        <v>114</v>
      </c>
      <c r="Z53" s="32"/>
      <c r="AA53" s="32">
        <v>2</v>
      </c>
      <c r="AB53" s="34" t="s">
        <v>96</v>
      </c>
      <c r="AC53" s="6"/>
      <c r="AD53" s="6"/>
      <c r="AE53" s="6"/>
    </row>
    <row r="54" spans="1:31" ht="12.75" x14ac:dyDescent="0.2">
      <c r="A54" s="22"/>
      <c r="B54" s="35" t="s">
        <v>92</v>
      </c>
      <c r="C54" s="36" t="s">
        <v>115</v>
      </c>
      <c r="D54" s="8">
        <v>95</v>
      </c>
      <c r="E54" s="8">
        <v>168</v>
      </c>
      <c r="F54" s="8">
        <v>604</v>
      </c>
      <c r="G54" s="37">
        <v>604</v>
      </c>
      <c r="H54" s="26">
        <f ca="1">IFERROR(__xludf.DUMMYFUNCTION("(R54 * IFERROR(IF(S54&lt;&gt;"""",FILTER($G:$G,$C:$C=S54),0), 0)) + (U54 * IFERROR(IF(V54&lt;&gt;"""",FILTER($G:$G,$C:$C=V54),0), 0)) + (X54 * IFERROR(IF(Y54&lt;&gt;"""",FILTER($G:$G,$C:$C=Y54),0), 0)) + (AA54 * IFERROR(IF(AB54&lt;&gt;"""",FILTER($G:$G,$C:$C=AB54),0), 0))"),585)</f>
        <v>585</v>
      </c>
      <c r="I54" s="27">
        <f t="shared" ca="1" si="0"/>
        <v>19</v>
      </c>
      <c r="J54" s="8">
        <v>90</v>
      </c>
      <c r="K54" s="8">
        <v>76</v>
      </c>
      <c r="L54" s="5">
        <f t="shared" si="4"/>
        <v>90</v>
      </c>
      <c r="M54" s="28">
        <f t="shared" si="1"/>
        <v>6.71</v>
      </c>
      <c r="N54" s="29">
        <f t="shared" ca="1" si="2"/>
        <v>0.21</v>
      </c>
      <c r="O54" s="8">
        <v>72</v>
      </c>
      <c r="P54" s="27">
        <f t="shared" si="3"/>
        <v>0.8</v>
      </c>
      <c r="Q54" s="38">
        <v>1</v>
      </c>
      <c r="R54" s="46">
        <v>5</v>
      </c>
      <c r="S54" s="34" t="s">
        <v>54</v>
      </c>
      <c r="T54" s="46"/>
      <c r="U54" s="46">
        <v>1</v>
      </c>
      <c r="V54" s="34" t="s">
        <v>71</v>
      </c>
      <c r="W54" s="46"/>
      <c r="X54" s="46">
        <v>3</v>
      </c>
      <c r="Y54" s="34" t="s">
        <v>22</v>
      </c>
      <c r="Z54" s="46"/>
      <c r="AA54" s="46">
        <v>3</v>
      </c>
      <c r="AB54" s="34" t="s">
        <v>116</v>
      </c>
      <c r="AC54" s="7"/>
      <c r="AD54" s="7"/>
      <c r="AE54" s="7"/>
    </row>
    <row r="55" spans="1:31" ht="12.75" x14ac:dyDescent="0.2">
      <c r="A55" s="22"/>
      <c r="B55" s="39" t="s">
        <v>117</v>
      </c>
      <c r="C55" s="40" t="s">
        <v>118</v>
      </c>
      <c r="D55" s="5">
        <v>48</v>
      </c>
      <c r="E55" s="5">
        <v>103</v>
      </c>
      <c r="F55" s="5">
        <v>370</v>
      </c>
      <c r="G55" s="25">
        <v>370</v>
      </c>
      <c r="H55" s="26">
        <f ca="1">IFERROR(__xludf.DUMMYFUNCTION("(R55 * IFERROR(IF(S55&lt;&gt;"""",FILTER($G:$G,$C:$C=S55),0), 0)) + (U55 * IFERROR(IF(V55&lt;&gt;"""",FILTER($G:$G,$C:$C=V55),0), 0)) + (X55 * IFERROR(IF(Y55&lt;&gt;"""",FILTER($G:$G,$C:$C=Y55),0), 0)) + (AA55 * IFERROR(IF(AB55&lt;&gt;"""",FILTER($G:$G,$C:$C=AB55),0), 0))"),334)</f>
        <v>334</v>
      </c>
      <c r="I55" s="27">
        <f t="shared" ca="1" si="0"/>
        <v>36</v>
      </c>
      <c r="J55" s="5">
        <v>120</v>
      </c>
      <c r="K55" s="5">
        <v>102</v>
      </c>
      <c r="L55" s="5">
        <f t="shared" si="4"/>
        <v>120</v>
      </c>
      <c r="M55" s="28">
        <f t="shared" si="1"/>
        <v>3.08</v>
      </c>
      <c r="N55" s="29">
        <f t="shared" ca="1" si="2"/>
        <v>0.3</v>
      </c>
      <c r="O55" s="5">
        <v>44</v>
      </c>
      <c r="P55" s="30">
        <f t="shared" si="3"/>
        <v>0.37</v>
      </c>
      <c r="Q55" s="31" t="s">
        <v>450</v>
      </c>
      <c r="R55" s="32">
        <v>1</v>
      </c>
      <c r="S55" s="33" t="s">
        <v>119</v>
      </c>
      <c r="T55" s="32"/>
      <c r="U55" s="32">
        <v>2</v>
      </c>
      <c r="V55" s="33" t="s">
        <v>100</v>
      </c>
      <c r="W55" s="33"/>
      <c r="X55" s="33"/>
      <c r="Y55" s="33"/>
      <c r="Z55" s="33"/>
      <c r="AA55" s="33"/>
      <c r="AB55" s="34"/>
      <c r="AC55" s="6"/>
      <c r="AD55" s="6"/>
      <c r="AE55" s="7"/>
    </row>
    <row r="56" spans="1:31" ht="12.75" x14ac:dyDescent="0.2">
      <c r="A56" s="22"/>
      <c r="B56" s="39" t="s">
        <v>117</v>
      </c>
      <c r="C56" s="40" t="s">
        <v>120</v>
      </c>
      <c r="D56" s="5">
        <v>52</v>
      </c>
      <c r="E56" s="5">
        <v>100</v>
      </c>
      <c r="F56" s="5">
        <v>360</v>
      </c>
      <c r="G56" s="25">
        <v>360</v>
      </c>
      <c r="H56" s="26">
        <f ca="1">IFERROR(__xludf.DUMMYFUNCTION("(R56 * IFERROR(IF(S56&lt;&gt;"""",FILTER($G:$G,$C:$C=S56),0), 0)) + (U56 * IFERROR(IF(V56&lt;&gt;"""",FILTER($G:$G,$C:$C=V56),0), 0)) + (X56 * IFERROR(IF(Y56&lt;&gt;"""",FILTER($G:$G,$C:$C=Y56),0), 0)) + (AA56 * IFERROR(IF(AB56&lt;&gt;"""",FILTER($G:$G,$C:$C=AB56),0), 0))"),326)</f>
        <v>326</v>
      </c>
      <c r="I56" s="27">
        <f t="shared" ca="1" si="0"/>
        <v>34</v>
      </c>
      <c r="J56" s="5">
        <v>105</v>
      </c>
      <c r="K56" s="5">
        <v>89</v>
      </c>
      <c r="L56" s="5">
        <f t="shared" si="4"/>
        <v>105</v>
      </c>
      <c r="M56" s="28">
        <f t="shared" si="1"/>
        <v>3.43</v>
      </c>
      <c r="N56" s="29">
        <f t="shared" ca="1" si="2"/>
        <v>0.32</v>
      </c>
      <c r="O56" s="5">
        <v>43</v>
      </c>
      <c r="P56" s="30">
        <f t="shared" si="3"/>
        <v>0.41</v>
      </c>
      <c r="Q56" s="31" t="s">
        <v>450</v>
      </c>
      <c r="R56" s="32">
        <v>1</v>
      </c>
      <c r="S56" s="33" t="s">
        <v>119</v>
      </c>
      <c r="T56" s="32"/>
      <c r="U56" s="32">
        <v>2</v>
      </c>
      <c r="V56" s="33" t="s">
        <v>30</v>
      </c>
      <c r="W56" s="33"/>
      <c r="X56" s="33"/>
      <c r="Y56" s="33"/>
      <c r="Z56" s="33"/>
      <c r="AA56" s="33"/>
      <c r="AB56" s="34"/>
      <c r="AC56" s="6"/>
      <c r="AD56" s="6"/>
      <c r="AE56" s="7"/>
    </row>
    <row r="57" spans="1:31" ht="12.75" x14ac:dyDescent="0.2">
      <c r="A57" s="22"/>
      <c r="B57" s="39" t="s">
        <v>117</v>
      </c>
      <c r="C57" s="40" t="s">
        <v>121</v>
      </c>
      <c r="D57" s="5">
        <v>72</v>
      </c>
      <c r="E57" s="5">
        <v>127</v>
      </c>
      <c r="F57" s="5">
        <v>457</v>
      </c>
      <c r="G57" s="25">
        <v>457</v>
      </c>
      <c r="H57" s="26">
        <f ca="1">IFERROR(__xludf.DUMMYFUNCTION("(R57 * IFERROR(IF(S57&lt;&gt;"""",FILTER($G:$G,$C:$C=S57),0), 0)) + (U57 * IFERROR(IF(V57&lt;&gt;"""",FILTER($G:$G,$C:$C=V57),0), 0)) + (X57 * IFERROR(IF(Y57&lt;&gt;"""",FILTER($G:$G,$C:$C=Y57),0), 0)) + (AA57 * IFERROR(IF(AB57&lt;&gt;"""",FILTER($G:$G,$C:$C=AB57),0), 0))"),420)</f>
        <v>420</v>
      </c>
      <c r="I57" s="27">
        <f t="shared" ca="1" si="0"/>
        <v>37</v>
      </c>
      <c r="J57" s="5">
        <v>135</v>
      </c>
      <c r="K57" s="5">
        <v>114</v>
      </c>
      <c r="L57" s="5">
        <f t="shared" si="4"/>
        <v>135</v>
      </c>
      <c r="M57" s="28">
        <f t="shared" si="1"/>
        <v>3.39</v>
      </c>
      <c r="N57" s="29">
        <f t="shared" ca="1" si="2"/>
        <v>0.27</v>
      </c>
      <c r="O57" s="5">
        <v>55</v>
      </c>
      <c r="P57" s="30">
        <f t="shared" si="3"/>
        <v>0.41</v>
      </c>
      <c r="Q57" s="31">
        <v>2</v>
      </c>
      <c r="R57" s="32">
        <v>1</v>
      </c>
      <c r="S57" s="33" t="s">
        <v>119</v>
      </c>
      <c r="T57" s="32"/>
      <c r="U57" s="32">
        <v>2</v>
      </c>
      <c r="V57" s="33" t="s">
        <v>58</v>
      </c>
      <c r="W57" s="33"/>
      <c r="X57" s="33"/>
      <c r="Y57" s="33"/>
      <c r="Z57" s="33"/>
      <c r="AA57" s="33"/>
      <c r="AB57" s="34"/>
      <c r="AC57" s="6"/>
      <c r="AD57" s="6"/>
      <c r="AE57" s="7"/>
    </row>
    <row r="58" spans="1:31" ht="12.75" x14ac:dyDescent="0.2">
      <c r="A58" s="22"/>
      <c r="B58" s="39" t="s">
        <v>117</v>
      </c>
      <c r="C58" s="40" t="s">
        <v>451</v>
      </c>
      <c r="D58" s="5">
        <v>84</v>
      </c>
      <c r="E58" s="5">
        <v>90</v>
      </c>
      <c r="F58" s="5">
        <v>324</v>
      </c>
      <c r="G58" s="25">
        <v>324</v>
      </c>
      <c r="H58" s="26">
        <f ca="1">IFERROR(__xludf.DUMMYFUNCTION("(R58 * IFERROR(IF(S58&lt;&gt;"""",FILTER($G:$G,$C:$C=S58),0), 0)) + (U58 * IFERROR(IF(V58&lt;&gt;"""",FILTER($G:$G,$C:$C=V58),0), 0)) + (X58 * IFERROR(IF(Y58&lt;&gt;"""",FILTER($G:$G,$C:$C=Y58),0), 0)) + (AA58 * IFERROR(IF(AB58&lt;&gt;"""",FILTER($G:$G,$C:$C=AB58),0), 0))"),287)</f>
        <v>287</v>
      </c>
      <c r="I58" s="27">
        <f t="shared" ca="1" si="0"/>
        <v>37</v>
      </c>
      <c r="J58" s="5">
        <v>110</v>
      </c>
      <c r="K58" s="5">
        <v>93</v>
      </c>
      <c r="L58" s="5">
        <f t="shared" si="4"/>
        <v>110</v>
      </c>
      <c r="M58" s="28">
        <f t="shared" si="1"/>
        <v>2.95</v>
      </c>
      <c r="N58" s="29">
        <f t="shared" ca="1" si="2"/>
        <v>0.34</v>
      </c>
      <c r="O58" s="5">
        <v>39</v>
      </c>
      <c r="P58" s="30">
        <f t="shared" si="3"/>
        <v>0.35</v>
      </c>
      <c r="Q58" s="31" t="s">
        <v>452</v>
      </c>
      <c r="R58" s="32">
        <v>1</v>
      </c>
      <c r="S58" s="33" t="s">
        <v>119</v>
      </c>
      <c r="T58" s="32"/>
      <c r="U58" s="32">
        <v>1</v>
      </c>
      <c r="V58" s="33" t="s">
        <v>30</v>
      </c>
      <c r="W58" s="32"/>
      <c r="X58" s="32">
        <v>1</v>
      </c>
      <c r="Y58" s="33" t="s">
        <v>80</v>
      </c>
      <c r="Z58" s="33"/>
      <c r="AA58" s="33"/>
      <c r="AB58" s="34"/>
      <c r="AC58" s="6"/>
      <c r="AD58" s="6"/>
      <c r="AE58" s="7"/>
    </row>
    <row r="59" spans="1:31" ht="12.75" x14ac:dyDescent="0.2">
      <c r="A59" s="22"/>
      <c r="B59" s="44" t="s">
        <v>117</v>
      </c>
      <c r="C59" s="45" t="s">
        <v>123</v>
      </c>
      <c r="D59" s="8">
        <v>95</v>
      </c>
      <c r="E59" s="8">
        <v>123</v>
      </c>
      <c r="F59" s="8">
        <v>442</v>
      </c>
      <c r="G59" s="37">
        <v>442</v>
      </c>
      <c r="H59" s="26">
        <f ca="1">IFERROR(__xludf.DUMMYFUNCTION("(R59 * IFERROR(IF(S59&lt;&gt;"""",FILTER($G:$G,$C:$C=S59),0), 0)) + (U59 * IFERROR(IF(V59&lt;&gt;"""",FILTER($G:$G,$C:$C=V59),0), 0)) + (X59 * IFERROR(IF(Y59&lt;&gt;"""",FILTER($G:$G,$C:$C=Y59),0), 0)) + (AA59 * IFERROR(IF(AB59&lt;&gt;"""",FILTER($G:$G,$C:$C=AB59),0), 0))"),398)</f>
        <v>398</v>
      </c>
      <c r="I59" s="27">
        <f t="shared" ca="1" si="0"/>
        <v>44</v>
      </c>
      <c r="J59" s="8">
        <v>120</v>
      </c>
      <c r="K59" s="8">
        <v>102</v>
      </c>
      <c r="L59" s="5">
        <f t="shared" si="4"/>
        <v>120</v>
      </c>
      <c r="M59" s="28">
        <f t="shared" si="1"/>
        <v>3.68</v>
      </c>
      <c r="N59" s="29">
        <f t="shared" ca="1" si="2"/>
        <v>0.37</v>
      </c>
      <c r="O59" s="8">
        <v>53</v>
      </c>
      <c r="P59" s="27">
        <f t="shared" si="3"/>
        <v>0.44</v>
      </c>
      <c r="Q59" s="38">
        <v>2</v>
      </c>
      <c r="R59" s="46">
        <v>1</v>
      </c>
      <c r="S59" s="34" t="s">
        <v>119</v>
      </c>
      <c r="T59" s="46"/>
      <c r="U59" s="46">
        <v>2</v>
      </c>
      <c r="V59" s="34" t="s">
        <v>124</v>
      </c>
      <c r="W59" s="46"/>
      <c r="X59" s="46">
        <v>2</v>
      </c>
      <c r="Y59" s="34" t="s">
        <v>125</v>
      </c>
      <c r="Z59" s="46"/>
      <c r="AA59" s="46">
        <v>2</v>
      </c>
      <c r="AB59" s="34" t="s">
        <v>126</v>
      </c>
      <c r="AC59" s="7"/>
      <c r="AD59" s="7"/>
      <c r="AE59" s="7"/>
    </row>
    <row r="60" spans="1:31" ht="12.75" x14ac:dyDescent="0.2">
      <c r="A60" s="22"/>
      <c r="B60" s="23" t="s">
        <v>127</v>
      </c>
      <c r="C60" s="24" t="s">
        <v>128</v>
      </c>
      <c r="D60" s="5">
        <v>51</v>
      </c>
      <c r="E60" s="5">
        <v>71</v>
      </c>
      <c r="F60" s="5">
        <v>255</v>
      </c>
      <c r="G60" s="25">
        <v>255</v>
      </c>
      <c r="H60" s="26">
        <f ca="1">IFERROR(__xludf.DUMMYFUNCTION("(R60 * IFERROR(IF(S60&lt;&gt;"""",FILTER($G:$G,$C:$C=S60),0), 0)) + (U60 * IFERROR(IF(V60&lt;&gt;"""",FILTER($G:$G,$C:$C=V60),0), 0)) + (X60 * IFERROR(IF(Y60&lt;&gt;"""",FILTER($G:$G,$C:$C=Y60),0), 0)) + (AA60 * IFERROR(IF(AB60&lt;&gt;"""",FILTER($G:$G,$C:$C=AB60),0), 0))"),219)</f>
        <v>219</v>
      </c>
      <c r="I60" s="27">
        <f t="shared" ca="1" si="0"/>
        <v>36</v>
      </c>
      <c r="J60" s="5">
        <v>120</v>
      </c>
      <c r="K60" s="5">
        <v>102</v>
      </c>
      <c r="L60" s="5">
        <f t="shared" si="4"/>
        <v>120</v>
      </c>
      <c r="M60" s="28">
        <f t="shared" si="1"/>
        <v>2.13</v>
      </c>
      <c r="N60" s="29">
        <f t="shared" ca="1" si="2"/>
        <v>0.3</v>
      </c>
      <c r="O60" s="5">
        <v>31</v>
      </c>
      <c r="P60" s="30">
        <f t="shared" si="3"/>
        <v>0.26</v>
      </c>
      <c r="Q60" s="31"/>
      <c r="R60" s="32">
        <v>1</v>
      </c>
      <c r="S60" s="33" t="s">
        <v>105</v>
      </c>
      <c r="T60" s="32"/>
      <c r="U60" s="32">
        <v>2</v>
      </c>
      <c r="V60" s="33" t="s">
        <v>47</v>
      </c>
      <c r="W60" s="33"/>
      <c r="X60" s="33"/>
      <c r="Y60" s="33"/>
      <c r="Z60" s="33"/>
      <c r="AA60" s="33"/>
      <c r="AB60" s="34"/>
      <c r="AC60" s="6"/>
      <c r="AD60" s="6"/>
      <c r="AE60" s="7"/>
    </row>
    <row r="61" spans="1:31" ht="12.75" x14ac:dyDescent="0.2">
      <c r="A61" s="22"/>
      <c r="B61" s="23" t="s">
        <v>127</v>
      </c>
      <c r="C61" s="24" t="s">
        <v>129</v>
      </c>
      <c r="D61" s="5">
        <v>52</v>
      </c>
      <c r="E61" s="5">
        <v>49</v>
      </c>
      <c r="F61" s="5">
        <v>176</v>
      </c>
      <c r="G61" s="25">
        <v>176</v>
      </c>
      <c r="H61" s="26">
        <f ca="1">IFERROR(__xludf.DUMMYFUNCTION("(R61 * IFERROR(IF(S61&lt;&gt;"""",FILTER($G:$G,$C:$C=S61),0), 0)) + (U61 * IFERROR(IF(V61&lt;&gt;"""",FILTER($G:$G,$C:$C=V61),0), 0)) + (X61 * IFERROR(IF(Y61&lt;&gt;"""",FILTER($G:$G,$C:$C=Y61),0), 0)) + (AA61 * IFERROR(IF(AB61&lt;&gt;"""",FILTER($G:$G,$C:$C=AB61),0), 0))"),135)</f>
        <v>135</v>
      </c>
      <c r="I61" s="27">
        <f t="shared" ca="1" si="0"/>
        <v>41</v>
      </c>
      <c r="J61" s="5">
        <v>90</v>
      </c>
      <c r="K61" s="5">
        <v>76</v>
      </c>
      <c r="L61" s="5">
        <f t="shared" si="4"/>
        <v>90</v>
      </c>
      <c r="M61" s="28">
        <f t="shared" si="1"/>
        <v>1.96</v>
      </c>
      <c r="N61" s="29">
        <f t="shared" ca="1" si="2"/>
        <v>0.46</v>
      </c>
      <c r="O61" s="5">
        <v>21</v>
      </c>
      <c r="P61" s="30">
        <f t="shared" si="3"/>
        <v>0.23</v>
      </c>
      <c r="Q61" s="31"/>
      <c r="R61" s="32">
        <v>1</v>
      </c>
      <c r="S61" s="33" t="s">
        <v>41</v>
      </c>
      <c r="T61" s="32"/>
      <c r="U61" s="32">
        <v>1</v>
      </c>
      <c r="V61" s="33" t="s">
        <v>40</v>
      </c>
      <c r="W61" s="32"/>
      <c r="X61" s="32">
        <v>1</v>
      </c>
      <c r="Y61" s="33" t="s">
        <v>22</v>
      </c>
      <c r="Z61" s="33"/>
      <c r="AA61" s="33"/>
      <c r="AB61" s="34"/>
      <c r="AC61" s="6"/>
      <c r="AD61" s="6"/>
      <c r="AE61" s="7"/>
    </row>
    <row r="62" spans="1:31" ht="12.75" x14ac:dyDescent="0.2">
      <c r="A62" s="22"/>
      <c r="B62" s="23" t="s">
        <v>127</v>
      </c>
      <c r="C62" s="24" t="s">
        <v>130</v>
      </c>
      <c r="D62" s="5">
        <v>54</v>
      </c>
      <c r="E62" s="5">
        <v>128</v>
      </c>
      <c r="F62" s="5">
        <v>460</v>
      </c>
      <c r="G62" s="25">
        <v>460</v>
      </c>
      <c r="H62" s="26">
        <f ca="1">IFERROR(__xludf.DUMMYFUNCTION("(R62 * IFERROR(IF(S62&lt;&gt;"""",FILTER($G:$G,$C:$C=S62),0), 0)) + (U62 * IFERROR(IF(V62&lt;&gt;"""",FILTER($G:$G,$C:$C=V62),0), 0)) + (X62 * IFERROR(IF(Y62&lt;&gt;"""",FILTER($G:$G,$C:$C=Y62),0), 0)) + (AA62 * IFERROR(IF(AB62&lt;&gt;"""",FILTER($G:$G,$C:$C=AB62),0), 0))"),358)</f>
        <v>358</v>
      </c>
      <c r="I62" s="27">
        <f t="shared" ca="1" si="0"/>
        <v>102</v>
      </c>
      <c r="J62" s="5">
        <v>1200</v>
      </c>
      <c r="K62" s="5">
        <v>1020</v>
      </c>
      <c r="L62" s="5">
        <f t="shared" si="4"/>
        <v>1200</v>
      </c>
      <c r="M62" s="28">
        <f t="shared" si="1"/>
        <v>0.38</v>
      </c>
      <c r="N62" s="29">
        <f t="shared" ca="1" si="2"/>
        <v>0.09</v>
      </c>
      <c r="O62" s="5">
        <v>55</v>
      </c>
      <c r="P62" s="30">
        <f t="shared" si="3"/>
        <v>0.05</v>
      </c>
      <c r="Q62" s="31"/>
      <c r="R62" s="32">
        <v>3</v>
      </c>
      <c r="S62" s="33" t="s">
        <v>54</v>
      </c>
      <c r="T62" s="32"/>
      <c r="U62" s="32">
        <v>1</v>
      </c>
      <c r="V62" s="33" t="s">
        <v>40</v>
      </c>
      <c r="W62" s="32"/>
      <c r="X62" s="32">
        <v>1</v>
      </c>
      <c r="Y62" s="33" t="s">
        <v>71</v>
      </c>
      <c r="Z62" s="33"/>
      <c r="AA62" s="33"/>
      <c r="AB62" s="34"/>
      <c r="AC62" s="6"/>
      <c r="AD62" s="6"/>
      <c r="AE62" s="7"/>
    </row>
    <row r="63" spans="1:31" ht="12.75" x14ac:dyDescent="0.2">
      <c r="A63" s="22"/>
      <c r="B63" s="23" t="s">
        <v>127</v>
      </c>
      <c r="C63" s="24" t="s">
        <v>131</v>
      </c>
      <c r="D63" s="5">
        <v>57</v>
      </c>
      <c r="E63" s="5">
        <v>95</v>
      </c>
      <c r="F63" s="5">
        <v>342</v>
      </c>
      <c r="G63" s="25">
        <v>342</v>
      </c>
      <c r="H63" s="26">
        <f ca="1">IFERROR(__xludf.DUMMYFUNCTION("(R63 * IFERROR(IF(S63&lt;&gt;"""",FILTER($G:$G,$C:$C=S63),0), 0)) + (U63 * IFERROR(IF(V63&lt;&gt;"""",FILTER($G:$G,$C:$C=V63),0), 0)) + (X63 * IFERROR(IF(Y63&lt;&gt;"""",FILTER($G:$G,$C:$C=Y63),0), 0)) + (AA63 * IFERROR(IF(AB63&lt;&gt;"""",FILTER($G:$G,$C:$C=AB63),0), 0))"),258)</f>
        <v>258</v>
      </c>
      <c r="I63" s="27">
        <f t="shared" ca="1" si="0"/>
        <v>84</v>
      </c>
      <c r="J63" s="5">
        <v>720</v>
      </c>
      <c r="K63" s="5">
        <v>612</v>
      </c>
      <c r="L63" s="5">
        <f t="shared" si="4"/>
        <v>720</v>
      </c>
      <c r="M63" s="28">
        <f t="shared" si="1"/>
        <v>0.48</v>
      </c>
      <c r="N63" s="29">
        <f t="shared" ca="1" si="2"/>
        <v>0.12</v>
      </c>
      <c r="O63" s="5">
        <v>41</v>
      </c>
      <c r="P63" s="30">
        <f t="shared" si="3"/>
        <v>0.06</v>
      </c>
      <c r="Q63" s="31"/>
      <c r="R63" s="32">
        <v>1</v>
      </c>
      <c r="S63" s="33" t="s">
        <v>47</v>
      </c>
      <c r="T63" s="32"/>
      <c r="U63" s="32">
        <v>1</v>
      </c>
      <c r="V63" s="33" t="s">
        <v>96</v>
      </c>
      <c r="W63" s="32"/>
      <c r="X63" s="32">
        <v>2</v>
      </c>
      <c r="Y63" s="33" t="s">
        <v>100</v>
      </c>
      <c r="Z63" s="33"/>
      <c r="AA63" s="33"/>
      <c r="AB63" s="34"/>
      <c r="AC63" s="6"/>
      <c r="AD63" s="6"/>
      <c r="AE63" s="7"/>
    </row>
    <row r="64" spans="1:31" ht="12.75" x14ac:dyDescent="0.2">
      <c r="A64" s="22"/>
      <c r="B64" s="23" t="s">
        <v>127</v>
      </c>
      <c r="C64" s="24" t="s">
        <v>132</v>
      </c>
      <c r="D64" s="5">
        <v>60</v>
      </c>
      <c r="E64" s="5">
        <v>190</v>
      </c>
      <c r="F64" s="5">
        <v>684</v>
      </c>
      <c r="G64" s="25">
        <v>684</v>
      </c>
      <c r="H64" s="26">
        <f ca="1">IFERROR(__xludf.DUMMYFUNCTION("(R64 * IFERROR(IF(S64&lt;&gt;"""",FILTER($G:$G,$C:$C=S64),0), 0)) + (U64 * IFERROR(IF(V64&lt;&gt;"""",FILTER($G:$G,$C:$C=V64),0), 0)) + (X64 * IFERROR(IF(Y64&lt;&gt;"""",FILTER($G:$G,$C:$C=Y64),0), 0)) + (AA64 * IFERROR(IF(AB64&lt;&gt;"""",FILTER($G:$G,$C:$C=AB64),0), 0))"),690)</f>
        <v>690</v>
      </c>
      <c r="I64" s="27">
        <f t="shared" ca="1" si="0"/>
        <v>-6</v>
      </c>
      <c r="J64" s="5">
        <v>1440</v>
      </c>
      <c r="K64" s="5">
        <v>1224</v>
      </c>
      <c r="L64" s="5">
        <f t="shared" si="4"/>
        <v>1440</v>
      </c>
      <c r="M64" s="28">
        <f t="shared" si="1"/>
        <v>0.48</v>
      </c>
      <c r="N64" s="29">
        <f t="shared" ca="1" si="2"/>
        <v>0</v>
      </c>
      <c r="O64" s="5">
        <v>81</v>
      </c>
      <c r="P64" s="30">
        <f t="shared" si="3"/>
        <v>0.06</v>
      </c>
      <c r="Q64" s="31"/>
      <c r="R64" s="32">
        <v>1</v>
      </c>
      <c r="S64" s="33" t="s">
        <v>133</v>
      </c>
      <c r="T64" s="32"/>
      <c r="U64" s="32">
        <v>1</v>
      </c>
      <c r="V64" s="33" t="s">
        <v>40</v>
      </c>
      <c r="W64" s="32"/>
      <c r="X64" s="32">
        <v>1</v>
      </c>
      <c r="Y64" s="33" t="s">
        <v>134</v>
      </c>
      <c r="Z64" s="33"/>
      <c r="AA64" s="33"/>
      <c r="AB64" s="34"/>
      <c r="AC64" s="6"/>
      <c r="AD64" s="6"/>
      <c r="AE64" s="7"/>
    </row>
    <row r="65" spans="1:31" ht="12.75" x14ac:dyDescent="0.2">
      <c r="A65" s="22"/>
      <c r="B65" s="23" t="s">
        <v>127</v>
      </c>
      <c r="C65" s="24" t="s">
        <v>135</v>
      </c>
      <c r="D65" s="5">
        <v>63</v>
      </c>
      <c r="E65" s="5">
        <v>130</v>
      </c>
      <c r="F65" s="5">
        <v>468</v>
      </c>
      <c r="G65" s="25">
        <v>468</v>
      </c>
      <c r="H65" s="26">
        <f ca="1">IFERROR(__xludf.DUMMYFUNCTION("(R65 * IFERROR(IF(S65&lt;&gt;"""",FILTER($G:$G,$C:$C=S65),0), 0)) + (U65 * IFERROR(IF(V65&lt;&gt;"""",FILTER($G:$G,$C:$C=V65),0), 0)) + (X65 * IFERROR(IF(Y65&lt;&gt;"""",FILTER($G:$G,$C:$C=Y65),0), 0)) + (AA65 * IFERROR(IF(AB65&lt;&gt;"""",FILTER($G:$G,$C:$C=AB65),0), 0))"),388)</f>
        <v>388</v>
      </c>
      <c r="I65" s="27">
        <f t="shared" ca="1" si="0"/>
        <v>80</v>
      </c>
      <c r="J65" s="5">
        <v>40</v>
      </c>
      <c r="K65" s="5">
        <v>34</v>
      </c>
      <c r="L65" s="5">
        <f t="shared" si="4"/>
        <v>40</v>
      </c>
      <c r="M65" s="28">
        <f t="shared" si="1"/>
        <v>11.7</v>
      </c>
      <c r="N65" s="29">
        <f t="shared" ca="1" si="2"/>
        <v>2</v>
      </c>
      <c r="O65" s="5">
        <v>64</v>
      </c>
      <c r="P65" s="30">
        <f t="shared" si="3"/>
        <v>1.6</v>
      </c>
      <c r="Q65" s="31"/>
      <c r="R65" s="32">
        <v>1</v>
      </c>
      <c r="S65" s="33" t="s">
        <v>62</v>
      </c>
      <c r="T65" s="32"/>
      <c r="U65" s="32">
        <v>1</v>
      </c>
      <c r="V65" s="33" t="s">
        <v>136</v>
      </c>
      <c r="W65" s="33"/>
      <c r="X65" s="33"/>
      <c r="Y65" s="33"/>
      <c r="Z65" s="33"/>
      <c r="AA65" s="33"/>
      <c r="AB65" s="34"/>
      <c r="AC65" s="6"/>
      <c r="AD65" s="6"/>
      <c r="AE65" s="7"/>
    </row>
    <row r="66" spans="1:31" ht="12.75" x14ac:dyDescent="0.2">
      <c r="A66" s="22"/>
      <c r="B66" s="23" t="s">
        <v>127</v>
      </c>
      <c r="C66" s="24" t="s">
        <v>137</v>
      </c>
      <c r="D66" s="5">
        <v>75</v>
      </c>
      <c r="E66" s="5">
        <v>63</v>
      </c>
      <c r="F66" s="5">
        <v>226</v>
      </c>
      <c r="G66" s="25">
        <v>226</v>
      </c>
      <c r="H66" s="26">
        <f ca="1">IFERROR(__xludf.DUMMYFUNCTION("(R66 * IFERROR(IF(S66&lt;&gt;"""",FILTER($G:$G,$C:$C=S66),0), 0)) + (U66 * IFERROR(IF(V66&lt;&gt;"""",FILTER($G:$G,$C:$C=V66),0), 0)) + (X66 * IFERROR(IF(Y66&lt;&gt;"""",FILTER($G:$G,$C:$C=Y66),0), 0)) + (AA66 * IFERROR(IF(AB66&lt;&gt;"""",FILTER($G:$G,$C:$C=AB66),0), 0))"),200)</f>
        <v>200</v>
      </c>
      <c r="I66" s="27">
        <f t="shared" ca="1" si="0"/>
        <v>26</v>
      </c>
      <c r="J66" s="5">
        <v>30</v>
      </c>
      <c r="K66" s="5">
        <v>25</v>
      </c>
      <c r="L66" s="5">
        <f t="shared" si="4"/>
        <v>30</v>
      </c>
      <c r="M66" s="28">
        <f t="shared" si="1"/>
        <v>7.53</v>
      </c>
      <c r="N66" s="29">
        <f t="shared" ca="1" si="2"/>
        <v>0.87</v>
      </c>
      <c r="O66" s="5">
        <v>27</v>
      </c>
      <c r="P66" s="30">
        <f t="shared" si="3"/>
        <v>0.9</v>
      </c>
      <c r="Q66" s="31"/>
      <c r="R66" s="32">
        <v>3</v>
      </c>
      <c r="S66" s="33" t="s">
        <v>40</v>
      </c>
      <c r="T66" s="32"/>
      <c r="U66" s="32">
        <v>1</v>
      </c>
      <c r="V66" s="33" t="s">
        <v>100</v>
      </c>
      <c r="W66" s="33"/>
      <c r="X66" s="33"/>
      <c r="Y66" s="33"/>
      <c r="Z66" s="33"/>
      <c r="AA66" s="33"/>
      <c r="AB66" s="34"/>
      <c r="AC66" s="6"/>
      <c r="AD66" s="6"/>
      <c r="AE66" s="7"/>
    </row>
    <row r="67" spans="1:31" ht="12.75" x14ac:dyDescent="0.2">
      <c r="A67" s="22"/>
      <c r="B67" s="35" t="s">
        <v>127</v>
      </c>
      <c r="C67" s="36" t="s">
        <v>138</v>
      </c>
      <c r="D67" s="8">
        <v>78</v>
      </c>
      <c r="E67" s="8">
        <v>75</v>
      </c>
      <c r="F67" s="8">
        <v>270</v>
      </c>
      <c r="G67" s="37">
        <v>270</v>
      </c>
      <c r="H67" s="26">
        <f ca="1">IFERROR(__xludf.DUMMYFUNCTION("(R67 * IFERROR(IF(S67&lt;&gt;"""",FILTER($G:$G,$C:$C=S67),0), 0)) + (U67 * IFERROR(IF(V67&lt;&gt;"""",FILTER($G:$G,$C:$C=V67),0), 0)) + (X67 * IFERROR(IF(Y67&lt;&gt;"""",FILTER($G:$G,$C:$C=Y67),0), 0)) + (AA67 * IFERROR(IF(AB67&lt;&gt;"""",FILTER($G:$G,$C:$C=AB67),0), 0))"),236)</f>
        <v>236</v>
      </c>
      <c r="I67" s="27">
        <f t="shared" ca="1" si="0"/>
        <v>34</v>
      </c>
      <c r="J67" s="8">
        <v>60</v>
      </c>
      <c r="K67" s="8">
        <v>51</v>
      </c>
      <c r="L67" s="5">
        <f t="shared" ref="L67:L130" si="5">J67</f>
        <v>60</v>
      </c>
      <c r="M67" s="28">
        <f t="shared" si="1"/>
        <v>4.5</v>
      </c>
      <c r="N67" s="29">
        <f t="shared" ca="1" si="2"/>
        <v>0.56999999999999995</v>
      </c>
      <c r="O67" s="8">
        <v>32</v>
      </c>
      <c r="P67" s="27">
        <f t="shared" si="3"/>
        <v>0.53</v>
      </c>
      <c r="Q67" s="38"/>
      <c r="R67" s="46">
        <v>3</v>
      </c>
      <c r="S67" s="34" t="s">
        <v>91</v>
      </c>
      <c r="T67" s="46"/>
      <c r="U67" s="46">
        <v>1</v>
      </c>
      <c r="V67" s="34" t="s">
        <v>46</v>
      </c>
      <c r="W67" s="46"/>
      <c r="X67" s="46">
        <v>1</v>
      </c>
      <c r="Y67" s="34" t="s">
        <v>62</v>
      </c>
      <c r="Z67" s="34"/>
      <c r="AA67" s="34"/>
      <c r="AB67" s="34"/>
      <c r="AC67" s="7"/>
      <c r="AD67" s="7"/>
      <c r="AE67" s="7"/>
    </row>
    <row r="68" spans="1:31" ht="12.75" x14ac:dyDescent="0.2">
      <c r="A68" s="22"/>
      <c r="B68" s="39" t="s">
        <v>139</v>
      </c>
      <c r="C68" s="40" t="s">
        <v>140</v>
      </c>
      <c r="D68" s="5">
        <v>42</v>
      </c>
      <c r="E68" s="5">
        <v>69</v>
      </c>
      <c r="F68" s="5">
        <v>248</v>
      </c>
      <c r="G68" s="25">
        <v>248</v>
      </c>
      <c r="H68" s="26">
        <f ca="1">IFERROR(__xludf.DUMMYFUNCTION("(R68 * IFERROR(IF(S68&lt;&gt;"""",FILTER($G:$G,$C:$C=S68),0), 0)) + (U68 * IFERROR(IF(V68&lt;&gt;"""",FILTER($G:$G,$C:$C=V68),0), 0)) + (X68 * IFERROR(IF(Y68&lt;&gt;"""",FILTER($G:$G,$C:$C=Y68),0), 0)) + (AA68 * IFERROR(IF(AB68&lt;&gt;"""",FILTER($G:$G,$C:$C=AB68),0), 0))"),242)</f>
        <v>242</v>
      </c>
      <c r="I68" s="27">
        <f t="shared" ca="1" si="0"/>
        <v>6</v>
      </c>
      <c r="J68" s="5">
        <v>5</v>
      </c>
      <c r="K68" s="5">
        <v>4</v>
      </c>
      <c r="L68" s="5">
        <f t="shared" si="5"/>
        <v>5</v>
      </c>
      <c r="M68" s="28">
        <f t="shared" si="1"/>
        <v>49.6</v>
      </c>
      <c r="N68" s="29">
        <f t="shared" ca="1" si="2"/>
        <v>1.2</v>
      </c>
      <c r="O68" s="5">
        <v>29</v>
      </c>
      <c r="P68" s="30">
        <f t="shared" si="3"/>
        <v>5.8</v>
      </c>
      <c r="Q68" s="31">
        <v>2</v>
      </c>
      <c r="R68" s="32">
        <v>3</v>
      </c>
      <c r="S68" s="33" t="s">
        <v>60</v>
      </c>
      <c r="T68" s="32"/>
      <c r="U68" s="32">
        <v>1</v>
      </c>
      <c r="V68" s="33" t="s">
        <v>40</v>
      </c>
      <c r="W68" s="33"/>
      <c r="X68" s="33"/>
      <c r="Y68" s="33"/>
      <c r="Z68" s="33"/>
      <c r="AA68" s="33"/>
      <c r="AB68" s="34"/>
      <c r="AC68" s="6"/>
      <c r="AD68" s="6"/>
      <c r="AE68" s="7"/>
    </row>
    <row r="69" spans="1:31" ht="12.75" x14ac:dyDescent="0.2">
      <c r="A69" s="22"/>
      <c r="B69" s="39" t="s">
        <v>139</v>
      </c>
      <c r="C69" s="40" t="s">
        <v>453</v>
      </c>
      <c r="D69" s="5">
        <v>43</v>
      </c>
      <c r="E69" s="5">
        <v>61</v>
      </c>
      <c r="F69" s="5">
        <v>219</v>
      </c>
      <c r="G69" s="25">
        <v>219</v>
      </c>
      <c r="H69" s="26">
        <f ca="1">IFERROR(__xludf.DUMMYFUNCTION("(R69 * IFERROR(IF(S69&lt;&gt;"""",FILTER($G:$G,$C:$C=S69),0), 0)) + (U69 * IFERROR(IF(V69&lt;&gt;"""",FILTER($G:$G,$C:$C=V69),0), 0)) + (X69 * IFERROR(IF(Y69&lt;&gt;"""",FILTER($G:$G,$C:$C=Y69),0), 0)) + (AA69 * IFERROR(IF(AB69&lt;&gt;"""",FILTER($G:$G,$C:$C=AB69),0), 0))"),210)</f>
        <v>210</v>
      </c>
      <c r="I69" s="27">
        <f t="shared" ca="1" si="0"/>
        <v>9</v>
      </c>
      <c r="J69" s="5">
        <v>10</v>
      </c>
      <c r="K69" s="5">
        <v>8</v>
      </c>
      <c r="L69" s="5">
        <f t="shared" si="5"/>
        <v>10</v>
      </c>
      <c r="M69" s="28">
        <f t="shared" si="1"/>
        <v>21.9</v>
      </c>
      <c r="N69" s="29">
        <f t="shared" ca="1" si="2"/>
        <v>0.9</v>
      </c>
      <c r="O69" s="5">
        <v>26</v>
      </c>
      <c r="P69" s="30">
        <f t="shared" si="3"/>
        <v>2.6</v>
      </c>
      <c r="Q69" s="31">
        <v>2</v>
      </c>
      <c r="R69" s="32">
        <v>2</v>
      </c>
      <c r="S69" s="33" t="s">
        <v>60</v>
      </c>
      <c r="T69" s="32"/>
      <c r="U69" s="32">
        <v>1</v>
      </c>
      <c r="V69" s="33" t="s">
        <v>40</v>
      </c>
      <c r="W69" s="32"/>
      <c r="X69" s="32">
        <v>1</v>
      </c>
      <c r="Y69" s="33" t="s">
        <v>95</v>
      </c>
      <c r="Z69" s="33"/>
      <c r="AA69" s="33"/>
      <c r="AB69" s="34"/>
      <c r="AC69" s="6"/>
      <c r="AD69" s="6"/>
      <c r="AE69" s="7"/>
    </row>
    <row r="70" spans="1:31" ht="12.75" x14ac:dyDescent="0.2">
      <c r="A70" s="22"/>
      <c r="B70" s="39" t="s">
        <v>139</v>
      </c>
      <c r="C70" s="40" t="s">
        <v>454</v>
      </c>
      <c r="D70" s="5">
        <v>45</v>
      </c>
      <c r="E70" s="5">
        <v>81</v>
      </c>
      <c r="F70" s="5">
        <v>291</v>
      </c>
      <c r="G70" s="25">
        <v>291</v>
      </c>
      <c r="H70" s="26">
        <f ca="1">IFERROR(__xludf.DUMMYFUNCTION("(R70 * IFERROR(IF(S70&lt;&gt;"""",FILTER($G:$G,$C:$C=S70),0), 0)) + (U70 * IFERROR(IF(V70&lt;&gt;"""",FILTER($G:$G,$C:$C=V70),0), 0)) + (X70 * IFERROR(IF(Y70&lt;&gt;"""",FILTER($G:$G,$C:$C=Y70),0), 0)) + (AA70 * IFERROR(IF(AB70&lt;&gt;"""",FILTER($G:$G,$C:$C=AB70),0), 0))"),286)</f>
        <v>286</v>
      </c>
      <c r="I70" s="27">
        <f t="shared" ca="1" si="0"/>
        <v>5</v>
      </c>
      <c r="J70" s="5">
        <v>15</v>
      </c>
      <c r="K70" s="5">
        <v>12</v>
      </c>
      <c r="L70" s="5">
        <f t="shared" si="5"/>
        <v>15</v>
      </c>
      <c r="M70" s="28">
        <f t="shared" si="1"/>
        <v>19.399999999999999</v>
      </c>
      <c r="N70" s="29">
        <f t="shared" ca="1" si="2"/>
        <v>0.33</v>
      </c>
      <c r="O70" s="5">
        <v>35</v>
      </c>
      <c r="P70" s="30">
        <f t="shared" si="3"/>
        <v>2.33</v>
      </c>
      <c r="Q70" s="31" t="s">
        <v>444</v>
      </c>
      <c r="R70" s="32">
        <v>1</v>
      </c>
      <c r="S70" s="33" t="s">
        <v>60</v>
      </c>
      <c r="T70" s="32"/>
      <c r="U70" s="32">
        <v>1</v>
      </c>
      <c r="V70" s="33" t="s">
        <v>71</v>
      </c>
      <c r="W70" s="32"/>
      <c r="X70" s="32">
        <v>2</v>
      </c>
      <c r="Y70" s="33" t="s">
        <v>54</v>
      </c>
      <c r="Z70" s="33"/>
      <c r="AA70" s="33"/>
      <c r="AB70" s="34"/>
      <c r="AC70" s="6"/>
      <c r="AD70" s="6"/>
      <c r="AE70" s="7"/>
    </row>
    <row r="71" spans="1:31" ht="12.75" x14ac:dyDescent="0.2">
      <c r="A71" s="22"/>
      <c r="B71" s="39" t="s">
        <v>139</v>
      </c>
      <c r="C71" s="40" t="s">
        <v>143</v>
      </c>
      <c r="D71" s="5">
        <v>46</v>
      </c>
      <c r="E71" s="5">
        <v>72</v>
      </c>
      <c r="F71" s="5">
        <v>259</v>
      </c>
      <c r="G71" s="25">
        <v>259</v>
      </c>
      <c r="H71" s="26">
        <f ca="1">IFERROR(__xludf.DUMMYFUNCTION("(R71 * IFERROR(IF(S71&lt;&gt;"""",FILTER($G:$G,$C:$C=S71),0), 0)) + (U71 * IFERROR(IF(V71&lt;&gt;"""",FILTER($G:$G,$C:$C=V71),0), 0)) + (X71 * IFERROR(IF(Y71&lt;&gt;"""",FILTER($G:$G,$C:$C=Y71),0), 0)) + (AA71 * IFERROR(IF(AB71&lt;&gt;"""",FILTER($G:$G,$C:$C=AB71),0), 0))"),246)</f>
        <v>246</v>
      </c>
      <c r="I71" s="27">
        <f t="shared" ca="1" si="0"/>
        <v>13</v>
      </c>
      <c r="J71" s="5">
        <v>30</v>
      </c>
      <c r="K71" s="5">
        <v>25</v>
      </c>
      <c r="L71" s="5">
        <f t="shared" si="5"/>
        <v>30</v>
      </c>
      <c r="M71" s="28">
        <f t="shared" si="1"/>
        <v>8.6300000000000008</v>
      </c>
      <c r="N71" s="29">
        <f t="shared" ca="1" si="2"/>
        <v>0.43</v>
      </c>
      <c r="O71" s="5">
        <v>16</v>
      </c>
      <c r="P71" s="30">
        <f t="shared" si="3"/>
        <v>0.53</v>
      </c>
      <c r="Q71" s="31">
        <v>2</v>
      </c>
      <c r="R71" s="32">
        <v>1</v>
      </c>
      <c r="S71" s="33" t="s">
        <v>60</v>
      </c>
      <c r="T71" s="32"/>
      <c r="U71" s="32">
        <v>1</v>
      </c>
      <c r="V71" s="33" t="s">
        <v>71</v>
      </c>
      <c r="W71" s="32"/>
      <c r="X71" s="32">
        <v>1</v>
      </c>
      <c r="Y71" s="33" t="s">
        <v>54</v>
      </c>
      <c r="Z71" s="32"/>
      <c r="AA71" s="32">
        <v>1</v>
      </c>
      <c r="AB71" s="34" t="s">
        <v>30</v>
      </c>
      <c r="AC71" s="6"/>
      <c r="AD71" s="6"/>
      <c r="AE71" s="7"/>
    </row>
    <row r="72" spans="1:31" ht="12.75" x14ac:dyDescent="0.2">
      <c r="A72" s="22"/>
      <c r="B72" s="39" t="s">
        <v>139</v>
      </c>
      <c r="C72" s="40" t="s">
        <v>144</v>
      </c>
      <c r="D72" s="5">
        <v>47</v>
      </c>
      <c r="E72" s="5">
        <v>75</v>
      </c>
      <c r="F72" s="5">
        <v>316</v>
      </c>
      <c r="G72" s="25">
        <v>316</v>
      </c>
      <c r="H72" s="41">
        <f ca="1">IFERROR(__xludf.DUMMYFUNCTION("(R72 * IFERROR(IF(S72&lt;&gt;"""",FILTER($G:$G,$C:$C=S72),0), 0)) + (U72 * IFERROR(IF(V72&lt;&gt;"""",FILTER($G:$G,$C:$C=V72),0), 0)) + (X72 * IFERROR(IF(Y72&lt;&gt;"""",FILTER($G:$G,$C:$C=Y72),0), 0)) + (AA72 * IFERROR(IF(AB72&lt;&gt;"""",FILTER($G:$G,$C:$C=AB72),0), 0))"),304)</f>
        <v>304</v>
      </c>
      <c r="I72" s="30">
        <f t="shared" ca="1" si="0"/>
        <v>12</v>
      </c>
      <c r="J72" s="5">
        <v>25</v>
      </c>
      <c r="K72" s="5">
        <v>21</v>
      </c>
      <c r="L72" s="5">
        <f t="shared" si="5"/>
        <v>25</v>
      </c>
      <c r="M72" s="42">
        <f t="shared" si="1"/>
        <v>12.64</v>
      </c>
      <c r="N72" s="43">
        <f t="shared" ca="1" si="2"/>
        <v>0.48</v>
      </c>
      <c r="O72" s="5">
        <v>32</v>
      </c>
      <c r="P72" s="30">
        <f t="shared" si="3"/>
        <v>1.28</v>
      </c>
      <c r="Q72" s="31">
        <v>2</v>
      </c>
      <c r="R72" s="32">
        <v>2</v>
      </c>
      <c r="S72" s="33" t="s">
        <v>54</v>
      </c>
      <c r="T72" s="32"/>
      <c r="U72" s="32">
        <v>1</v>
      </c>
      <c r="V72" s="33" t="s">
        <v>71</v>
      </c>
      <c r="W72" s="32"/>
      <c r="X72" s="32">
        <v>1</v>
      </c>
      <c r="Y72" s="33" t="s">
        <v>95</v>
      </c>
      <c r="Z72" s="32"/>
      <c r="AA72" s="32">
        <v>1</v>
      </c>
      <c r="AB72" s="34" t="s">
        <v>40</v>
      </c>
      <c r="AC72" s="6"/>
      <c r="AD72" s="6"/>
      <c r="AE72" s="6"/>
    </row>
    <row r="73" spans="1:31" ht="12.75" x14ac:dyDescent="0.2">
      <c r="A73" s="22"/>
      <c r="B73" s="39" t="s">
        <v>139</v>
      </c>
      <c r="C73" s="40" t="s">
        <v>145</v>
      </c>
      <c r="D73" s="5">
        <v>62</v>
      </c>
      <c r="E73" s="5">
        <v>96</v>
      </c>
      <c r="F73" s="5">
        <v>345</v>
      </c>
      <c r="G73" s="25">
        <v>345</v>
      </c>
      <c r="H73" s="41">
        <f ca="1">IFERROR(__xludf.DUMMYFUNCTION("(R73 * IFERROR(IF(S73&lt;&gt;"""",FILTER($G:$G,$C:$C=S73),0), 0)) + (U73 * IFERROR(IF(V73&lt;&gt;"""",FILTER($G:$G,$C:$C=V73),0), 0)) + (X73 * IFERROR(IF(Y73&lt;&gt;"""",FILTER($G:$G,$C:$C=Y73),0), 0)) + (AA73 * IFERROR(IF(AB73&lt;&gt;"""",FILTER($G:$G,$C:$C=AB73),0), 0))"),336)</f>
        <v>336</v>
      </c>
      <c r="I73" s="30">
        <f t="shared" ca="1" si="0"/>
        <v>9</v>
      </c>
      <c r="J73" s="5">
        <v>15</v>
      </c>
      <c r="K73" s="5">
        <v>12</v>
      </c>
      <c r="L73" s="5">
        <f t="shared" si="5"/>
        <v>15</v>
      </c>
      <c r="M73" s="42">
        <f t="shared" si="1"/>
        <v>23</v>
      </c>
      <c r="N73" s="43">
        <f t="shared" ca="1" si="2"/>
        <v>0.6</v>
      </c>
      <c r="O73" s="5">
        <v>41</v>
      </c>
      <c r="P73" s="30">
        <f t="shared" si="3"/>
        <v>2.73</v>
      </c>
      <c r="Q73" s="31">
        <v>2</v>
      </c>
      <c r="R73" s="32">
        <v>2</v>
      </c>
      <c r="S73" s="33" t="s">
        <v>60</v>
      </c>
      <c r="T73" s="32"/>
      <c r="U73" s="32">
        <v>1</v>
      </c>
      <c r="V73" s="33" t="s">
        <v>129</v>
      </c>
      <c r="W73" s="32"/>
      <c r="X73" s="32">
        <v>1</v>
      </c>
      <c r="Y73" s="33" t="s">
        <v>95</v>
      </c>
      <c r="Z73" s="33"/>
      <c r="AA73" s="33"/>
      <c r="AB73" s="34"/>
      <c r="AC73" s="6"/>
      <c r="AD73" s="6"/>
      <c r="AE73" s="6"/>
    </row>
    <row r="74" spans="1:31" ht="12.75" x14ac:dyDescent="0.2">
      <c r="A74" s="22"/>
      <c r="B74" s="44" t="s">
        <v>139</v>
      </c>
      <c r="C74" s="45" t="s">
        <v>146</v>
      </c>
      <c r="D74" s="8">
        <v>88</v>
      </c>
      <c r="E74" s="8">
        <v>77</v>
      </c>
      <c r="F74" s="8">
        <v>277</v>
      </c>
      <c r="G74" s="37">
        <v>277</v>
      </c>
      <c r="H74" s="26">
        <f ca="1">IFERROR(__xludf.DUMMYFUNCTION("(R74 * IFERROR(IF(S74&lt;&gt;"""",FILTER($G:$G,$C:$C=S74),0), 0)) + (U74 * IFERROR(IF(V74&lt;&gt;"""",FILTER($G:$G,$C:$C=V74),0), 0)) + (X74 * IFERROR(IF(Y74&lt;&gt;"""",FILTER($G:$G,$C:$C=Y74),0), 0)) + (AA74 * IFERROR(IF(AB74&lt;&gt;"""",FILTER($G:$G,$C:$C=AB74),0), 0))"),264)</f>
        <v>264</v>
      </c>
      <c r="I74" s="27">
        <f t="shared" ca="1" si="0"/>
        <v>13</v>
      </c>
      <c r="J74" s="8">
        <v>20</v>
      </c>
      <c r="K74" s="8">
        <v>17</v>
      </c>
      <c r="L74" s="5">
        <f t="shared" si="5"/>
        <v>20</v>
      </c>
      <c r="M74" s="28">
        <f t="shared" si="1"/>
        <v>13.85</v>
      </c>
      <c r="N74" s="29">
        <f t="shared" ca="1" si="2"/>
        <v>0.65</v>
      </c>
      <c r="O74" s="8">
        <v>33</v>
      </c>
      <c r="P74" s="27">
        <f t="shared" si="3"/>
        <v>1.65</v>
      </c>
      <c r="Q74" s="38">
        <v>2</v>
      </c>
      <c r="R74" s="46">
        <v>2</v>
      </c>
      <c r="S74" s="34" t="s">
        <v>60</v>
      </c>
      <c r="T74" s="46"/>
      <c r="U74" s="46">
        <v>1</v>
      </c>
      <c r="V74" s="34" t="s">
        <v>95</v>
      </c>
      <c r="W74" s="46"/>
      <c r="X74" s="46">
        <v>1</v>
      </c>
      <c r="Y74" s="34" t="s">
        <v>50</v>
      </c>
      <c r="Z74" s="34"/>
      <c r="AA74" s="34"/>
      <c r="AB74" s="34"/>
      <c r="AC74" s="7"/>
      <c r="AD74" s="7"/>
      <c r="AE74" s="7"/>
    </row>
    <row r="75" spans="1:31" ht="12.75" x14ac:dyDescent="0.2">
      <c r="A75" s="22"/>
      <c r="B75" s="23" t="s">
        <v>147</v>
      </c>
      <c r="C75" s="24" t="s">
        <v>71</v>
      </c>
      <c r="D75" s="5">
        <v>6</v>
      </c>
      <c r="E75" s="5">
        <v>14</v>
      </c>
      <c r="F75" s="5">
        <v>50</v>
      </c>
      <c r="G75" s="25">
        <v>50</v>
      </c>
      <c r="H75" s="26">
        <f ca="1">IFERROR(__xludf.DUMMYFUNCTION("(R75 * IFERROR(IF(S75&lt;&gt;"""",FILTER($G:$G,$C:$C=S75),0), 0)) + (U75 * IFERROR(IF(V75&lt;&gt;"""",FILTER($G:$G,$C:$C=V75),0), 0)) + (X75 * IFERROR(IF(Y75&lt;&gt;"""",FILTER($G:$G,$C:$C=Y75),0), 0)) + (AA75 * IFERROR(IF(AB75&lt;&gt;"""",FILTER($G:$G,$C:$C=AB75),0), 0))"),32)</f>
        <v>32</v>
      </c>
      <c r="I75" s="27">
        <f t="shared" ca="1" si="0"/>
        <v>18</v>
      </c>
      <c r="J75" s="5">
        <v>20</v>
      </c>
      <c r="K75" s="5">
        <v>17</v>
      </c>
      <c r="L75" s="5">
        <f t="shared" si="5"/>
        <v>20</v>
      </c>
      <c r="M75" s="28">
        <f t="shared" si="1"/>
        <v>2.5</v>
      </c>
      <c r="N75" s="29">
        <f t="shared" ca="1" si="2"/>
        <v>0.9</v>
      </c>
      <c r="O75" s="5">
        <v>6</v>
      </c>
      <c r="P75" s="30">
        <f t="shared" si="3"/>
        <v>0.3</v>
      </c>
      <c r="Q75" s="31" t="s">
        <v>455</v>
      </c>
      <c r="R75" s="32">
        <v>1</v>
      </c>
      <c r="S75" s="33" t="s">
        <v>95</v>
      </c>
      <c r="T75" s="33"/>
      <c r="U75" s="33"/>
      <c r="V75" s="33"/>
      <c r="W75" s="33"/>
      <c r="X75" s="33"/>
      <c r="Y75" s="33"/>
      <c r="Z75" s="33"/>
      <c r="AA75" s="33"/>
      <c r="AB75" s="34"/>
      <c r="AC75" s="6"/>
      <c r="AD75" s="6"/>
      <c r="AE75" s="7"/>
    </row>
    <row r="76" spans="1:31" ht="12.75" x14ac:dyDescent="0.2">
      <c r="A76" s="22"/>
      <c r="B76" s="23" t="s">
        <v>147</v>
      </c>
      <c r="C76" s="24" t="s">
        <v>41</v>
      </c>
      <c r="D76" s="5">
        <v>9</v>
      </c>
      <c r="E76" s="5">
        <v>23</v>
      </c>
      <c r="F76" s="5">
        <v>82</v>
      </c>
      <c r="G76" s="25">
        <v>82</v>
      </c>
      <c r="H76" s="26">
        <f ca="1">IFERROR(__xludf.DUMMYFUNCTION("(R76 * IFERROR(IF(S76&lt;&gt;"""",FILTER($G:$G,$C:$C=S76),0), 0)) + (U76 * IFERROR(IF(V76&lt;&gt;"""",FILTER($G:$G,$C:$C=V76),0), 0)) + (X76 * IFERROR(IF(Y76&lt;&gt;"""",FILTER($G:$G,$C:$C=Y76),0), 0)) + (AA76 * IFERROR(IF(AB76&lt;&gt;"""",FILTER($G:$G,$C:$C=AB76),0), 0))"),64)</f>
        <v>64</v>
      </c>
      <c r="I76" s="27">
        <f t="shared" ca="1" si="0"/>
        <v>18</v>
      </c>
      <c r="J76" s="5">
        <v>30</v>
      </c>
      <c r="K76" s="5">
        <v>25</v>
      </c>
      <c r="L76" s="5">
        <f t="shared" si="5"/>
        <v>30</v>
      </c>
      <c r="M76" s="28">
        <f t="shared" si="1"/>
        <v>2.73</v>
      </c>
      <c r="N76" s="29">
        <f t="shared" ca="1" si="2"/>
        <v>0.6</v>
      </c>
      <c r="O76" s="5">
        <v>10</v>
      </c>
      <c r="P76" s="30">
        <f t="shared" si="3"/>
        <v>0.33</v>
      </c>
      <c r="Q76" s="31">
        <v>6</v>
      </c>
      <c r="R76" s="32">
        <v>2</v>
      </c>
      <c r="S76" s="33" t="s">
        <v>95</v>
      </c>
      <c r="T76" s="33"/>
      <c r="U76" s="33"/>
      <c r="V76" s="33"/>
      <c r="W76" s="33"/>
      <c r="X76" s="33"/>
      <c r="Y76" s="33"/>
      <c r="Z76" s="33"/>
      <c r="AA76" s="33"/>
      <c r="AB76" s="34"/>
      <c r="AC76" s="6"/>
      <c r="AD76" s="6"/>
      <c r="AE76" s="7"/>
    </row>
    <row r="77" spans="1:31" ht="12.75" x14ac:dyDescent="0.2">
      <c r="A77" s="22"/>
      <c r="B77" s="23" t="s">
        <v>147</v>
      </c>
      <c r="C77" s="24" t="s">
        <v>35</v>
      </c>
      <c r="D77" s="5">
        <v>12</v>
      </c>
      <c r="E77" s="5">
        <v>34</v>
      </c>
      <c r="F77" s="5">
        <v>122</v>
      </c>
      <c r="G77" s="25">
        <v>122</v>
      </c>
      <c r="H77" s="26">
        <f ca="1">IFERROR(__xludf.DUMMYFUNCTION("(R77 * IFERROR(IF(S77&lt;&gt;"""",FILTER($G:$G,$C:$C=S77),0), 0)) + (U77 * IFERROR(IF(V77&lt;&gt;"""",FILTER($G:$G,$C:$C=V77),0), 0)) + (X77 * IFERROR(IF(Y77&lt;&gt;"""",FILTER($G:$G,$C:$C=Y77),0), 0)) + (AA77 * IFERROR(IF(AB77&lt;&gt;"""",FILTER($G:$G,$C:$C=AB77),0), 0))"),96)</f>
        <v>96</v>
      </c>
      <c r="I77" s="27">
        <f t="shared" ca="1" si="0"/>
        <v>26</v>
      </c>
      <c r="J77" s="5">
        <v>60</v>
      </c>
      <c r="K77" s="5">
        <v>51</v>
      </c>
      <c r="L77" s="5">
        <f t="shared" si="5"/>
        <v>60</v>
      </c>
      <c r="M77" s="28">
        <f t="shared" si="1"/>
        <v>2.0299999999999998</v>
      </c>
      <c r="N77" s="29">
        <f t="shared" ca="1" si="2"/>
        <v>0.43</v>
      </c>
      <c r="O77" s="5">
        <v>15</v>
      </c>
      <c r="P77" s="30">
        <f t="shared" si="3"/>
        <v>0.25</v>
      </c>
      <c r="Q77" s="31" t="s">
        <v>438</v>
      </c>
      <c r="R77" s="32">
        <v>3</v>
      </c>
      <c r="S77" s="33" t="s">
        <v>95</v>
      </c>
      <c r="T77" s="33"/>
      <c r="U77" s="33"/>
      <c r="V77" s="33"/>
      <c r="W77" s="33"/>
      <c r="X77" s="33"/>
      <c r="Y77" s="33"/>
      <c r="Z77" s="33"/>
      <c r="AA77" s="33"/>
      <c r="AB77" s="34"/>
      <c r="AC77" s="6"/>
      <c r="AD77" s="6"/>
      <c r="AE77" s="7"/>
    </row>
    <row r="78" spans="1:31" ht="12.75" x14ac:dyDescent="0.2">
      <c r="A78" s="22"/>
      <c r="B78" s="35" t="s">
        <v>147</v>
      </c>
      <c r="C78" s="36" t="s">
        <v>103</v>
      </c>
      <c r="D78" s="8">
        <v>33</v>
      </c>
      <c r="E78" s="8">
        <v>45</v>
      </c>
      <c r="F78" s="8">
        <v>162</v>
      </c>
      <c r="G78" s="37">
        <v>162</v>
      </c>
      <c r="H78" s="26">
        <f ca="1">IFERROR(__xludf.DUMMYFUNCTION("(R78 * IFERROR(IF(S78&lt;&gt;"""",FILTER($G:$G,$C:$C=S78),0), 0)) + (U78 * IFERROR(IF(V78&lt;&gt;"""",FILTER($G:$G,$C:$C=V78),0), 0)) + (X78 * IFERROR(IF(Y78&lt;&gt;"""",FILTER($G:$G,$C:$C=Y78),0), 0)) + (AA78 * IFERROR(IF(AB78&lt;&gt;"""",FILTER($G:$G,$C:$C=AB78),0), 0))"),128)</f>
        <v>128</v>
      </c>
      <c r="I78" s="27">
        <f t="shared" ca="1" si="0"/>
        <v>34</v>
      </c>
      <c r="J78" s="8">
        <v>90</v>
      </c>
      <c r="K78" s="8">
        <v>76</v>
      </c>
      <c r="L78" s="5">
        <f t="shared" si="5"/>
        <v>90</v>
      </c>
      <c r="M78" s="28">
        <f t="shared" si="1"/>
        <v>1.8</v>
      </c>
      <c r="N78" s="29">
        <f t="shared" ca="1" si="2"/>
        <v>0.38</v>
      </c>
      <c r="O78" s="8">
        <v>19</v>
      </c>
      <c r="P78" s="27">
        <f t="shared" si="3"/>
        <v>0.21</v>
      </c>
      <c r="Q78" s="38" t="s">
        <v>446</v>
      </c>
      <c r="R78" s="46">
        <v>2</v>
      </c>
      <c r="S78" s="34" t="s">
        <v>53</v>
      </c>
      <c r="T78" s="34"/>
      <c r="U78" s="34"/>
      <c r="V78" s="34"/>
      <c r="W78" s="34"/>
      <c r="X78" s="34"/>
      <c r="Y78" s="34"/>
      <c r="Z78" s="34"/>
      <c r="AA78" s="34"/>
      <c r="AB78" s="34"/>
      <c r="AC78" s="7"/>
      <c r="AD78" s="7"/>
      <c r="AE78" s="7"/>
    </row>
    <row r="79" spans="1:31" ht="12.75" x14ac:dyDescent="0.2">
      <c r="A79" s="22"/>
      <c r="B79" s="39" t="s">
        <v>148</v>
      </c>
      <c r="C79" s="40" t="s">
        <v>149</v>
      </c>
      <c r="D79" s="5">
        <v>87</v>
      </c>
      <c r="E79" s="5">
        <v>84</v>
      </c>
      <c r="F79" s="5">
        <v>302</v>
      </c>
      <c r="G79" s="25">
        <v>302</v>
      </c>
      <c r="H79" s="26">
        <f ca="1">IFERROR(__xludf.DUMMYFUNCTION("(R79 * IFERROR(IF(S79&lt;&gt;"""",FILTER($G:$G,$C:$C=S79),0), 0)) + (U79 * IFERROR(IF(V79&lt;&gt;"""",FILTER($G:$G,$C:$C=V79),0), 0)) + (X79 * IFERROR(IF(Y79&lt;&gt;"""",FILTER($G:$G,$C:$C=Y79),0), 0)) + (AA79 * IFERROR(IF(AB79&lt;&gt;"""",FILTER($G:$G,$C:$C=AB79),0), 0))"),294)</f>
        <v>294</v>
      </c>
      <c r="I79" s="27">
        <f t="shared" ca="1" si="0"/>
        <v>8</v>
      </c>
      <c r="J79" s="5">
        <v>25</v>
      </c>
      <c r="K79" s="5">
        <v>21</v>
      </c>
      <c r="L79" s="5">
        <f t="shared" si="5"/>
        <v>25</v>
      </c>
      <c r="M79" s="28">
        <f t="shared" si="1"/>
        <v>12.08</v>
      </c>
      <c r="N79" s="29">
        <f t="shared" ca="1" si="2"/>
        <v>0.32</v>
      </c>
      <c r="O79" s="5">
        <v>36</v>
      </c>
      <c r="P79" s="30">
        <f t="shared" si="3"/>
        <v>1.44</v>
      </c>
      <c r="Q79" s="31">
        <v>2</v>
      </c>
      <c r="R79" s="32">
        <v>1</v>
      </c>
      <c r="S79" s="33" t="s">
        <v>37</v>
      </c>
      <c r="T79" s="32"/>
      <c r="U79" s="32">
        <v>2</v>
      </c>
      <c r="V79" s="33" t="s">
        <v>66</v>
      </c>
      <c r="W79" s="32"/>
      <c r="X79" s="32">
        <v>4</v>
      </c>
      <c r="Y79" s="33" t="s">
        <v>39</v>
      </c>
      <c r="Z79" s="32"/>
      <c r="AA79" s="32">
        <v>1</v>
      </c>
      <c r="AB79" s="34" t="s">
        <v>75</v>
      </c>
      <c r="AC79" s="6"/>
      <c r="AD79" s="6"/>
      <c r="AE79" s="7"/>
    </row>
    <row r="80" spans="1:31" ht="12.75" x14ac:dyDescent="0.2">
      <c r="A80" s="22"/>
      <c r="B80" s="39" t="s">
        <v>148</v>
      </c>
      <c r="C80" s="40" t="s">
        <v>456</v>
      </c>
      <c r="D80" s="5">
        <v>91</v>
      </c>
      <c r="E80" s="5">
        <v>82</v>
      </c>
      <c r="F80" s="5">
        <v>295</v>
      </c>
      <c r="G80" s="25">
        <v>295</v>
      </c>
      <c r="H80" s="26">
        <f ca="1">IFERROR(__xludf.DUMMYFUNCTION("(R80 * IFERROR(IF(S80&lt;&gt;"""",FILTER($G:$G,$C:$C=S80),0), 0)) + (U80 * IFERROR(IF(V80&lt;&gt;"""",FILTER($G:$G,$C:$C=V80),0), 0)) + (X80 * IFERROR(IF(Y80&lt;&gt;"""",FILTER($G:$G,$C:$C=Y80),0), 0)) + (AA80 * IFERROR(IF(AB80&lt;&gt;"""",FILTER($G:$G,$C:$C=AB80),0), 0))"),270)</f>
        <v>270</v>
      </c>
      <c r="I80" s="27">
        <f t="shared" ca="1" si="0"/>
        <v>25</v>
      </c>
      <c r="J80" s="5">
        <v>20</v>
      </c>
      <c r="K80" s="5">
        <v>17</v>
      </c>
      <c r="L80" s="5">
        <f t="shared" si="5"/>
        <v>20</v>
      </c>
      <c r="M80" s="28">
        <f t="shared" si="1"/>
        <v>14.75</v>
      </c>
      <c r="N80" s="29">
        <f t="shared" ca="1" si="2"/>
        <v>1.25</v>
      </c>
      <c r="O80" s="5">
        <v>35</v>
      </c>
      <c r="P80" s="30">
        <f t="shared" si="3"/>
        <v>1.75</v>
      </c>
      <c r="Q80" s="31">
        <v>2</v>
      </c>
      <c r="R80" s="32">
        <v>1</v>
      </c>
      <c r="S80" s="33" t="s">
        <v>151</v>
      </c>
      <c r="T80" s="32"/>
      <c r="U80" s="32">
        <v>2</v>
      </c>
      <c r="V80" s="33" t="s">
        <v>26</v>
      </c>
      <c r="W80" s="32"/>
      <c r="X80" s="32">
        <v>5</v>
      </c>
      <c r="Y80" s="33" t="s">
        <v>22</v>
      </c>
      <c r="Z80" s="33"/>
      <c r="AA80" s="33"/>
      <c r="AB80" s="34"/>
      <c r="AC80" s="6"/>
      <c r="AD80" s="6"/>
      <c r="AE80" s="7"/>
    </row>
    <row r="81" spans="1:31" ht="12.75" x14ac:dyDescent="0.2">
      <c r="A81" s="22"/>
      <c r="B81" s="39" t="s">
        <v>148</v>
      </c>
      <c r="C81" s="40" t="s">
        <v>152</v>
      </c>
      <c r="D81" s="5">
        <v>98</v>
      </c>
      <c r="E81" s="5">
        <v>113</v>
      </c>
      <c r="F81" s="5">
        <v>406</v>
      </c>
      <c r="G81" s="25">
        <v>406</v>
      </c>
      <c r="H81" s="26">
        <f ca="1">IFERROR(__xludf.DUMMYFUNCTION("(R81 * IFERROR(IF(S81&lt;&gt;"""",FILTER($G:$G,$C:$C=S81),0), 0)) + (U81 * IFERROR(IF(V81&lt;&gt;"""",FILTER($G:$G,$C:$C=V81),0), 0)) + (X81 * IFERROR(IF(Y81&lt;&gt;"""",FILTER($G:$G,$C:$C=Y81),0), 0)) + (AA81 * IFERROR(IF(AB81&lt;&gt;"""",FILTER($G:$G,$C:$C=AB81),0), 0))"),383)</f>
        <v>383</v>
      </c>
      <c r="I81" s="27">
        <f t="shared" ca="1" si="0"/>
        <v>23</v>
      </c>
      <c r="J81" s="5">
        <v>40</v>
      </c>
      <c r="K81" s="5">
        <v>34</v>
      </c>
      <c r="L81" s="5">
        <f t="shared" si="5"/>
        <v>40</v>
      </c>
      <c r="M81" s="28">
        <f t="shared" si="1"/>
        <v>10.15</v>
      </c>
      <c r="N81" s="29">
        <f t="shared" ca="1" si="2"/>
        <v>0.57999999999999996</v>
      </c>
      <c r="O81" s="5">
        <v>48</v>
      </c>
      <c r="P81" s="30">
        <f t="shared" si="3"/>
        <v>1.2</v>
      </c>
      <c r="Q81" s="31">
        <v>1</v>
      </c>
      <c r="R81" s="32">
        <v>3</v>
      </c>
      <c r="S81" s="33" t="s">
        <v>37</v>
      </c>
      <c r="T81" s="32"/>
      <c r="U81" s="32">
        <v>1</v>
      </c>
      <c r="V81" s="33" t="s">
        <v>22</v>
      </c>
      <c r="W81" s="32"/>
      <c r="X81" s="32">
        <v>3</v>
      </c>
      <c r="Y81" s="33" t="s">
        <v>66</v>
      </c>
      <c r="Z81" s="32"/>
      <c r="AA81" s="32">
        <v>1</v>
      </c>
      <c r="AB81" s="34" t="s">
        <v>35</v>
      </c>
      <c r="AC81" s="6"/>
      <c r="AD81" s="6"/>
      <c r="AE81" s="7"/>
    </row>
    <row r="82" spans="1:31" ht="12.75" x14ac:dyDescent="0.2">
      <c r="A82" s="22"/>
      <c r="B82" s="44" t="s">
        <v>148</v>
      </c>
      <c r="C82" s="45" t="s">
        <v>153</v>
      </c>
      <c r="D82" s="8">
        <v>100</v>
      </c>
      <c r="E82" s="8">
        <v>183</v>
      </c>
      <c r="F82" s="8">
        <v>658</v>
      </c>
      <c r="G82" s="37">
        <v>658</v>
      </c>
      <c r="H82" s="26">
        <f ca="1">IFERROR(__xludf.DUMMYFUNCTION("(R82 * IFERROR(IF(S82&lt;&gt;"""",FILTER($G:$G,$C:$C=S82),0), 0)) + (U82 * IFERROR(IF(V82&lt;&gt;"""",FILTER($G:$G,$C:$C=V82),0), 0)) + (X82 * IFERROR(IF(Y82&lt;&gt;"""",FILTER($G:$G,$C:$C=Y82),0), 0)) + (AA82 * IFERROR(IF(AB82&lt;&gt;"""",FILTER($G:$G,$C:$C=AB82),0), 0))"),596)</f>
        <v>596</v>
      </c>
      <c r="I82" s="27">
        <f t="shared" ca="1" si="0"/>
        <v>62</v>
      </c>
      <c r="J82" s="8">
        <v>15</v>
      </c>
      <c r="K82" s="8">
        <v>12</v>
      </c>
      <c r="L82" s="5">
        <f t="shared" si="5"/>
        <v>15</v>
      </c>
      <c r="M82" s="28">
        <f t="shared" si="1"/>
        <v>43.87</v>
      </c>
      <c r="N82" s="29">
        <f t="shared" ca="1" si="2"/>
        <v>4.13</v>
      </c>
      <c r="O82" s="8">
        <v>87</v>
      </c>
      <c r="P82" s="27">
        <f t="shared" si="3"/>
        <v>5.8</v>
      </c>
      <c r="Q82" s="38">
        <v>2</v>
      </c>
      <c r="R82" s="46">
        <v>3</v>
      </c>
      <c r="S82" s="34" t="s">
        <v>54</v>
      </c>
      <c r="T82" s="46"/>
      <c r="U82" s="46">
        <v>1</v>
      </c>
      <c r="V82" s="34" t="s">
        <v>27</v>
      </c>
      <c r="W82" s="46"/>
      <c r="X82" s="46">
        <v>1</v>
      </c>
      <c r="Y82" s="34" t="s">
        <v>136</v>
      </c>
      <c r="Z82" s="34"/>
      <c r="AA82" s="34"/>
      <c r="AB82" s="34"/>
      <c r="AC82" s="7"/>
      <c r="AD82" s="7"/>
      <c r="AE82" s="7"/>
    </row>
    <row r="83" spans="1:31" ht="12.75" x14ac:dyDescent="0.2">
      <c r="A83" s="22"/>
      <c r="B83" s="23" t="s">
        <v>154</v>
      </c>
      <c r="C83" s="24" t="s">
        <v>155</v>
      </c>
      <c r="D83" s="5">
        <v>76</v>
      </c>
      <c r="E83" s="5">
        <v>36</v>
      </c>
      <c r="F83" s="5">
        <v>129</v>
      </c>
      <c r="G83" s="25">
        <v>129</v>
      </c>
      <c r="H83" s="26">
        <f ca="1">IFERROR(__xludf.DUMMYFUNCTION("(R83 * IFERROR(IF(S83&lt;&gt;"""",FILTER($G:$G,$C:$C=S83),0), 0)) + (U83 * IFERROR(IF(V83&lt;&gt;"""",FILTER($G:$G,$C:$C=V83),0), 0)) + (X83 * IFERROR(IF(Y83&lt;&gt;"""",FILTER($G:$G,$C:$C=Y83),0), 0)) + (AA83 * IFERROR(IF(AB83&lt;&gt;"""",FILTER($G:$G,$C:$C=AB83),0), 0))"),109)</f>
        <v>109</v>
      </c>
      <c r="I83" s="27">
        <f t="shared" ca="1" si="0"/>
        <v>20</v>
      </c>
      <c r="J83" s="5">
        <v>15</v>
      </c>
      <c r="K83" s="5">
        <v>12</v>
      </c>
      <c r="L83" s="5">
        <f t="shared" si="5"/>
        <v>15</v>
      </c>
      <c r="M83" s="28">
        <f t="shared" si="1"/>
        <v>8.6</v>
      </c>
      <c r="N83" s="29">
        <f t="shared" ca="1" si="2"/>
        <v>1.33</v>
      </c>
      <c r="O83" s="5">
        <v>15</v>
      </c>
      <c r="P83" s="30">
        <f t="shared" si="3"/>
        <v>1</v>
      </c>
      <c r="Q83" s="31">
        <v>3</v>
      </c>
      <c r="R83" s="32">
        <v>1</v>
      </c>
      <c r="S83" s="33" t="s">
        <v>95</v>
      </c>
      <c r="T83" s="32"/>
      <c r="U83" s="32">
        <v>1</v>
      </c>
      <c r="V83" s="33" t="s">
        <v>40</v>
      </c>
      <c r="W83" s="32"/>
      <c r="X83" s="32">
        <v>1</v>
      </c>
      <c r="Y83" s="33" t="s">
        <v>26</v>
      </c>
      <c r="Z83" s="32"/>
      <c r="AA83" s="32">
        <v>3</v>
      </c>
      <c r="AB83" s="34" t="s">
        <v>22</v>
      </c>
      <c r="AC83" s="6"/>
      <c r="AD83" s="6"/>
      <c r="AE83" s="7"/>
    </row>
    <row r="84" spans="1:31" ht="12.75" x14ac:dyDescent="0.2">
      <c r="A84" s="22"/>
      <c r="B84" s="23" t="s">
        <v>154</v>
      </c>
      <c r="C84" s="24" t="s">
        <v>156</v>
      </c>
      <c r="D84" s="5">
        <v>79</v>
      </c>
      <c r="E84" s="5">
        <v>87</v>
      </c>
      <c r="F84" s="5">
        <v>313</v>
      </c>
      <c r="G84" s="25">
        <v>313</v>
      </c>
      <c r="H84" s="26">
        <f ca="1">IFERROR(__xludf.DUMMYFUNCTION("(R84 * IFERROR(IF(S84&lt;&gt;"""",FILTER($G:$G,$C:$C=S84),0), 0)) + (U84 * IFERROR(IF(V84&lt;&gt;"""",FILTER($G:$G,$C:$C=V84),0), 0)) + (X84 * IFERROR(IF(Y84&lt;&gt;"""",FILTER($G:$G,$C:$C=Y84),0), 0)) + (AA84 * IFERROR(IF(AB84&lt;&gt;"""",FILTER($G:$G,$C:$C=AB84),0), 0))"),301)</f>
        <v>301</v>
      </c>
      <c r="I84" s="27">
        <f t="shared" ca="1" si="0"/>
        <v>12</v>
      </c>
      <c r="J84" s="5">
        <v>20</v>
      </c>
      <c r="K84" s="5">
        <v>17</v>
      </c>
      <c r="L84" s="5">
        <f t="shared" si="5"/>
        <v>20</v>
      </c>
      <c r="M84" s="28">
        <f t="shared" si="1"/>
        <v>15.65</v>
      </c>
      <c r="N84" s="29">
        <f t="shared" ca="1" si="2"/>
        <v>0.6</v>
      </c>
      <c r="O84" s="5">
        <v>37</v>
      </c>
      <c r="P84" s="30">
        <f t="shared" si="3"/>
        <v>1.85</v>
      </c>
      <c r="Q84" s="31">
        <v>2</v>
      </c>
      <c r="R84" s="32">
        <v>1</v>
      </c>
      <c r="S84" s="33" t="s">
        <v>155</v>
      </c>
      <c r="T84" s="32"/>
      <c r="U84" s="32">
        <v>2</v>
      </c>
      <c r="V84" s="33" t="s">
        <v>54</v>
      </c>
      <c r="W84" s="33"/>
      <c r="X84" s="33"/>
      <c r="Y84" s="33"/>
      <c r="Z84" s="33"/>
      <c r="AA84" s="33"/>
      <c r="AB84" s="34"/>
      <c r="AC84" s="6"/>
      <c r="AD84" s="6"/>
      <c r="AE84" s="7"/>
    </row>
    <row r="85" spans="1:31" ht="12.75" x14ac:dyDescent="0.2">
      <c r="A85" s="22"/>
      <c r="B85" s="23" t="s">
        <v>154</v>
      </c>
      <c r="C85" s="24" t="s">
        <v>157</v>
      </c>
      <c r="D85" s="5">
        <v>82</v>
      </c>
      <c r="E85" s="5">
        <v>165</v>
      </c>
      <c r="F85" s="5">
        <v>594</v>
      </c>
      <c r="G85" s="25">
        <v>594</v>
      </c>
      <c r="H85" s="26">
        <f ca="1">IFERROR(__xludf.DUMMYFUNCTION("(R85 * IFERROR(IF(S85&lt;&gt;"""",FILTER($G:$G,$C:$C=S85),0), 0)) + (U85 * IFERROR(IF(V85&lt;&gt;"""",FILTER($G:$G,$C:$C=V85),0), 0)) + (X85 * IFERROR(IF(Y85&lt;&gt;"""",FILTER($G:$G,$C:$C=Y85),0), 0)) + (AA85 * IFERROR(IF(AB85&lt;&gt;"""",FILTER($G:$G,$C:$C=AB85),0), 0))"),413)</f>
        <v>413</v>
      </c>
      <c r="I85" s="27">
        <f t="shared" ca="1" si="0"/>
        <v>181</v>
      </c>
      <c r="J85" s="5">
        <v>30</v>
      </c>
      <c r="K85" s="5">
        <v>25</v>
      </c>
      <c r="L85" s="5">
        <f t="shared" si="5"/>
        <v>30</v>
      </c>
      <c r="M85" s="28">
        <f t="shared" si="1"/>
        <v>19.8</v>
      </c>
      <c r="N85" s="29">
        <f t="shared" ca="1" si="2"/>
        <v>6.03</v>
      </c>
      <c r="O85" s="5">
        <v>71</v>
      </c>
      <c r="P85" s="30">
        <f t="shared" si="3"/>
        <v>2.37</v>
      </c>
      <c r="Q85" s="31">
        <v>2</v>
      </c>
      <c r="R85" s="32">
        <v>1</v>
      </c>
      <c r="S85" s="33" t="s">
        <v>155</v>
      </c>
      <c r="T85" s="32"/>
      <c r="U85" s="32">
        <v>1</v>
      </c>
      <c r="V85" s="33" t="s">
        <v>71</v>
      </c>
      <c r="W85" s="32"/>
      <c r="X85" s="32">
        <v>1</v>
      </c>
      <c r="Y85" s="33" t="s">
        <v>136</v>
      </c>
      <c r="Z85" s="33"/>
      <c r="AA85" s="33"/>
      <c r="AB85" s="34"/>
      <c r="AC85" s="6"/>
      <c r="AD85" s="6"/>
      <c r="AE85" s="7"/>
    </row>
    <row r="86" spans="1:31" ht="12.75" x14ac:dyDescent="0.2">
      <c r="A86" s="22"/>
      <c r="B86" s="23" t="s">
        <v>154</v>
      </c>
      <c r="C86" s="24" t="s">
        <v>158</v>
      </c>
      <c r="D86" s="5">
        <v>86</v>
      </c>
      <c r="E86" s="5">
        <v>64</v>
      </c>
      <c r="F86" s="5">
        <v>230</v>
      </c>
      <c r="G86" s="25">
        <v>230</v>
      </c>
      <c r="H86" s="26">
        <f ca="1">IFERROR(__xludf.DUMMYFUNCTION("(R86 * IFERROR(IF(S86&lt;&gt;"""",FILTER($G:$G,$C:$C=S86),0), 0)) + (U86 * IFERROR(IF(V86&lt;&gt;"""",FILTER($G:$G,$C:$C=V86),0), 0)) + (X86 * IFERROR(IF(Y86&lt;&gt;"""",FILTER($G:$G,$C:$C=Y86),0), 0)) + (AA86 * IFERROR(IF(AB86&lt;&gt;"""",FILTER($G:$G,$C:$C=AB86),0), 0))"),211)</f>
        <v>211</v>
      </c>
      <c r="I86" s="27">
        <f t="shared" ca="1" si="0"/>
        <v>19</v>
      </c>
      <c r="J86" s="5">
        <v>25</v>
      </c>
      <c r="K86" s="5">
        <v>21</v>
      </c>
      <c r="L86" s="5">
        <f t="shared" si="5"/>
        <v>25</v>
      </c>
      <c r="M86" s="28">
        <f t="shared" si="1"/>
        <v>9.1999999999999993</v>
      </c>
      <c r="N86" s="29">
        <f t="shared" ca="1" si="2"/>
        <v>0.76</v>
      </c>
      <c r="O86" s="5">
        <v>27</v>
      </c>
      <c r="P86" s="30">
        <f t="shared" si="3"/>
        <v>1.08</v>
      </c>
      <c r="Q86" s="31">
        <v>2</v>
      </c>
      <c r="R86" s="32">
        <v>1</v>
      </c>
      <c r="S86" s="33" t="s">
        <v>155</v>
      </c>
      <c r="T86" s="32"/>
      <c r="U86" s="32">
        <v>1</v>
      </c>
      <c r="V86" s="33" t="s">
        <v>71</v>
      </c>
      <c r="W86" s="32"/>
      <c r="X86" s="32">
        <v>1</v>
      </c>
      <c r="Y86" s="33" t="s">
        <v>28</v>
      </c>
      <c r="Z86" s="33"/>
      <c r="AA86" s="33"/>
      <c r="AB86" s="34"/>
      <c r="AC86" s="6"/>
      <c r="AD86" s="6"/>
      <c r="AE86" s="7"/>
    </row>
    <row r="87" spans="1:31" ht="12.75" x14ac:dyDescent="0.2">
      <c r="A87" s="22"/>
      <c r="B87" s="23" t="s">
        <v>154</v>
      </c>
      <c r="C87" s="24" t="s">
        <v>159</v>
      </c>
      <c r="D87" s="5">
        <v>88</v>
      </c>
      <c r="E87" s="5">
        <v>108</v>
      </c>
      <c r="F87" s="5">
        <v>388</v>
      </c>
      <c r="G87" s="25">
        <v>388</v>
      </c>
      <c r="H87" s="26">
        <f ca="1">IFERROR(__xludf.DUMMYFUNCTION("(R87 * IFERROR(IF(S87&lt;&gt;"""",FILTER($G:$G,$C:$C=S87),0), 0)) + (U87 * IFERROR(IF(V87&lt;&gt;"""",FILTER($G:$G,$C:$C=V87),0), 0)) + (X87 * IFERROR(IF(Y87&lt;&gt;"""",FILTER($G:$G,$C:$C=Y87),0), 0)) + (AA87 * IFERROR(IF(AB87&lt;&gt;"""",FILTER($G:$G,$C:$C=AB87),0), 0))"),369)</f>
        <v>369</v>
      </c>
      <c r="I87" s="27">
        <f t="shared" ca="1" si="0"/>
        <v>19</v>
      </c>
      <c r="J87" s="5">
        <v>30</v>
      </c>
      <c r="K87" s="5">
        <v>25</v>
      </c>
      <c r="L87" s="5">
        <f t="shared" si="5"/>
        <v>30</v>
      </c>
      <c r="M87" s="28">
        <f t="shared" si="1"/>
        <v>12.93</v>
      </c>
      <c r="N87" s="29">
        <f t="shared" ca="1" si="2"/>
        <v>0.63</v>
      </c>
      <c r="O87" s="5">
        <v>46</v>
      </c>
      <c r="P87" s="30">
        <f t="shared" si="3"/>
        <v>1.53</v>
      </c>
      <c r="Q87" s="31">
        <v>1</v>
      </c>
      <c r="R87" s="32">
        <v>1</v>
      </c>
      <c r="S87" s="33" t="s">
        <v>155</v>
      </c>
      <c r="T87" s="32"/>
      <c r="U87" s="32">
        <v>3</v>
      </c>
      <c r="V87" s="33" t="s">
        <v>66</v>
      </c>
      <c r="W87" s="32"/>
      <c r="X87" s="32">
        <v>1</v>
      </c>
      <c r="Y87" s="33" t="s">
        <v>47</v>
      </c>
      <c r="Z87" s="33"/>
      <c r="AA87" s="33"/>
      <c r="AB87" s="34"/>
      <c r="AC87" s="6"/>
      <c r="AD87" s="6"/>
      <c r="AE87" s="7"/>
    </row>
    <row r="88" spans="1:31" ht="12.75" x14ac:dyDescent="0.2">
      <c r="A88" s="22"/>
      <c r="B88" s="35" t="s">
        <v>154</v>
      </c>
      <c r="C88" s="36" t="s">
        <v>160</v>
      </c>
      <c r="D88" s="8">
        <v>93</v>
      </c>
      <c r="E88" s="8">
        <v>112</v>
      </c>
      <c r="F88" s="8">
        <v>403</v>
      </c>
      <c r="G88" s="37">
        <v>403</v>
      </c>
      <c r="H88" s="26">
        <f ca="1">IFERROR(__xludf.DUMMYFUNCTION("(R88 * IFERROR(IF(S88&lt;&gt;"""",FILTER($G:$G,$C:$C=S88),0), 0)) + (U88 * IFERROR(IF(V88&lt;&gt;"""",FILTER($G:$G,$C:$C=V88),0), 0)) + (X88 * IFERROR(IF(Y88&lt;&gt;"""",FILTER($G:$G,$C:$C=Y88),0), 0)) + (AA88 * IFERROR(IF(AB88&lt;&gt;"""",FILTER($G:$G,$C:$C=AB88),0), 0))"),381)</f>
        <v>381</v>
      </c>
      <c r="I88" s="27">
        <f t="shared" ca="1" si="0"/>
        <v>22</v>
      </c>
      <c r="J88" s="8">
        <v>35</v>
      </c>
      <c r="K88" s="8">
        <v>29</v>
      </c>
      <c r="L88" s="5">
        <f t="shared" si="5"/>
        <v>35</v>
      </c>
      <c r="M88" s="28">
        <f t="shared" si="1"/>
        <v>11.51</v>
      </c>
      <c r="N88" s="29">
        <f t="shared" ca="1" si="2"/>
        <v>0.63</v>
      </c>
      <c r="O88" s="8">
        <v>48</v>
      </c>
      <c r="P88" s="27">
        <f t="shared" si="3"/>
        <v>1.37</v>
      </c>
      <c r="Q88" s="38" t="s">
        <v>444</v>
      </c>
      <c r="R88" s="46">
        <v>1</v>
      </c>
      <c r="S88" s="34" t="s">
        <v>155</v>
      </c>
      <c r="T88" s="46"/>
      <c r="U88" s="46">
        <v>1</v>
      </c>
      <c r="V88" s="34" t="s">
        <v>133</v>
      </c>
      <c r="W88" s="34"/>
      <c r="X88" s="34"/>
      <c r="Y88" s="34"/>
      <c r="Z88" s="34"/>
      <c r="AA88" s="34"/>
      <c r="AB88" s="34"/>
      <c r="AC88" s="7"/>
      <c r="AD88" s="7"/>
      <c r="AE88" s="7"/>
    </row>
    <row r="89" spans="1:31" ht="12.75" x14ac:dyDescent="0.2">
      <c r="A89" s="22"/>
      <c r="B89" s="39" t="s">
        <v>161</v>
      </c>
      <c r="C89" s="40" t="s">
        <v>162</v>
      </c>
      <c r="D89" s="5">
        <v>1</v>
      </c>
      <c r="E89" s="5">
        <v>2</v>
      </c>
      <c r="F89" s="5">
        <v>7</v>
      </c>
      <c r="G89" s="25">
        <v>7</v>
      </c>
      <c r="H89" s="26">
        <f ca="1">IFERROR(__xludf.DUMMYFUNCTION("(R89 * IFERROR(IF(S89&lt;&gt;"""",FILTER($G:$G,$C:$C=S89),0), 0)) + (U89 * IFERROR(IF(V89&lt;&gt;"""",FILTER($G:$G,$C:$C=V89),0), 0)) + (X89 * IFERROR(IF(Y89&lt;&gt;"""",FILTER($G:$G,$C:$C=Y89),0), 0)) + (AA89 * IFERROR(IF(AB89&lt;&gt;"""",FILTER($G:$G,$C:$C=AB89),0), 0))"),4.32)</f>
        <v>4.32</v>
      </c>
      <c r="I89" s="27">
        <f t="shared" ca="1" si="0"/>
        <v>2.6799999999999997</v>
      </c>
      <c r="J89" s="5">
        <v>1.67</v>
      </c>
      <c r="K89" s="5">
        <v>1.33</v>
      </c>
      <c r="L89" s="5">
        <f t="shared" si="5"/>
        <v>1.67</v>
      </c>
      <c r="M89" s="28">
        <f t="shared" si="1"/>
        <v>4.1900000000000004</v>
      </c>
      <c r="N89" s="29">
        <f t="shared" ca="1" si="2"/>
        <v>1.6</v>
      </c>
      <c r="O89" s="5">
        <v>1</v>
      </c>
      <c r="P89" s="30">
        <f t="shared" si="3"/>
        <v>0.6</v>
      </c>
      <c r="Q89" s="31"/>
      <c r="R89" s="32">
        <v>0.67</v>
      </c>
      <c r="S89" s="33" t="s">
        <v>22</v>
      </c>
      <c r="T89" s="32"/>
      <c r="U89" s="32">
        <v>0.33</v>
      </c>
      <c r="V89" s="33" t="s">
        <v>25</v>
      </c>
      <c r="W89" s="33"/>
      <c r="X89" s="33"/>
      <c r="Y89" s="33"/>
      <c r="Z89" s="33"/>
      <c r="AA89" s="33"/>
      <c r="AB89" s="34"/>
      <c r="AC89" s="6"/>
      <c r="AD89" s="6"/>
      <c r="AE89" s="7"/>
    </row>
    <row r="90" spans="1:31" ht="12.75" x14ac:dyDescent="0.2">
      <c r="A90" s="22"/>
      <c r="B90" s="39" t="s">
        <v>161</v>
      </c>
      <c r="C90" s="40" t="s">
        <v>163</v>
      </c>
      <c r="D90" s="5">
        <v>6</v>
      </c>
      <c r="E90" s="5">
        <v>4</v>
      </c>
      <c r="F90" s="5">
        <v>14</v>
      </c>
      <c r="G90" s="25">
        <v>14</v>
      </c>
      <c r="H90" s="26">
        <f ca="1">IFERROR(__xludf.DUMMYFUNCTION("(R90 * IFERROR(IF(S90&lt;&gt;"""",FILTER($G:$G,$C:$C=S90),0), 0)) + (U90 * IFERROR(IF(V90&lt;&gt;"""",FILTER($G:$G,$C:$C=V90),0), 0)) + (X90 * IFERROR(IF(Y90&lt;&gt;"""",FILTER($G:$G,$C:$C=Y90),0), 0)) + (AA90 * IFERROR(IF(AB90&lt;&gt;"""",FILTER($G:$G,$C:$C=AB90),0), 0))"),9.01)</f>
        <v>9.01</v>
      </c>
      <c r="I90" s="27">
        <f t="shared" ca="1" si="0"/>
        <v>4.99</v>
      </c>
      <c r="J90" s="5">
        <v>3.33</v>
      </c>
      <c r="K90" s="5">
        <v>2.67</v>
      </c>
      <c r="L90" s="5">
        <f t="shared" si="5"/>
        <v>3.33</v>
      </c>
      <c r="M90" s="28">
        <f t="shared" si="1"/>
        <v>4.2</v>
      </c>
      <c r="N90" s="29">
        <f t="shared" ca="1" si="2"/>
        <v>1.5</v>
      </c>
      <c r="O90" s="5">
        <v>2</v>
      </c>
      <c r="P90" s="30">
        <f t="shared" si="3"/>
        <v>0.6</v>
      </c>
      <c r="Q90" s="31"/>
      <c r="R90" s="32">
        <v>0.33</v>
      </c>
      <c r="S90" s="33" t="s">
        <v>25</v>
      </c>
      <c r="T90" s="32"/>
      <c r="U90" s="32">
        <v>0.67</v>
      </c>
      <c r="V90" s="33" t="s">
        <v>164</v>
      </c>
      <c r="W90" s="33"/>
      <c r="X90" s="33"/>
      <c r="Y90" s="33"/>
      <c r="Z90" s="33"/>
      <c r="AA90" s="33"/>
      <c r="AB90" s="34"/>
      <c r="AC90" s="6"/>
      <c r="AD90" s="6"/>
      <c r="AE90" s="7"/>
    </row>
    <row r="91" spans="1:31" ht="12.75" x14ac:dyDescent="0.2">
      <c r="A91" s="22"/>
      <c r="B91" s="39" t="s">
        <v>161</v>
      </c>
      <c r="C91" s="40" t="s">
        <v>165</v>
      </c>
      <c r="D91" s="5">
        <v>10</v>
      </c>
      <c r="E91" s="5">
        <v>4</v>
      </c>
      <c r="F91" s="5">
        <v>14</v>
      </c>
      <c r="G91" s="25">
        <v>14</v>
      </c>
      <c r="H91" s="26">
        <f ca="1">IFERROR(__xludf.DUMMYFUNCTION("(R91 * IFERROR(IF(S91&lt;&gt;"""",FILTER($G:$G,$C:$C=S91),0), 0)) + (U91 * IFERROR(IF(V91&lt;&gt;"""",FILTER($G:$G,$C:$C=V91),0), 0)) + (X91 * IFERROR(IF(Y91&lt;&gt;"""",FILTER($G:$G,$C:$C=Y91),0), 0)) + (AA91 * IFERROR(IF(AB91&lt;&gt;"""",FILTER($G:$G,$C:$C=AB91),0), 0))"),7.99)</f>
        <v>7.99</v>
      </c>
      <c r="I91" s="27">
        <f t="shared" ca="1" si="0"/>
        <v>6.01</v>
      </c>
      <c r="J91" s="5">
        <v>6.67</v>
      </c>
      <c r="K91" s="5">
        <v>5.67</v>
      </c>
      <c r="L91" s="5">
        <f t="shared" si="5"/>
        <v>6.67</v>
      </c>
      <c r="M91" s="28">
        <f t="shared" si="1"/>
        <v>2.1</v>
      </c>
      <c r="N91" s="29">
        <f t="shared" ca="1" si="2"/>
        <v>0.9</v>
      </c>
      <c r="O91" s="5">
        <v>2</v>
      </c>
      <c r="P91" s="30">
        <f t="shared" si="3"/>
        <v>0.3</v>
      </c>
      <c r="Q91" s="31"/>
      <c r="R91" s="32">
        <v>0.67</v>
      </c>
      <c r="S91" s="33" t="s">
        <v>80</v>
      </c>
      <c r="T91" s="32"/>
      <c r="U91" s="32">
        <v>0.33</v>
      </c>
      <c r="V91" s="33" t="s">
        <v>164</v>
      </c>
      <c r="W91" s="33"/>
      <c r="X91" s="33"/>
      <c r="Y91" s="33"/>
      <c r="Z91" s="33"/>
      <c r="AA91" s="33"/>
      <c r="AB91" s="34"/>
      <c r="AC91" s="6"/>
      <c r="AD91" s="6"/>
      <c r="AE91" s="7"/>
    </row>
    <row r="92" spans="1:31" ht="12.75" x14ac:dyDescent="0.2">
      <c r="A92" s="22"/>
      <c r="B92" s="39" t="s">
        <v>161</v>
      </c>
      <c r="C92" s="40" t="s">
        <v>166</v>
      </c>
      <c r="D92" s="5">
        <v>16</v>
      </c>
      <c r="E92" s="5">
        <v>4</v>
      </c>
      <c r="F92" s="5">
        <v>14</v>
      </c>
      <c r="G92" s="25">
        <v>14</v>
      </c>
      <c r="H92" s="26">
        <f ca="1">IFERROR(__xludf.DUMMYFUNCTION("(R92 * IFERROR(IF(S92&lt;&gt;"""",FILTER($G:$G,$C:$C=S92),0), 0)) + (U92 * IFERROR(IF(V92&lt;&gt;"""",FILTER($G:$G,$C:$C=V92),0), 0)) + (X92 * IFERROR(IF(Y92&lt;&gt;"""",FILTER($G:$G,$C:$C=Y92),0), 0)) + (AA92 * IFERROR(IF(AB92&lt;&gt;"""",FILTER($G:$G,$C:$C=AB92),0), 0))"),6.3)</f>
        <v>6.3</v>
      </c>
      <c r="I92" s="27">
        <f t="shared" ca="1" si="0"/>
        <v>7.7</v>
      </c>
      <c r="J92" s="5">
        <v>10</v>
      </c>
      <c r="K92" s="5">
        <v>8.33</v>
      </c>
      <c r="L92" s="5">
        <f t="shared" si="5"/>
        <v>10</v>
      </c>
      <c r="M92" s="28">
        <f t="shared" si="1"/>
        <v>1.4</v>
      </c>
      <c r="N92" s="29">
        <f t="shared" ca="1" si="2"/>
        <v>0.77</v>
      </c>
      <c r="O92" s="5">
        <v>3</v>
      </c>
      <c r="P92" s="30">
        <f t="shared" si="3"/>
        <v>0.3</v>
      </c>
      <c r="Q92" s="31"/>
      <c r="R92" s="32">
        <v>1</v>
      </c>
      <c r="S92" s="33" t="s">
        <v>22</v>
      </c>
      <c r="T92" s="32"/>
      <c r="U92" s="32">
        <v>0.33</v>
      </c>
      <c r="V92" s="33" t="s">
        <v>164</v>
      </c>
      <c r="W92" s="33"/>
      <c r="X92" s="33"/>
      <c r="Y92" s="33"/>
      <c r="Z92" s="33"/>
      <c r="AA92" s="33"/>
      <c r="AB92" s="34"/>
      <c r="AC92" s="6"/>
      <c r="AD92" s="6"/>
      <c r="AE92" s="7"/>
    </row>
    <row r="93" spans="1:31" ht="12.75" x14ac:dyDescent="0.2">
      <c r="A93" s="22"/>
      <c r="B93" s="39" t="s">
        <v>161</v>
      </c>
      <c r="C93" s="40" t="s">
        <v>167</v>
      </c>
      <c r="D93" s="5">
        <v>32</v>
      </c>
      <c r="E93" s="5">
        <v>4</v>
      </c>
      <c r="F93" s="5">
        <v>14</v>
      </c>
      <c r="G93" s="25">
        <v>14</v>
      </c>
      <c r="H93" s="26">
        <f ca="1">IFERROR(__xludf.DUMMYFUNCTION("(R93 * IFERROR(IF(S93&lt;&gt;"""",FILTER($G:$G,$C:$C=S93),0), 0)) + (U93 * IFERROR(IF(V93&lt;&gt;"""",FILTER($G:$G,$C:$C=V93),0), 0)) + (X93 * IFERROR(IF(Y93&lt;&gt;"""",FILTER($G:$G,$C:$C=Y93),0), 0)) + (AA93 * IFERROR(IF(AB93&lt;&gt;"""",FILTER($G:$G,$C:$C=AB93),0), 0))"),7.99)</f>
        <v>7.99</v>
      </c>
      <c r="I93" s="27">
        <f t="shared" ca="1" si="0"/>
        <v>6.01</v>
      </c>
      <c r="J93" s="5">
        <v>13.33</v>
      </c>
      <c r="K93" s="5">
        <v>11.33</v>
      </c>
      <c r="L93" s="5">
        <f t="shared" si="5"/>
        <v>13.33</v>
      </c>
      <c r="M93" s="28">
        <f t="shared" si="1"/>
        <v>1.05</v>
      </c>
      <c r="N93" s="29">
        <f t="shared" ca="1" si="2"/>
        <v>0.45</v>
      </c>
      <c r="O93" s="5">
        <v>3</v>
      </c>
      <c r="P93" s="30">
        <f t="shared" si="3"/>
        <v>0.23</v>
      </c>
      <c r="Q93" s="31"/>
      <c r="R93" s="32">
        <v>0.33</v>
      </c>
      <c r="S93" s="33" t="s">
        <v>22</v>
      </c>
      <c r="T93" s="32"/>
      <c r="U93" s="32">
        <v>0.33</v>
      </c>
      <c r="V93" s="33" t="s">
        <v>25</v>
      </c>
      <c r="W93" s="32"/>
      <c r="X93" s="32">
        <v>0.67</v>
      </c>
      <c r="Y93" s="33" t="s">
        <v>80</v>
      </c>
      <c r="Z93" s="33"/>
      <c r="AA93" s="33"/>
      <c r="AB93" s="34"/>
      <c r="AC93" s="6"/>
      <c r="AD93" s="6"/>
      <c r="AE93" s="7"/>
    </row>
    <row r="94" spans="1:31" ht="12.75" x14ac:dyDescent="0.2">
      <c r="A94" s="22"/>
      <c r="B94" s="39" t="s">
        <v>161</v>
      </c>
      <c r="C94" s="40" t="s">
        <v>168</v>
      </c>
      <c r="D94" s="6" t="s">
        <v>457</v>
      </c>
      <c r="E94" s="5">
        <v>14</v>
      </c>
      <c r="F94" s="5">
        <v>50</v>
      </c>
      <c r="G94" s="25">
        <v>50</v>
      </c>
      <c r="H94" s="26">
        <f ca="1">IFERROR(__xludf.DUMMYFUNCTION("(R94 * IFERROR(IF(S94&lt;&gt;"""",FILTER($G:$G,$C:$C=S94),0), 0)) + (U94 * IFERROR(IF(V94&lt;&gt;"""",FILTER($G:$G,$C:$C=V94),0), 0)) + (X94 * IFERROR(IF(Y94&lt;&gt;"""",FILTER($G:$G,$C:$C=Y94),0), 0)) + (AA94 * IFERROR(IF(AB94&lt;&gt;"""",FILTER($G:$G,$C:$C=AB94),0), 0))"),75)</f>
        <v>75</v>
      </c>
      <c r="I94" s="27">
        <f t="shared" ca="1" si="0"/>
        <v>-25</v>
      </c>
      <c r="J94" s="5">
        <v>30</v>
      </c>
      <c r="K94" s="5">
        <v>25.33</v>
      </c>
      <c r="L94" s="5">
        <f t="shared" si="5"/>
        <v>30</v>
      </c>
      <c r="M94" s="28">
        <f t="shared" si="1"/>
        <v>1.67</v>
      </c>
      <c r="N94" s="29">
        <f t="shared" ca="1" si="2"/>
        <v>-0.83</v>
      </c>
      <c r="O94" s="5">
        <v>10</v>
      </c>
      <c r="P94" s="30">
        <f t="shared" si="3"/>
        <v>0.33</v>
      </c>
      <c r="Q94" s="31"/>
      <c r="R94" s="32">
        <v>25</v>
      </c>
      <c r="S94" s="33" t="s">
        <v>22</v>
      </c>
      <c r="T94" s="33"/>
      <c r="U94" s="33"/>
      <c r="V94" s="33"/>
      <c r="W94" s="33"/>
      <c r="X94" s="33"/>
      <c r="Y94" s="33"/>
      <c r="Z94" s="33"/>
      <c r="AA94" s="33"/>
      <c r="AB94" s="34"/>
      <c r="AC94" s="6"/>
      <c r="AD94" s="6"/>
      <c r="AE94" s="7"/>
    </row>
    <row r="95" spans="1:31" ht="12.75" x14ac:dyDescent="0.2">
      <c r="A95" s="22"/>
      <c r="B95" s="44" t="s">
        <v>161</v>
      </c>
      <c r="C95" s="45" t="s">
        <v>458</v>
      </c>
      <c r="D95" s="7" t="s">
        <v>457</v>
      </c>
      <c r="E95" s="8">
        <v>20</v>
      </c>
      <c r="F95" s="8">
        <v>72</v>
      </c>
      <c r="G95" s="37">
        <v>72</v>
      </c>
      <c r="H95" s="26">
        <f ca="1">IFERROR(__xludf.DUMMYFUNCTION("(R95 * IFERROR(IF(S95&lt;&gt;"""",FILTER($G:$G,$C:$C=S95),0), 0)) + (U95 * IFERROR(IF(V95&lt;&gt;"""",FILTER($G:$G,$C:$C=V95),0), 0)) + (X95 * IFERROR(IF(Y95&lt;&gt;"""",FILTER($G:$G,$C:$C=Y95),0), 0)) + (AA95 * IFERROR(IF(AB95&lt;&gt;"""",FILTER($G:$G,$C:$C=AB95),0), 0))"),65.69)</f>
        <v>65.69</v>
      </c>
      <c r="I95" s="27">
        <f t="shared" ca="1" si="0"/>
        <v>6.3100000000000023</v>
      </c>
      <c r="J95" s="8">
        <v>15</v>
      </c>
      <c r="K95" s="8">
        <v>12.67</v>
      </c>
      <c r="L95" s="5">
        <f t="shared" si="5"/>
        <v>15</v>
      </c>
      <c r="M95" s="28">
        <f t="shared" si="1"/>
        <v>4.8</v>
      </c>
      <c r="N95" s="29">
        <f t="shared" ca="1" si="2"/>
        <v>0.42</v>
      </c>
      <c r="O95" s="8">
        <v>9</v>
      </c>
      <c r="P95" s="27">
        <f t="shared" si="3"/>
        <v>0.6</v>
      </c>
      <c r="Q95" s="38"/>
      <c r="R95" s="46">
        <v>1</v>
      </c>
      <c r="S95" s="34" t="s">
        <v>43</v>
      </c>
      <c r="T95" s="46"/>
      <c r="U95" s="46">
        <v>1.67</v>
      </c>
      <c r="V95" s="34" t="s">
        <v>80</v>
      </c>
      <c r="W95" s="34"/>
      <c r="X95" s="34"/>
      <c r="Y95" s="34"/>
      <c r="Z95" s="34"/>
      <c r="AA95" s="34"/>
      <c r="AB95" s="34"/>
      <c r="AC95" s="7"/>
      <c r="AD95" s="7"/>
      <c r="AE95" s="7"/>
    </row>
    <row r="96" spans="1:31" ht="12.75" x14ac:dyDescent="0.2">
      <c r="A96" s="22"/>
      <c r="B96" s="23" t="s">
        <v>459</v>
      </c>
      <c r="C96" s="24" t="s">
        <v>22</v>
      </c>
      <c r="D96" s="5">
        <v>1</v>
      </c>
      <c r="E96" s="5">
        <v>1</v>
      </c>
      <c r="F96" s="5">
        <v>3</v>
      </c>
      <c r="G96" s="25">
        <v>3</v>
      </c>
      <c r="H96" s="26">
        <f ca="1">IFERROR(__xludf.DUMMYFUNCTION("(R96 * IFERROR(IF(S96&lt;&gt;"""",FILTER($G:$G,$C:$C=S96),0), 0)) + (U96 * IFERROR(IF(V96&lt;&gt;"""",FILTER($G:$G,$C:$C=V96),0), 0)) + (X96 * IFERROR(IF(Y96&lt;&gt;"""",FILTER($G:$G,$C:$C=Y96),0), 0)) + (AA96 * IFERROR(IF(AB96&lt;&gt;"""",FILTER($G:$G,$C:$C=AB96),0), 0))"),0)</f>
        <v>0</v>
      </c>
      <c r="I96" s="27">
        <f t="shared" ca="1" si="0"/>
        <v>3</v>
      </c>
      <c r="J96" s="5">
        <v>2</v>
      </c>
      <c r="K96" s="5">
        <v>2</v>
      </c>
      <c r="L96" s="5">
        <f t="shared" si="5"/>
        <v>2</v>
      </c>
      <c r="M96" s="28">
        <f t="shared" si="1"/>
        <v>1.5</v>
      </c>
      <c r="N96" s="29">
        <f t="shared" ca="1" si="2"/>
        <v>1.5</v>
      </c>
      <c r="O96" s="5">
        <v>1</v>
      </c>
      <c r="P96" s="30">
        <f t="shared" si="3"/>
        <v>0.5</v>
      </c>
      <c r="Q96" s="31" t="s">
        <v>460</v>
      </c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4"/>
      <c r="AC96" s="6"/>
      <c r="AD96" s="6"/>
      <c r="AE96" s="7"/>
    </row>
    <row r="97" spans="1:31" ht="12.75" x14ac:dyDescent="0.2">
      <c r="A97" s="22"/>
      <c r="B97" s="23" t="s">
        <v>459</v>
      </c>
      <c r="C97" s="24" t="s">
        <v>25</v>
      </c>
      <c r="D97" s="5">
        <v>2</v>
      </c>
      <c r="E97" s="5">
        <v>2</v>
      </c>
      <c r="F97" s="5">
        <v>7</v>
      </c>
      <c r="G97" s="25">
        <v>7</v>
      </c>
      <c r="H97" s="26">
        <f ca="1">IFERROR(__xludf.DUMMYFUNCTION("(R97 * IFERROR(IF(S97&lt;&gt;"""",FILTER($G:$G,$C:$C=S97),0), 0)) + (U97 * IFERROR(IF(V97&lt;&gt;"""",FILTER($G:$G,$C:$C=V97),0), 0)) + (X97 * IFERROR(IF(Y97&lt;&gt;"""",FILTER($G:$G,$C:$C=Y97),0), 0)) + (AA97 * IFERROR(IF(AB97&lt;&gt;"""",FILTER($G:$G,$C:$C=AB97),0), 0))"),0)</f>
        <v>0</v>
      </c>
      <c r="I97" s="27">
        <f t="shared" ca="1" si="0"/>
        <v>7</v>
      </c>
      <c r="J97" s="5">
        <v>5</v>
      </c>
      <c r="K97" s="5">
        <v>5</v>
      </c>
      <c r="L97" s="5">
        <f t="shared" si="5"/>
        <v>5</v>
      </c>
      <c r="M97" s="28">
        <f t="shared" si="1"/>
        <v>1.4</v>
      </c>
      <c r="N97" s="29">
        <f t="shared" ca="1" si="2"/>
        <v>1.4</v>
      </c>
      <c r="O97" s="5">
        <v>1</v>
      </c>
      <c r="P97" s="30">
        <f t="shared" si="3"/>
        <v>0.2</v>
      </c>
      <c r="Q97" s="31" t="s">
        <v>461</v>
      </c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4"/>
      <c r="AC97" s="6"/>
      <c r="AD97" s="6"/>
      <c r="AE97" s="7"/>
    </row>
    <row r="98" spans="1:31" ht="12.75" x14ac:dyDescent="0.2">
      <c r="A98" s="22"/>
      <c r="B98" s="23" t="s">
        <v>459</v>
      </c>
      <c r="C98" s="24" t="s">
        <v>164</v>
      </c>
      <c r="D98" s="5">
        <v>5</v>
      </c>
      <c r="E98" s="5">
        <v>3</v>
      </c>
      <c r="F98" s="5">
        <v>10</v>
      </c>
      <c r="G98" s="25">
        <v>10</v>
      </c>
      <c r="H98" s="26">
        <f ca="1">IFERROR(__xludf.DUMMYFUNCTION("(R98 * IFERROR(IF(S98&lt;&gt;"""",FILTER($G:$G,$C:$C=S98),0), 0)) + (U98 * IFERROR(IF(V98&lt;&gt;"""",FILTER($G:$G,$C:$C=V98),0), 0)) + (X98 * IFERROR(IF(Y98&lt;&gt;"""",FILTER($G:$G,$C:$C=Y98),0), 0)) + (AA98 * IFERROR(IF(AB98&lt;&gt;"""",FILTER($G:$G,$C:$C=AB98),0), 0))"),0)</f>
        <v>0</v>
      </c>
      <c r="I98" s="27">
        <f t="shared" ca="1" si="0"/>
        <v>10</v>
      </c>
      <c r="J98" s="5">
        <v>20</v>
      </c>
      <c r="K98" s="5">
        <v>20</v>
      </c>
      <c r="L98" s="5">
        <f t="shared" si="5"/>
        <v>20</v>
      </c>
      <c r="M98" s="28">
        <f t="shared" si="1"/>
        <v>0.5</v>
      </c>
      <c r="N98" s="29">
        <f t="shared" ca="1" si="2"/>
        <v>0.5</v>
      </c>
      <c r="O98" s="5">
        <v>2</v>
      </c>
      <c r="P98" s="30">
        <f t="shared" si="3"/>
        <v>0.1</v>
      </c>
      <c r="Q98" s="31" t="s">
        <v>462</v>
      </c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4"/>
      <c r="AC98" s="6"/>
      <c r="AD98" s="6"/>
      <c r="AE98" s="7"/>
    </row>
    <row r="99" spans="1:31" ht="12.75" x14ac:dyDescent="0.2">
      <c r="A99" s="22"/>
      <c r="B99" s="23" t="s">
        <v>459</v>
      </c>
      <c r="C99" s="24" t="s">
        <v>463</v>
      </c>
      <c r="D99" s="5">
        <v>7</v>
      </c>
      <c r="E99" s="5">
        <v>4</v>
      </c>
      <c r="F99" s="5">
        <v>14</v>
      </c>
      <c r="G99" s="25">
        <v>14</v>
      </c>
      <c r="H99" s="26">
        <f ca="1">IFERROR(__xludf.DUMMYFUNCTION("(R99 * IFERROR(IF(S99&lt;&gt;"""",FILTER($G:$G,$C:$C=S99),0), 0)) + (U99 * IFERROR(IF(V99&lt;&gt;"""",FILTER($G:$G,$C:$C=V99),0), 0)) + (X99 * IFERROR(IF(Y99&lt;&gt;"""",FILTER($G:$G,$C:$C=Y99),0), 0)) + (AA99 * IFERROR(IF(AB99&lt;&gt;"""",FILTER($G:$G,$C:$C=AB99),0), 0))"),0)</f>
        <v>0</v>
      </c>
      <c r="I99" s="27">
        <f t="shared" ca="1" si="0"/>
        <v>14</v>
      </c>
      <c r="J99" s="5">
        <v>30</v>
      </c>
      <c r="K99" s="5">
        <v>30</v>
      </c>
      <c r="L99" s="5">
        <f t="shared" si="5"/>
        <v>30</v>
      </c>
      <c r="M99" s="28">
        <f t="shared" si="1"/>
        <v>0.47</v>
      </c>
      <c r="N99" s="29">
        <f t="shared" ca="1" si="2"/>
        <v>0.47</v>
      </c>
      <c r="O99" s="5">
        <v>3</v>
      </c>
      <c r="P99" s="30">
        <f t="shared" si="3"/>
        <v>0.1</v>
      </c>
      <c r="Q99" s="31" t="s">
        <v>464</v>
      </c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4"/>
      <c r="AC99" s="6"/>
      <c r="AD99" s="6"/>
      <c r="AE99" s="7"/>
    </row>
    <row r="100" spans="1:31" ht="12.75" x14ac:dyDescent="0.2">
      <c r="A100" s="22"/>
      <c r="B100" s="23" t="s">
        <v>459</v>
      </c>
      <c r="C100" s="24" t="s">
        <v>80</v>
      </c>
      <c r="D100" s="5">
        <v>9</v>
      </c>
      <c r="E100" s="5">
        <v>2</v>
      </c>
      <c r="F100" s="5">
        <v>7</v>
      </c>
      <c r="G100" s="25">
        <v>7</v>
      </c>
      <c r="H100" s="26">
        <f ca="1">IFERROR(__xludf.DUMMYFUNCTION("(R100 * IFERROR(IF(S100&lt;&gt;"""",FILTER($G:$G,$C:$C=S100),0), 0)) + (U100 * IFERROR(IF(V100&lt;&gt;"""",FILTER($G:$G,$C:$C=V100),0), 0)) + (X100 * IFERROR(IF(Y100&lt;&gt;"""",FILTER($G:$G,$C:$C=Y100),0), 0)) + (AA100 * IFERROR(IF(AB100&lt;&gt;"""",FILTER($G:$G,$C:$C=AB100),0)"&amp;", 0))"),0)</f>
        <v>0</v>
      </c>
      <c r="I100" s="27">
        <f t="shared" ca="1" si="0"/>
        <v>7</v>
      </c>
      <c r="J100" s="5">
        <v>10</v>
      </c>
      <c r="K100" s="5">
        <v>10</v>
      </c>
      <c r="L100" s="5">
        <f t="shared" si="5"/>
        <v>10</v>
      </c>
      <c r="M100" s="28">
        <f t="shared" si="1"/>
        <v>0.7</v>
      </c>
      <c r="N100" s="29">
        <f t="shared" ca="1" si="2"/>
        <v>0.7</v>
      </c>
      <c r="O100" s="5">
        <v>2</v>
      </c>
      <c r="P100" s="30">
        <f t="shared" si="3"/>
        <v>0.2</v>
      </c>
      <c r="Q100" s="31" t="s">
        <v>465</v>
      </c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4"/>
      <c r="AC100" s="6"/>
      <c r="AD100" s="6"/>
      <c r="AE100" s="7"/>
    </row>
    <row r="101" spans="1:31" ht="12.75" x14ac:dyDescent="0.2">
      <c r="A101" s="22"/>
      <c r="B101" s="23" t="s">
        <v>459</v>
      </c>
      <c r="C101" s="24" t="s">
        <v>124</v>
      </c>
      <c r="D101" s="5">
        <v>13</v>
      </c>
      <c r="E101" s="5">
        <v>7</v>
      </c>
      <c r="F101" s="5">
        <v>25</v>
      </c>
      <c r="G101" s="25">
        <v>25</v>
      </c>
      <c r="H101" s="26">
        <f ca="1">IFERROR(__xludf.DUMMYFUNCTION("(R101 * IFERROR(IF(S101&lt;&gt;"""",FILTER($G:$G,$C:$C=S101),0), 0)) + (U101 * IFERROR(IF(V101&lt;&gt;"""",FILTER($G:$G,$C:$C=V101),0), 0)) + (X101 * IFERROR(IF(Y101&lt;&gt;"""",FILTER($G:$G,$C:$C=Y101),0), 0)) + (AA101 * IFERROR(IF(AB101&lt;&gt;"""",FILTER($G:$G,$C:$C=AB101),0)"&amp;", 0))"),0)</f>
        <v>0</v>
      </c>
      <c r="I101" s="27">
        <f t="shared" ca="1" si="0"/>
        <v>25</v>
      </c>
      <c r="J101" s="5">
        <v>120</v>
      </c>
      <c r="K101" s="5">
        <v>120</v>
      </c>
      <c r="L101" s="5">
        <f t="shared" si="5"/>
        <v>120</v>
      </c>
      <c r="M101" s="28">
        <f t="shared" si="1"/>
        <v>0.21</v>
      </c>
      <c r="N101" s="29">
        <f t="shared" ca="1" si="2"/>
        <v>0.21</v>
      </c>
      <c r="O101" s="5">
        <v>5</v>
      </c>
      <c r="P101" s="30">
        <f t="shared" si="3"/>
        <v>0.04</v>
      </c>
      <c r="Q101" s="31" t="s">
        <v>466</v>
      </c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4"/>
      <c r="AC101" s="6"/>
      <c r="AD101" s="6"/>
      <c r="AE101" s="7"/>
    </row>
    <row r="102" spans="1:31" ht="12.75" x14ac:dyDescent="0.2">
      <c r="A102" s="22"/>
      <c r="B102" s="23" t="s">
        <v>459</v>
      </c>
      <c r="C102" s="24" t="s">
        <v>81</v>
      </c>
      <c r="D102" s="5">
        <v>15</v>
      </c>
      <c r="E102" s="5">
        <v>9</v>
      </c>
      <c r="F102" s="5">
        <v>32</v>
      </c>
      <c r="G102" s="25">
        <v>32</v>
      </c>
      <c r="H102" s="26">
        <f ca="1">IFERROR(__xludf.DUMMYFUNCTION("(R102 * IFERROR(IF(S102&lt;&gt;"""",FILTER($G:$G,$C:$C=S102),0), 0)) + (U102 * IFERROR(IF(V102&lt;&gt;"""",FILTER($G:$G,$C:$C=V102),0), 0)) + (X102 * IFERROR(IF(Y102&lt;&gt;"""",FILTER($G:$G,$C:$C=Y102),0), 0)) + (AA102 * IFERROR(IF(AB102&lt;&gt;"""",FILTER($G:$G,$C:$C=AB102),0)"&amp;", 0))"),0)</f>
        <v>0</v>
      </c>
      <c r="I102" s="27">
        <f t="shared" ca="1" si="0"/>
        <v>32</v>
      </c>
      <c r="J102" s="5">
        <v>180</v>
      </c>
      <c r="K102" s="5">
        <v>180</v>
      </c>
      <c r="L102" s="5">
        <f t="shared" si="5"/>
        <v>180</v>
      </c>
      <c r="M102" s="28">
        <f t="shared" si="1"/>
        <v>0.18</v>
      </c>
      <c r="N102" s="29">
        <f t="shared" ca="1" si="2"/>
        <v>0.18</v>
      </c>
      <c r="O102" s="5">
        <v>6</v>
      </c>
      <c r="P102" s="30">
        <f t="shared" si="3"/>
        <v>0.03</v>
      </c>
      <c r="Q102" s="31" t="s">
        <v>467</v>
      </c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4"/>
      <c r="AC102" s="6"/>
      <c r="AD102" s="6"/>
      <c r="AE102" s="7"/>
    </row>
    <row r="103" spans="1:31" ht="12.75" x14ac:dyDescent="0.2">
      <c r="A103" s="22"/>
      <c r="B103" s="23" t="s">
        <v>459</v>
      </c>
      <c r="C103" s="24" t="s">
        <v>171</v>
      </c>
      <c r="D103" s="5">
        <v>18</v>
      </c>
      <c r="E103" s="5">
        <v>8</v>
      </c>
      <c r="F103" s="5">
        <v>28</v>
      </c>
      <c r="G103" s="25">
        <v>28</v>
      </c>
      <c r="H103" s="26">
        <f ca="1">IFERROR(__xludf.DUMMYFUNCTION("(R103 * IFERROR(IF(S103&lt;&gt;"""",FILTER($G:$G,$C:$C=S103),0), 0)) + (U103 * IFERROR(IF(V103&lt;&gt;"""",FILTER($G:$G,$C:$C=V103),0), 0)) + (X103 * IFERROR(IF(Y103&lt;&gt;"""",FILTER($G:$G,$C:$C=Y103),0), 0)) + (AA103 * IFERROR(IF(AB103&lt;&gt;"""",FILTER($G:$G,$C:$C=AB103),0)"&amp;", 0))"),0)</f>
        <v>0</v>
      </c>
      <c r="I103" s="27">
        <f t="shared" ca="1" si="0"/>
        <v>28</v>
      </c>
      <c r="J103" s="5">
        <v>150</v>
      </c>
      <c r="K103" s="5">
        <v>150</v>
      </c>
      <c r="L103" s="5">
        <f t="shared" si="5"/>
        <v>150</v>
      </c>
      <c r="M103" s="28">
        <f t="shared" si="1"/>
        <v>0.19</v>
      </c>
      <c r="N103" s="29">
        <f t="shared" ca="1" si="2"/>
        <v>0.19</v>
      </c>
      <c r="O103" s="5">
        <v>6</v>
      </c>
      <c r="P103" s="30">
        <f t="shared" si="3"/>
        <v>0.04</v>
      </c>
      <c r="Q103" s="31" t="s">
        <v>468</v>
      </c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4"/>
      <c r="AC103" s="6"/>
      <c r="AD103" s="6"/>
      <c r="AE103" s="7"/>
    </row>
    <row r="104" spans="1:31" ht="12.75" x14ac:dyDescent="0.2">
      <c r="A104" s="22"/>
      <c r="B104" s="23" t="s">
        <v>459</v>
      </c>
      <c r="C104" s="24" t="s">
        <v>37</v>
      </c>
      <c r="D104" s="5">
        <v>25</v>
      </c>
      <c r="E104" s="5">
        <v>10</v>
      </c>
      <c r="F104" s="5">
        <v>36</v>
      </c>
      <c r="G104" s="25">
        <v>36</v>
      </c>
      <c r="H104" s="26">
        <f ca="1">IFERROR(__xludf.DUMMYFUNCTION("(R104 * IFERROR(IF(S104&lt;&gt;"""",FILTER($G:$G,$C:$C=S104),0), 0)) + (U104 * IFERROR(IF(V104&lt;&gt;"""",FILTER($G:$G,$C:$C=V104),0), 0)) + (X104 * IFERROR(IF(Y104&lt;&gt;"""",FILTER($G:$G,$C:$C=Y104),0), 0)) + (AA104 * IFERROR(IF(AB104&lt;&gt;"""",FILTER($G:$G,$C:$C=AB104),0)"&amp;", 0))"),0)</f>
        <v>0</v>
      </c>
      <c r="I104" s="27">
        <f t="shared" ca="1" si="0"/>
        <v>36</v>
      </c>
      <c r="J104" s="5">
        <v>240</v>
      </c>
      <c r="K104" s="5">
        <v>240</v>
      </c>
      <c r="L104" s="5">
        <f t="shared" si="5"/>
        <v>240</v>
      </c>
      <c r="M104" s="28">
        <f t="shared" si="1"/>
        <v>0.15</v>
      </c>
      <c r="N104" s="29">
        <f t="shared" ca="1" si="2"/>
        <v>0.15</v>
      </c>
      <c r="O104" s="5">
        <v>7</v>
      </c>
      <c r="P104" s="30">
        <f t="shared" si="3"/>
        <v>0.03</v>
      </c>
      <c r="Q104" s="31" t="s">
        <v>469</v>
      </c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4"/>
      <c r="AC104" s="6"/>
      <c r="AD104" s="6"/>
      <c r="AE104" s="7"/>
    </row>
    <row r="105" spans="1:31" ht="12.75" x14ac:dyDescent="0.2">
      <c r="A105" s="22"/>
      <c r="B105" s="23" t="s">
        <v>459</v>
      </c>
      <c r="C105" s="24" t="s">
        <v>34</v>
      </c>
      <c r="D105" s="5">
        <v>30</v>
      </c>
      <c r="E105" s="5">
        <v>12</v>
      </c>
      <c r="F105" s="5">
        <v>43</v>
      </c>
      <c r="G105" s="25">
        <v>43</v>
      </c>
      <c r="H105" s="26">
        <f ca="1">IFERROR(__xludf.DUMMYFUNCTION("(R105 * IFERROR(IF(S105&lt;&gt;"""",FILTER($G:$G,$C:$C=S105),0), 0)) + (U105 * IFERROR(IF(V105&lt;&gt;"""",FILTER($G:$G,$C:$C=V105),0), 0)) + (X105 * IFERROR(IF(Y105&lt;&gt;"""",FILTER($G:$G,$C:$C=Y105),0), 0)) + (AA105 * IFERROR(IF(AB105&lt;&gt;"""",FILTER($G:$G,$C:$C=AB105),0)"&amp;", 0))"),0)</f>
        <v>0</v>
      </c>
      <c r="I105" s="27">
        <f t="shared" ca="1" si="0"/>
        <v>43</v>
      </c>
      <c r="J105" s="5">
        <v>360</v>
      </c>
      <c r="K105" s="5">
        <v>360</v>
      </c>
      <c r="L105" s="5">
        <f t="shared" si="5"/>
        <v>360</v>
      </c>
      <c r="M105" s="28">
        <f t="shared" si="1"/>
        <v>0.12</v>
      </c>
      <c r="N105" s="29">
        <f t="shared" ca="1" si="2"/>
        <v>0.12</v>
      </c>
      <c r="O105" s="5">
        <v>8</v>
      </c>
      <c r="P105" s="30">
        <f t="shared" si="3"/>
        <v>0.02</v>
      </c>
      <c r="Q105" s="31" t="s">
        <v>470</v>
      </c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4"/>
      <c r="AC105" s="6"/>
      <c r="AD105" s="6"/>
      <c r="AE105" s="7"/>
    </row>
    <row r="106" spans="1:31" ht="12.75" x14ac:dyDescent="0.2">
      <c r="A106" s="22"/>
      <c r="B106" s="23" t="s">
        <v>459</v>
      </c>
      <c r="C106" s="24" t="s">
        <v>100</v>
      </c>
      <c r="D106" s="5">
        <v>34</v>
      </c>
      <c r="E106" s="5">
        <v>14</v>
      </c>
      <c r="F106" s="5">
        <v>50</v>
      </c>
      <c r="G106" s="25">
        <v>50</v>
      </c>
      <c r="H106" s="26">
        <f ca="1">IFERROR(__xludf.DUMMYFUNCTION("(R106 * IFERROR(IF(S106&lt;&gt;"""",FILTER($G:$G,$C:$C=S106),0), 0)) + (U106 * IFERROR(IF(V106&lt;&gt;"""",FILTER($G:$G,$C:$C=V106),0), 0)) + (X106 * IFERROR(IF(Y106&lt;&gt;"""",FILTER($G:$G,$C:$C=Y106),0), 0)) + (AA106 * IFERROR(IF(AB106&lt;&gt;"""",FILTER($G:$G,$C:$C=AB106),0)"&amp;", 0))"),0)</f>
        <v>0</v>
      </c>
      <c r="I106" s="27">
        <f t="shared" ca="1" si="0"/>
        <v>50</v>
      </c>
      <c r="J106" s="5">
        <v>480</v>
      </c>
      <c r="K106" s="5">
        <v>480</v>
      </c>
      <c r="L106" s="5">
        <f t="shared" si="5"/>
        <v>480</v>
      </c>
      <c r="M106" s="28">
        <f t="shared" si="1"/>
        <v>0.1</v>
      </c>
      <c r="N106" s="29">
        <f t="shared" ca="1" si="2"/>
        <v>0.1</v>
      </c>
      <c r="O106" s="5">
        <v>10</v>
      </c>
      <c r="P106" s="30">
        <f t="shared" si="3"/>
        <v>0.02</v>
      </c>
      <c r="Q106" s="31" t="s">
        <v>471</v>
      </c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4"/>
      <c r="AC106" s="6"/>
      <c r="AD106" s="6"/>
      <c r="AE106" s="7"/>
    </row>
    <row r="107" spans="1:31" ht="12.75" x14ac:dyDescent="0.2">
      <c r="A107" s="22"/>
      <c r="B107" s="23" t="s">
        <v>459</v>
      </c>
      <c r="C107" s="24" t="s">
        <v>39</v>
      </c>
      <c r="D107" s="5">
        <v>35</v>
      </c>
      <c r="E107" s="5">
        <v>10</v>
      </c>
      <c r="F107" s="5">
        <v>36</v>
      </c>
      <c r="G107" s="25">
        <v>36</v>
      </c>
      <c r="H107" s="26">
        <f ca="1">IFERROR(__xludf.DUMMYFUNCTION("(R107 * IFERROR(IF(S107&lt;&gt;"""",FILTER($G:$G,$C:$C=S107),0), 0)) + (U107 * IFERROR(IF(V107&lt;&gt;"""",FILTER($G:$G,$C:$C=V107),0), 0)) + (X107 * IFERROR(IF(Y107&lt;&gt;"""",FILTER($G:$G,$C:$C=Y107),0), 0)) + (AA107 * IFERROR(IF(AB107&lt;&gt;"""",FILTER($G:$G,$C:$C=AB107),0)"&amp;", 0))"),0)</f>
        <v>0</v>
      </c>
      <c r="I107" s="27">
        <f t="shared" ca="1" si="0"/>
        <v>36</v>
      </c>
      <c r="J107" s="5">
        <v>220</v>
      </c>
      <c r="K107" s="5">
        <v>220</v>
      </c>
      <c r="L107" s="5">
        <f t="shared" si="5"/>
        <v>220</v>
      </c>
      <c r="M107" s="28">
        <f t="shared" si="1"/>
        <v>0.16</v>
      </c>
      <c r="N107" s="29">
        <f t="shared" ca="1" si="2"/>
        <v>0.16</v>
      </c>
      <c r="O107" s="5">
        <v>7</v>
      </c>
      <c r="P107" s="30">
        <f t="shared" si="3"/>
        <v>0.03</v>
      </c>
      <c r="Q107" s="31" t="s">
        <v>472</v>
      </c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4"/>
      <c r="AC107" s="6"/>
      <c r="AD107" s="6"/>
      <c r="AE107" s="7"/>
    </row>
    <row r="108" spans="1:31" ht="12.75" x14ac:dyDescent="0.2">
      <c r="A108" s="22"/>
      <c r="B108" s="23" t="s">
        <v>459</v>
      </c>
      <c r="C108" s="24" t="s">
        <v>91</v>
      </c>
      <c r="D108" s="5">
        <v>50</v>
      </c>
      <c r="E108" s="5">
        <v>5</v>
      </c>
      <c r="F108" s="5">
        <v>18</v>
      </c>
      <c r="G108" s="25">
        <v>18</v>
      </c>
      <c r="H108" s="26">
        <f ca="1">IFERROR(__xludf.DUMMYFUNCTION("(R108 * IFERROR(IF(S108&lt;&gt;"""",FILTER($G:$G,$C:$C=S108),0), 0)) + (U108 * IFERROR(IF(V108&lt;&gt;"""",FILTER($G:$G,$C:$C=V108),0), 0)) + (X108 * IFERROR(IF(Y108&lt;&gt;"""",FILTER($G:$G,$C:$C=Y108),0), 0)) + (AA108 * IFERROR(IF(AB108&lt;&gt;"""",FILTER($G:$G,$C:$C=AB108),0)"&amp;", 0))"),0)</f>
        <v>0</v>
      </c>
      <c r="I108" s="27">
        <f t="shared" ca="1" si="0"/>
        <v>18</v>
      </c>
      <c r="J108" s="5">
        <v>60</v>
      </c>
      <c r="K108" s="5">
        <v>60</v>
      </c>
      <c r="L108" s="5">
        <f t="shared" si="5"/>
        <v>60</v>
      </c>
      <c r="M108" s="28">
        <f t="shared" si="1"/>
        <v>0.3</v>
      </c>
      <c r="N108" s="29">
        <f t="shared" ca="1" si="2"/>
        <v>0.3</v>
      </c>
      <c r="O108" s="5">
        <v>4</v>
      </c>
      <c r="P108" s="30">
        <f t="shared" si="3"/>
        <v>7.0000000000000007E-2</v>
      </c>
      <c r="Q108" s="31" t="s">
        <v>473</v>
      </c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4"/>
      <c r="AC108" s="6"/>
      <c r="AD108" s="6"/>
      <c r="AE108" s="7"/>
    </row>
    <row r="109" spans="1:31" ht="12.75" x14ac:dyDescent="0.2">
      <c r="A109" s="22"/>
      <c r="B109" s="23" t="s">
        <v>459</v>
      </c>
      <c r="C109" s="24" t="s">
        <v>110</v>
      </c>
      <c r="D109" s="5">
        <v>52</v>
      </c>
      <c r="E109" s="5">
        <v>4</v>
      </c>
      <c r="F109" s="5">
        <v>14</v>
      </c>
      <c r="G109" s="25">
        <v>14</v>
      </c>
      <c r="H109" s="26">
        <f ca="1">IFERROR(__xludf.DUMMYFUNCTION("(R109 * IFERROR(IF(S109&lt;&gt;"""",FILTER($G:$G,$C:$C=S109),0), 0)) + (U109 * IFERROR(IF(V109&lt;&gt;"""",FILTER($G:$G,$C:$C=V109),0), 0)) + (X109 * IFERROR(IF(Y109&lt;&gt;"""",FILTER($G:$G,$C:$C=Y109),0), 0)) + (AA109 * IFERROR(IF(AB109&lt;&gt;"""",FILTER($G:$G,$C:$C=AB109),0)"&amp;", 0))"),0)</f>
        <v>0</v>
      </c>
      <c r="I109" s="27">
        <f t="shared" ca="1" si="0"/>
        <v>14</v>
      </c>
      <c r="J109" s="5">
        <v>30</v>
      </c>
      <c r="K109" s="5">
        <v>30</v>
      </c>
      <c r="L109" s="5">
        <f t="shared" si="5"/>
        <v>30</v>
      </c>
      <c r="M109" s="28">
        <f t="shared" si="1"/>
        <v>0.47</v>
      </c>
      <c r="N109" s="29">
        <f t="shared" ca="1" si="2"/>
        <v>0.47</v>
      </c>
      <c r="O109" s="5">
        <v>3</v>
      </c>
      <c r="P109" s="30">
        <f t="shared" si="3"/>
        <v>0.1</v>
      </c>
      <c r="Q109" s="31" t="s">
        <v>474</v>
      </c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4"/>
      <c r="AC109" s="6"/>
      <c r="AD109" s="6"/>
      <c r="AE109" s="7"/>
    </row>
    <row r="110" spans="1:31" ht="12.75" x14ac:dyDescent="0.2">
      <c r="A110" s="22"/>
      <c r="B110" s="23" t="s">
        <v>459</v>
      </c>
      <c r="C110" s="24" t="s">
        <v>107</v>
      </c>
      <c r="D110" s="5">
        <v>53</v>
      </c>
      <c r="E110" s="5">
        <v>6</v>
      </c>
      <c r="F110" s="5">
        <v>21</v>
      </c>
      <c r="G110" s="25">
        <v>21</v>
      </c>
      <c r="H110" s="26">
        <f ca="1">IFERROR(__xludf.DUMMYFUNCTION("(R110 * IFERROR(IF(S110&lt;&gt;"""",FILTER($G:$G,$C:$C=S110),0), 0)) + (U110 * IFERROR(IF(V110&lt;&gt;"""",FILTER($G:$G,$C:$C=V110),0), 0)) + (X110 * IFERROR(IF(Y110&lt;&gt;"""",FILTER($G:$G,$C:$C=Y110),0), 0)) + (AA110 * IFERROR(IF(AB110&lt;&gt;"""",FILTER($G:$G,$C:$C=AB110),0)"&amp;", 0))"),0)</f>
        <v>0</v>
      </c>
      <c r="I110" s="27">
        <f t="shared" ca="1" si="0"/>
        <v>21</v>
      </c>
      <c r="J110" s="5">
        <v>90</v>
      </c>
      <c r="K110" s="5">
        <v>90</v>
      </c>
      <c r="L110" s="5">
        <f t="shared" si="5"/>
        <v>90</v>
      </c>
      <c r="M110" s="28">
        <f t="shared" si="1"/>
        <v>0.23</v>
      </c>
      <c r="N110" s="29">
        <f t="shared" ca="1" si="2"/>
        <v>0.23</v>
      </c>
      <c r="O110" s="5">
        <v>5</v>
      </c>
      <c r="P110" s="30">
        <f t="shared" si="3"/>
        <v>0.06</v>
      </c>
      <c r="Q110" s="31" t="s">
        <v>475</v>
      </c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4"/>
      <c r="AC110" s="6"/>
      <c r="AD110" s="6"/>
      <c r="AE110" s="7"/>
    </row>
    <row r="111" spans="1:31" ht="12.75" x14ac:dyDescent="0.2">
      <c r="A111" s="22"/>
      <c r="B111" s="23" t="s">
        <v>459</v>
      </c>
      <c r="C111" s="24" t="s">
        <v>84</v>
      </c>
      <c r="D111" s="5">
        <v>56</v>
      </c>
      <c r="E111" s="5">
        <v>5</v>
      </c>
      <c r="F111" s="5">
        <v>18</v>
      </c>
      <c r="G111" s="25">
        <v>18</v>
      </c>
      <c r="H111" s="26">
        <f ca="1">IFERROR(__xludf.DUMMYFUNCTION("(R111 * IFERROR(IF(S111&lt;&gt;"""",FILTER($G:$G,$C:$C=S111),0), 0)) + (U111 * IFERROR(IF(V111&lt;&gt;"""",FILTER($G:$G,$C:$C=V111),0), 0)) + (X111 * IFERROR(IF(Y111&lt;&gt;"""",FILTER($G:$G,$C:$C=Y111),0), 0)) + (AA111 * IFERROR(IF(AB111&lt;&gt;"""",FILTER($G:$G,$C:$C=AB111),0)"&amp;", 0))"),0)</f>
        <v>0</v>
      </c>
      <c r="I111" s="27">
        <f t="shared" ca="1" si="0"/>
        <v>18</v>
      </c>
      <c r="J111" s="5">
        <v>45</v>
      </c>
      <c r="K111" s="5">
        <v>45</v>
      </c>
      <c r="L111" s="5">
        <f t="shared" si="5"/>
        <v>45</v>
      </c>
      <c r="M111" s="28">
        <f t="shared" si="1"/>
        <v>0.4</v>
      </c>
      <c r="N111" s="29">
        <f t="shared" ca="1" si="2"/>
        <v>0.4</v>
      </c>
      <c r="O111" s="5">
        <v>3</v>
      </c>
      <c r="P111" s="30">
        <f t="shared" si="3"/>
        <v>7.0000000000000007E-2</v>
      </c>
      <c r="Q111" s="31" t="s">
        <v>476</v>
      </c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4"/>
      <c r="AC111" s="6"/>
      <c r="AD111" s="6"/>
      <c r="AE111" s="7"/>
    </row>
    <row r="112" spans="1:31" ht="12.75" x14ac:dyDescent="0.2">
      <c r="A112" s="22"/>
      <c r="B112" s="23" t="s">
        <v>459</v>
      </c>
      <c r="C112" s="24" t="s">
        <v>200</v>
      </c>
      <c r="D112" s="5">
        <v>58</v>
      </c>
      <c r="E112" s="5">
        <v>9</v>
      </c>
      <c r="F112" s="5">
        <v>32</v>
      </c>
      <c r="G112" s="25">
        <v>32</v>
      </c>
      <c r="H112" s="26">
        <f ca="1">IFERROR(__xludf.DUMMYFUNCTION("(R112 * IFERROR(IF(S112&lt;&gt;"""",FILTER($G:$G,$C:$C=S112),0), 0)) + (U112 * IFERROR(IF(V112&lt;&gt;"""",FILTER($G:$G,$C:$C=V112),0), 0)) + (X112 * IFERROR(IF(Y112&lt;&gt;"""",FILTER($G:$G,$C:$C=Y112),0), 0)) + (AA112 * IFERROR(IF(AB112&lt;&gt;"""",FILTER($G:$G,$C:$C=AB112),0)"&amp;", 0))"),0)</f>
        <v>0</v>
      </c>
      <c r="I112" s="27">
        <f t="shared" ca="1" si="0"/>
        <v>32</v>
      </c>
      <c r="J112" s="5">
        <v>210</v>
      </c>
      <c r="K112" s="5">
        <v>210</v>
      </c>
      <c r="L112" s="5">
        <f t="shared" si="5"/>
        <v>210</v>
      </c>
      <c r="M112" s="28">
        <f t="shared" si="1"/>
        <v>0.15</v>
      </c>
      <c r="N112" s="29">
        <f t="shared" ca="1" si="2"/>
        <v>0.15</v>
      </c>
      <c r="O112" s="5">
        <v>7</v>
      </c>
      <c r="P112" s="30">
        <f t="shared" si="3"/>
        <v>0.03</v>
      </c>
      <c r="Q112" s="31" t="s">
        <v>477</v>
      </c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4"/>
      <c r="AC112" s="6"/>
      <c r="AD112" s="6"/>
      <c r="AE112" s="6"/>
    </row>
    <row r="113" spans="1:31" ht="12.75" x14ac:dyDescent="0.2">
      <c r="A113" s="22"/>
      <c r="B113" s="23" t="s">
        <v>459</v>
      </c>
      <c r="C113" s="24" t="s">
        <v>75</v>
      </c>
      <c r="D113" s="5">
        <v>60</v>
      </c>
      <c r="E113" s="5">
        <v>4</v>
      </c>
      <c r="F113" s="5">
        <v>14</v>
      </c>
      <c r="G113" s="25">
        <v>14</v>
      </c>
      <c r="H113" s="26">
        <f ca="1">IFERROR(__xludf.DUMMYFUNCTION("(R113 * IFERROR(IF(S113&lt;&gt;"""",FILTER($G:$G,$C:$C=S113),0), 0)) + (U113 * IFERROR(IF(V113&lt;&gt;"""",FILTER($G:$G,$C:$C=V113),0), 0)) + (X113 * IFERROR(IF(Y113&lt;&gt;"""",FILTER($G:$G,$C:$C=Y113),0), 0)) + (AA113 * IFERROR(IF(AB113&lt;&gt;"""",FILTER($G:$G,$C:$C=AB113),0)"&amp;", 0))"),0)</f>
        <v>0</v>
      </c>
      <c r="I113" s="27">
        <f t="shared" ca="1" si="0"/>
        <v>14</v>
      </c>
      <c r="J113" s="5">
        <v>30</v>
      </c>
      <c r="K113" s="5">
        <v>30</v>
      </c>
      <c r="L113" s="5">
        <f t="shared" si="5"/>
        <v>30</v>
      </c>
      <c r="M113" s="28">
        <f t="shared" si="1"/>
        <v>0.47</v>
      </c>
      <c r="N113" s="29">
        <f t="shared" ca="1" si="2"/>
        <v>0.47</v>
      </c>
      <c r="O113" s="5">
        <v>3</v>
      </c>
      <c r="P113" s="30">
        <f t="shared" si="3"/>
        <v>0.1</v>
      </c>
      <c r="Q113" s="31" t="s">
        <v>478</v>
      </c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4"/>
      <c r="AC113" s="6"/>
      <c r="AD113" s="6"/>
      <c r="AE113" s="6"/>
    </row>
    <row r="114" spans="1:31" ht="12.75" x14ac:dyDescent="0.2">
      <c r="A114" s="22"/>
      <c r="B114" s="23" t="s">
        <v>459</v>
      </c>
      <c r="C114" s="24" t="s">
        <v>126</v>
      </c>
      <c r="D114" s="5">
        <v>63</v>
      </c>
      <c r="E114" s="5">
        <v>6</v>
      </c>
      <c r="F114" s="5">
        <v>21</v>
      </c>
      <c r="G114" s="25">
        <v>21</v>
      </c>
      <c r="H114" s="26">
        <f ca="1">IFERROR(__xludf.DUMMYFUNCTION("(R114 * IFERROR(IF(S114&lt;&gt;"""",FILTER($G:$G,$C:$C=S114),0), 0)) + (U114 * IFERROR(IF(V114&lt;&gt;"""",FILTER($G:$G,$C:$C=V114),0), 0)) + (X114 * IFERROR(IF(Y114&lt;&gt;"""",FILTER($G:$G,$C:$C=Y114),0), 0)) + (AA114 * IFERROR(IF(AB114&lt;&gt;"""",FILTER($G:$G,$C:$C=AB114),0)"&amp;", 0))"),0)</f>
        <v>0</v>
      </c>
      <c r="I114" s="27">
        <f t="shared" ca="1" si="0"/>
        <v>21</v>
      </c>
      <c r="J114" s="5">
        <v>90</v>
      </c>
      <c r="K114" s="5">
        <v>90</v>
      </c>
      <c r="L114" s="5">
        <f t="shared" si="5"/>
        <v>90</v>
      </c>
      <c r="M114" s="28">
        <f t="shared" si="1"/>
        <v>0.23</v>
      </c>
      <c r="N114" s="29">
        <f t="shared" ca="1" si="2"/>
        <v>0.23</v>
      </c>
      <c r="O114" s="5">
        <v>5</v>
      </c>
      <c r="P114" s="30">
        <f t="shared" si="3"/>
        <v>0.06</v>
      </c>
      <c r="Q114" s="31">
        <v>15</v>
      </c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4"/>
      <c r="AC114" s="6"/>
      <c r="AD114" s="6"/>
      <c r="AE114" s="6"/>
    </row>
    <row r="115" spans="1:31" ht="12.75" x14ac:dyDescent="0.2">
      <c r="A115" s="22"/>
      <c r="B115" s="23" t="s">
        <v>459</v>
      </c>
      <c r="C115" s="24" t="s">
        <v>293</v>
      </c>
      <c r="D115" s="5">
        <v>65</v>
      </c>
      <c r="E115" s="5">
        <v>5</v>
      </c>
      <c r="F115" s="5">
        <v>18</v>
      </c>
      <c r="G115" s="25">
        <v>18</v>
      </c>
      <c r="H115" s="26">
        <f ca="1">IFERROR(__xludf.DUMMYFUNCTION("(R115 * IFERROR(IF(S115&lt;&gt;"""",FILTER($G:$G,$C:$C=S115),0), 0)) + (U115 * IFERROR(IF(V115&lt;&gt;"""",FILTER($G:$G,$C:$C=V115),0), 0)) + (X115 * IFERROR(IF(Y115&lt;&gt;"""",FILTER($G:$G,$C:$C=Y115),0), 0)) + (AA115 * IFERROR(IF(AB115&lt;&gt;"""",FILTER($G:$G,$C:$C=AB115),0)"&amp;", 0))"),0)</f>
        <v>0</v>
      </c>
      <c r="I115" s="27">
        <f t="shared" ca="1" si="0"/>
        <v>18</v>
      </c>
      <c r="J115" s="5">
        <v>45</v>
      </c>
      <c r="K115" s="5">
        <v>45</v>
      </c>
      <c r="L115" s="5">
        <f t="shared" si="5"/>
        <v>45</v>
      </c>
      <c r="M115" s="28">
        <f t="shared" si="1"/>
        <v>0.4</v>
      </c>
      <c r="N115" s="29">
        <f t="shared" ca="1" si="2"/>
        <v>0.4</v>
      </c>
      <c r="O115" s="5">
        <v>3</v>
      </c>
      <c r="P115" s="30">
        <f t="shared" si="3"/>
        <v>7.0000000000000007E-2</v>
      </c>
      <c r="Q115" s="31" t="s">
        <v>479</v>
      </c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4"/>
      <c r="AC115" s="6"/>
      <c r="AD115" s="6"/>
      <c r="AE115" s="6"/>
    </row>
    <row r="116" spans="1:31" ht="12.75" x14ac:dyDescent="0.2">
      <c r="A116" s="22"/>
      <c r="B116" s="23" t="s">
        <v>459</v>
      </c>
      <c r="C116" s="24" t="s">
        <v>77</v>
      </c>
      <c r="D116" s="5">
        <v>68</v>
      </c>
      <c r="E116" s="5">
        <v>11</v>
      </c>
      <c r="F116" s="5">
        <v>39</v>
      </c>
      <c r="G116" s="25">
        <v>39</v>
      </c>
      <c r="H116" s="26">
        <f ca="1">IFERROR(__xludf.DUMMYFUNCTION("(R116 * IFERROR(IF(S116&lt;&gt;"""",FILTER($G:$G,$C:$C=S116),0), 0)) + (U116 * IFERROR(IF(V116&lt;&gt;"""",FILTER($G:$G,$C:$C=V116),0), 0)) + (X116 * IFERROR(IF(Y116&lt;&gt;"""",FILTER($G:$G,$C:$C=Y116),0), 0)) + (AA116 * IFERROR(IF(AB116&lt;&gt;"""",FILTER($G:$G,$C:$C=AB116),0)"&amp;", 0))"),0)</f>
        <v>0</v>
      </c>
      <c r="I116" s="27">
        <f t="shared" ca="1" si="0"/>
        <v>39</v>
      </c>
      <c r="J116" s="5">
        <v>300</v>
      </c>
      <c r="K116" s="5">
        <v>300</v>
      </c>
      <c r="L116" s="5">
        <f t="shared" si="5"/>
        <v>300</v>
      </c>
      <c r="M116" s="28">
        <f t="shared" si="1"/>
        <v>0.13</v>
      </c>
      <c r="N116" s="29">
        <f t="shared" ca="1" si="2"/>
        <v>0.13</v>
      </c>
      <c r="O116" s="5">
        <v>8</v>
      </c>
      <c r="P116" s="30">
        <f t="shared" si="3"/>
        <v>0.03</v>
      </c>
      <c r="Q116" s="31" t="s">
        <v>480</v>
      </c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4"/>
      <c r="AC116" s="6"/>
      <c r="AD116" s="6"/>
      <c r="AE116" s="7"/>
    </row>
    <row r="117" spans="1:31" ht="12.75" x14ac:dyDescent="0.2">
      <c r="A117" s="22"/>
      <c r="B117" s="23" t="s">
        <v>459</v>
      </c>
      <c r="C117" s="24" t="s">
        <v>310</v>
      </c>
      <c r="D117" s="5">
        <v>70</v>
      </c>
      <c r="E117" s="5">
        <v>4</v>
      </c>
      <c r="F117" s="5">
        <v>14</v>
      </c>
      <c r="G117" s="25">
        <v>14</v>
      </c>
      <c r="H117" s="26">
        <f ca="1">IFERROR(__xludf.DUMMYFUNCTION("(R117 * IFERROR(IF(S117&lt;&gt;"""",FILTER($G:$G,$C:$C=S117),0), 0)) + (U117 * IFERROR(IF(V117&lt;&gt;"""",FILTER($G:$G,$C:$C=V117),0), 0)) + (X117 * IFERROR(IF(Y117&lt;&gt;"""",FILTER($G:$G,$C:$C=Y117),0), 0)) + (AA117 * IFERROR(IF(AB117&lt;&gt;"""",FILTER($G:$G,$C:$C=AB117),0)"&amp;", 0))"),0)</f>
        <v>0</v>
      </c>
      <c r="I117" s="27">
        <f t="shared" ca="1" si="0"/>
        <v>14</v>
      </c>
      <c r="J117" s="5">
        <v>35</v>
      </c>
      <c r="K117" s="5">
        <v>35</v>
      </c>
      <c r="L117" s="5">
        <f t="shared" si="5"/>
        <v>35</v>
      </c>
      <c r="M117" s="28">
        <f t="shared" si="1"/>
        <v>0.4</v>
      </c>
      <c r="N117" s="29">
        <f t="shared" ca="1" si="2"/>
        <v>0.4</v>
      </c>
      <c r="O117" s="5">
        <v>3</v>
      </c>
      <c r="P117" s="30">
        <f t="shared" si="3"/>
        <v>0.09</v>
      </c>
      <c r="Q117" s="31" t="s">
        <v>481</v>
      </c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4"/>
      <c r="AC117" s="6"/>
      <c r="AD117" s="6"/>
      <c r="AE117" s="6"/>
    </row>
    <row r="118" spans="1:31" ht="12.75" x14ac:dyDescent="0.2">
      <c r="A118" s="22"/>
      <c r="B118" s="23" t="s">
        <v>459</v>
      </c>
      <c r="C118" s="24" t="s">
        <v>79</v>
      </c>
      <c r="D118" s="5">
        <v>72</v>
      </c>
      <c r="E118" s="5">
        <v>8</v>
      </c>
      <c r="F118" s="5">
        <v>14</v>
      </c>
      <c r="G118" s="25">
        <v>14</v>
      </c>
      <c r="H118" s="26">
        <f ca="1">IFERROR(__xludf.DUMMYFUNCTION("(R118 * IFERROR(IF(S118&lt;&gt;"""",FILTER($G:$G,$C:$C=S118),0), 0)) + (U118 * IFERROR(IF(V118&lt;&gt;"""",FILTER($G:$G,$C:$C=V118),0), 0)) + (X118 * IFERROR(IF(Y118&lt;&gt;"""",FILTER($G:$G,$C:$C=Y118),0), 0)) + (AA118 * IFERROR(IF(AB118&lt;&gt;"""",FILTER($G:$G,$C:$C=AB118),0)"&amp;", 0))"),0)</f>
        <v>0</v>
      </c>
      <c r="I118" s="27">
        <f t="shared" ca="1" si="0"/>
        <v>14</v>
      </c>
      <c r="J118" s="5">
        <v>40</v>
      </c>
      <c r="K118" s="5">
        <v>40</v>
      </c>
      <c r="L118" s="5">
        <f t="shared" si="5"/>
        <v>40</v>
      </c>
      <c r="M118" s="28">
        <f t="shared" si="1"/>
        <v>0.35</v>
      </c>
      <c r="N118" s="29">
        <f t="shared" ca="1" si="2"/>
        <v>0.35</v>
      </c>
      <c r="O118" s="5">
        <v>3</v>
      </c>
      <c r="P118" s="30">
        <f t="shared" si="3"/>
        <v>0.08</v>
      </c>
      <c r="Q118" s="31" t="s">
        <v>482</v>
      </c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4"/>
      <c r="AC118" s="6"/>
      <c r="AD118" s="6"/>
      <c r="AE118" s="6"/>
    </row>
    <row r="119" spans="1:31" ht="12.75" x14ac:dyDescent="0.2">
      <c r="A119" s="22"/>
      <c r="B119" s="23" t="s">
        <v>459</v>
      </c>
      <c r="C119" s="24" t="s">
        <v>83</v>
      </c>
      <c r="D119" s="5">
        <v>74</v>
      </c>
      <c r="E119" s="5">
        <v>10</v>
      </c>
      <c r="F119" s="5">
        <v>36</v>
      </c>
      <c r="G119" s="48">
        <v>36</v>
      </c>
      <c r="H119" s="26">
        <f ca="1">IFERROR(__xludf.DUMMYFUNCTION("(R119 * IFERROR(IF(S119&lt;&gt;"""",FILTER($G:$G,$C:$C=S119),0), 0)) + (U119 * IFERROR(IF(V119&lt;&gt;"""",FILTER($G:$G,$C:$C=V119),0), 0)) + (X119 * IFERROR(IF(Y119&lt;&gt;"""",FILTER($G:$G,$C:$C=Y119),0), 0)) + (AA119 * IFERROR(IF(AB119&lt;&gt;"""",FILTER($G:$G,$C:$C=AB119),0)"&amp;", 0))"),0)</f>
        <v>0</v>
      </c>
      <c r="I119" s="27">
        <f t="shared" ca="1" si="0"/>
        <v>36</v>
      </c>
      <c r="J119" s="5">
        <v>270</v>
      </c>
      <c r="K119" s="5">
        <v>270</v>
      </c>
      <c r="L119" s="5">
        <f t="shared" si="5"/>
        <v>270</v>
      </c>
      <c r="M119" s="28">
        <f t="shared" si="1"/>
        <v>0.13</v>
      </c>
      <c r="N119" s="29">
        <f t="shared" ca="1" si="2"/>
        <v>0.13</v>
      </c>
      <c r="O119" s="5">
        <v>7</v>
      </c>
      <c r="P119" s="30">
        <f t="shared" si="3"/>
        <v>0.03</v>
      </c>
      <c r="Q119" s="31" t="s">
        <v>483</v>
      </c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4"/>
      <c r="AC119" s="6"/>
      <c r="AD119" s="6"/>
      <c r="AE119" s="6"/>
    </row>
    <row r="120" spans="1:31" ht="12.75" x14ac:dyDescent="0.2">
      <c r="A120" s="22"/>
      <c r="B120" s="23" t="s">
        <v>459</v>
      </c>
      <c r="C120" s="24" t="s">
        <v>46</v>
      </c>
      <c r="D120" s="5">
        <v>78</v>
      </c>
      <c r="E120" s="5">
        <v>8</v>
      </c>
      <c r="F120" s="5">
        <v>28</v>
      </c>
      <c r="G120" s="48">
        <v>28</v>
      </c>
      <c r="H120" s="26">
        <f ca="1">IFERROR(__xludf.DUMMYFUNCTION("(R120 * IFERROR(IF(S120&lt;&gt;"""",FILTER($G:$G,$C:$C=S120),0), 0)) + (U120 * IFERROR(IF(V120&lt;&gt;"""",FILTER($G:$G,$C:$C=V120),0), 0)) + (X120 * IFERROR(IF(Y120&lt;&gt;"""",FILTER($G:$G,$C:$C=Y120),0), 0)) + (AA120 * IFERROR(IF(AB120&lt;&gt;"""",FILTER($G:$G,$C:$C=AB120),0)"&amp;", 0))"),0)</f>
        <v>0</v>
      </c>
      <c r="I120" s="27">
        <f t="shared" ca="1" si="0"/>
        <v>28</v>
      </c>
      <c r="J120" s="5">
        <v>150</v>
      </c>
      <c r="K120" s="5">
        <v>150</v>
      </c>
      <c r="L120" s="5">
        <f t="shared" si="5"/>
        <v>150</v>
      </c>
      <c r="M120" s="28">
        <f t="shared" si="1"/>
        <v>0.19</v>
      </c>
      <c r="N120" s="29">
        <f t="shared" ca="1" si="2"/>
        <v>0.19</v>
      </c>
      <c r="O120" s="5">
        <v>6</v>
      </c>
      <c r="P120" s="30">
        <f t="shared" si="3"/>
        <v>0.04</v>
      </c>
      <c r="Q120" s="31" t="s">
        <v>484</v>
      </c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4"/>
      <c r="AC120" s="6"/>
      <c r="AD120" s="6"/>
      <c r="AE120" s="6"/>
    </row>
    <row r="121" spans="1:31" ht="12.75" x14ac:dyDescent="0.2">
      <c r="A121" s="22"/>
      <c r="B121" s="23" t="s">
        <v>459</v>
      </c>
      <c r="C121" s="24" t="s">
        <v>384</v>
      </c>
      <c r="D121" s="5">
        <v>80</v>
      </c>
      <c r="E121" s="5">
        <v>12</v>
      </c>
      <c r="F121" s="5">
        <v>43</v>
      </c>
      <c r="G121" s="25">
        <v>43</v>
      </c>
      <c r="H121" s="26">
        <f ca="1">IFERROR(__xludf.DUMMYFUNCTION("(R121 * IFERROR(IF(S121&lt;&gt;"""",FILTER($G:$G,$C:$C=S121),0), 0)) + (U121 * IFERROR(IF(V121&lt;&gt;"""",FILTER($G:$G,$C:$C=V121),0), 0)) + (X121 * IFERROR(IF(Y121&lt;&gt;"""",FILTER($G:$G,$C:$C=Y121),0), 0)) + (AA121 * IFERROR(IF(AB121&lt;&gt;"""",FILTER($G:$G,$C:$C=AB121),0)"&amp;", 0))"),0)</f>
        <v>0</v>
      </c>
      <c r="I121" s="27">
        <f t="shared" ca="1" si="0"/>
        <v>43</v>
      </c>
      <c r="J121" s="5">
        <v>390</v>
      </c>
      <c r="K121" s="5">
        <v>390</v>
      </c>
      <c r="L121" s="5">
        <f t="shared" si="5"/>
        <v>390</v>
      </c>
      <c r="M121" s="28">
        <f t="shared" si="1"/>
        <v>0.11</v>
      </c>
      <c r="N121" s="29">
        <f t="shared" ca="1" si="2"/>
        <v>0.11</v>
      </c>
      <c r="O121" s="5">
        <v>9</v>
      </c>
      <c r="P121" s="30">
        <f t="shared" si="3"/>
        <v>0.02</v>
      </c>
      <c r="Q121" s="31">
        <v>8</v>
      </c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4"/>
      <c r="AC121" s="6"/>
      <c r="AD121" s="6"/>
      <c r="AE121" s="6"/>
    </row>
    <row r="122" spans="1:31" ht="12.75" x14ac:dyDescent="0.2">
      <c r="A122" s="22"/>
      <c r="B122" s="23" t="s">
        <v>459</v>
      </c>
      <c r="C122" s="24" t="s">
        <v>125</v>
      </c>
      <c r="D122" s="5">
        <v>82</v>
      </c>
      <c r="E122" s="5">
        <v>10</v>
      </c>
      <c r="F122" s="5">
        <v>36</v>
      </c>
      <c r="G122" s="25">
        <v>36</v>
      </c>
      <c r="H122" s="26">
        <f ca="1">IFERROR(__xludf.DUMMYFUNCTION("(R122 * IFERROR(IF(S122&lt;&gt;"""",FILTER($G:$G,$C:$C=S122),0), 0)) + (U122 * IFERROR(IF(V122&lt;&gt;"""",FILTER($G:$G,$C:$C=V122),0), 0)) + (X122 * IFERROR(IF(Y122&lt;&gt;"""",FILTER($G:$G,$C:$C=Y122),0), 0)) + (AA122 * IFERROR(IF(AB122&lt;&gt;"""",FILTER($G:$G,$C:$C=AB122),0)"&amp;", 0))"),0)</f>
        <v>0</v>
      </c>
      <c r="I122" s="27">
        <f t="shared" ca="1" si="0"/>
        <v>36</v>
      </c>
      <c r="J122" s="5">
        <v>240</v>
      </c>
      <c r="K122" s="5">
        <v>240</v>
      </c>
      <c r="L122" s="5">
        <f t="shared" si="5"/>
        <v>240</v>
      </c>
      <c r="M122" s="28">
        <f t="shared" si="1"/>
        <v>0.15</v>
      </c>
      <c r="N122" s="29">
        <f t="shared" ca="1" si="2"/>
        <v>0.15</v>
      </c>
      <c r="O122" s="5">
        <v>7</v>
      </c>
      <c r="P122" s="30">
        <f t="shared" si="3"/>
        <v>0.03</v>
      </c>
      <c r="Q122" s="31" t="s">
        <v>485</v>
      </c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4"/>
      <c r="AC122" s="6"/>
      <c r="AD122" s="6"/>
      <c r="AE122" s="6"/>
    </row>
    <row r="123" spans="1:31" ht="12.75" x14ac:dyDescent="0.2">
      <c r="A123" s="22"/>
      <c r="B123" s="23" t="s">
        <v>459</v>
      </c>
      <c r="C123" s="24" t="s">
        <v>182</v>
      </c>
      <c r="D123" s="5">
        <v>83</v>
      </c>
      <c r="E123" s="5">
        <v>6</v>
      </c>
      <c r="F123" s="5">
        <v>21</v>
      </c>
      <c r="G123" s="25">
        <v>21</v>
      </c>
      <c r="H123" s="26">
        <f ca="1">IFERROR(__xludf.DUMMYFUNCTION("(R123 * IFERROR(IF(S123&lt;&gt;"""",FILTER($G:$G,$C:$C=S123),0), 0)) + (U123 * IFERROR(IF(V123&lt;&gt;"""",FILTER($G:$G,$C:$C=V123),0), 0)) + (X123 * IFERROR(IF(Y123&lt;&gt;"""",FILTER($G:$G,$C:$C=Y123),0), 0)) + (AA123 * IFERROR(IF(AB123&lt;&gt;"""",FILTER($G:$G,$C:$C=AB123),0)"&amp;", 0))"),0)</f>
        <v>0</v>
      </c>
      <c r="I123" s="27">
        <f t="shared" ca="1" si="0"/>
        <v>21</v>
      </c>
      <c r="J123" s="5">
        <v>80</v>
      </c>
      <c r="K123" s="5">
        <v>80</v>
      </c>
      <c r="L123" s="5">
        <f t="shared" si="5"/>
        <v>80</v>
      </c>
      <c r="M123" s="28">
        <f t="shared" si="1"/>
        <v>0.26</v>
      </c>
      <c r="N123" s="29">
        <f t="shared" ca="1" si="2"/>
        <v>0.26</v>
      </c>
      <c r="O123" s="5">
        <v>4</v>
      </c>
      <c r="P123" s="30">
        <f t="shared" si="3"/>
        <v>0.05</v>
      </c>
      <c r="Q123" s="31">
        <v>18</v>
      </c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4"/>
      <c r="AC123" s="6"/>
      <c r="AD123" s="6"/>
      <c r="AE123" s="6"/>
    </row>
    <row r="124" spans="1:31" ht="12.75" x14ac:dyDescent="0.2">
      <c r="A124" s="22"/>
      <c r="B124" s="23" t="s">
        <v>459</v>
      </c>
      <c r="C124" s="24" t="s">
        <v>49</v>
      </c>
      <c r="D124" s="5">
        <v>84</v>
      </c>
      <c r="E124" s="5">
        <v>9</v>
      </c>
      <c r="F124" s="5">
        <v>32</v>
      </c>
      <c r="G124" s="25">
        <v>32</v>
      </c>
      <c r="H124" s="41">
        <f ca="1">IFERROR(__xludf.DUMMYFUNCTION("(R124 * IFERROR(IF(S124&lt;&gt;"""",FILTER($G:$G,$C:$C=S124),0), 0)) + (U124 * IFERROR(IF(V124&lt;&gt;"""",FILTER($G:$G,$C:$C=V124),0), 0)) + (X124 * IFERROR(IF(Y124&lt;&gt;"""",FILTER($G:$G,$C:$C=Y124),0), 0)) + (AA124 * IFERROR(IF(AB124&lt;&gt;"""",FILTER($G:$G,$C:$C=AB124),0)"&amp;", 0))"),0)</f>
        <v>0</v>
      </c>
      <c r="I124" s="30">
        <f t="shared" ca="1" si="0"/>
        <v>32</v>
      </c>
      <c r="J124" s="5">
        <v>180</v>
      </c>
      <c r="K124" s="5">
        <v>180</v>
      </c>
      <c r="L124" s="5">
        <f t="shared" si="5"/>
        <v>180</v>
      </c>
      <c r="M124" s="42">
        <f t="shared" si="1"/>
        <v>0.18</v>
      </c>
      <c r="N124" s="43">
        <f t="shared" ca="1" si="2"/>
        <v>0.18</v>
      </c>
      <c r="O124" s="5">
        <v>6</v>
      </c>
      <c r="P124" s="30">
        <f t="shared" si="3"/>
        <v>0.03</v>
      </c>
      <c r="Q124" s="31" t="s">
        <v>486</v>
      </c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4"/>
      <c r="AC124" s="6"/>
      <c r="AD124" s="6"/>
      <c r="AE124" s="6"/>
    </row>
    <row r="125" spans="1:31" ht="12.75" x14ac:dyDescent="0.2">
      <c r="A125" s="22"/>
      <c r="B125" s="23" t="s">
        <v>459</v>
      </c>
      <c r="C125" s="24" t="s">
        <v>116</v>
      </c>
      <c r="D125" s="5">
        <v>85</v>
      </c>
      <c r="E125" s="5">
        <v>9</v>
      </c>
      <c r="F125" s="5">
        <v>32</v>
      </c>
      <c r="G125" s="48">
        <v>32</v>
      </c>
      <c r="H125" s="41">
        <f ca="1">IFERROR(__xludf.DUMMYFUNCTION("(R125 * IFERROR(IF(S125&lt;&gt;"""",FILTER($G:$G,$C:$C=S125),0), 0)) + (U125 * IFERROR(IF(V125&lt;&gt;"""",FILTER($G:$G,$C:$C=V125),0), 0)) + (X125 * IFERROR(IF(Y125&lt;&gt;"""",FILTER($G:$G,$C:$C=Y125),0), 0)) + (AA125 * IFERROR(IF(AB125&lt;&gt;"""",FILTER($G:$G,$C:$C=AB125),0)"&amp;", 0))"),0)</f>
        <v>0</v>
      </c>
      <c r="I125" s="30">
        <f t="shared" ca="1" si="0"/>
        <v>32</v>
      </c>
      <c r="J125" s="5">
        <v>180</v>
      </c>
      <c r="K125" s="5">
        <v>180</v>
      </c>
      <c r="L125" s="5">
        <f t="shared" si="5"/>
        <v>180</v>
      </c>
      <c r="M125" s="42">
        <f t="shared" si="1"/>
        <v>0.18</v>
      </c>
      <c r="N125" s="43">
        <f t="shared" ca="1" si="2"/>
        <v>0.18</v>
      </c>
      <c r="O125" s="5">
        <v>6</v>
      </c>
      <c r="P125" s="30">
        <f t="shared" si="3"/>
        <v>0.03</v>
      </c>
      <c r="Q125" s="31" t="s">
        <v>484</v>
      </c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4"/>
      <c r="AC125" s="6"/>
      <c r="AD125" s="6"/>
      <c r="AE125" s="7"/>
    </row>
    <row r="126" spans="1:31" ht="12.75" x14ac:dyDescent="0.2">
      <c r="A126" s="22"/>
      <c r="B126" s="23" t="s">
        <v>459</v>
      </c>
      <c r="C126" s="24" t="s">
        <v>225</v>
      </c>
      <c r="D126" s="5">
        <v>88</v>
      </c>
      <c r="E126" s="5">
        <v>5</v>
      </c>
      <c r="F126" s="5">
        <v>18</v>
      </c>
      <c r="G126" s="48">
        <v>18</v>
      </c>
      <c r="H126" s="41">
        <f ca="1">IFERROR(__xludf.DUMMYFUNCTION("(R126 * IFERROR(IF(S126&lt;&gt;"""",FILTER($G:$G,$C:$C=S126),0), 0)) + (U126 * IFERROR(IF(V126&lt;&gt;"""",FILTER($G:$G,$C:$C=V126),0), 0)) + (X126 * IFERROR(IF(Y126&lt;&gt;"""",FILTER($G:$G,$C:$C=Y126),0), 0)) + (AA126 * IFERROR(IF(AB126&lt;&gt;"""",FILTER($G:$G,$C:$C=AB126),0)"&amp;", 0))"),0)</f>
        <v>0</v>
      </c>
      <c r="I126" s="30">
        <f t="shared" ca="1" si="0"/>
        <v>18</v>
      </c>
      <c r="J126" s="5">
        <v>60</v>
      </c>
      <c r="K126" s="5">
        <v>60</v>
      </c>
      <c r="L126" s="5">
        <f t="shared" si="5"/>
        <v>60</v>
      </c>
      <c r="M126" s="42">
        <f t="shared" si="1"/>
        <v>0.3</v>
      </c>
      <c r="N126" s="43">
        <f t="shared" ca="1" si="2"/>
        <v>0.3</v>
      </c>
      <c r="O126" s="5">
        <v>4</v>
      </c>
      <c r="P126" s="30">
        <f t="shared" si="3"/>
        <v>7.0000000000000007E-2</v>
      </c>
      <c r="Q126" s="31" t="s">
        <v>487</v>
      </c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4"/>
      <c r="AC126" s="6"/>
      <c r="AD126" s="6"/>
      <c r="AE126" s="7"/>
    </row>
    <row r="127" spans="1:31" ht="12.75" x14ac:dyDescent="0.2">
      <c r="A127" s="22"/>
      <c r="B127" s="23" t="s">
        <v>459</v>
      </c>
      <c r="C127" s="24" t="s">
        <v>90</v>
      </c>
      <c r="D127" s="5">
        <v>89</v>
      </c>
      <c r="E127" s="5">
        <v>3</v>
      </c>
      <c r="F127" s="5">
        <v>10</v>
      </c>
      <c r="G127" s="25">
        <v>10</v>
      </c>
      <c r="H127" s="41">
        <f ca="1">IFERROR(__xludf.DUMMYFUNCTION("(R127 * IFERROR(IF(S127&lt;&gt;"""",FILTER($G:$G,$C:$C=S127),0), 0)) + (U127 * IFERROR(IF(V127&lt;&gt;"""",FILTER($G:$G,$C:$C=V127),0), 0)) + (X127 * IFERROR(IF(Y127&lt;&gt;"""",FILTER($G:$G,$C:$C=Y127),0), 0)) + (AA127 * IFERROR(IF(AB127&lt;&gt;"""",FILTER($G:$G,$C:$C=AB127),0)"&amp;", 0))"),0)</f>
        <v>0</v>
      </c>
      <c r="I127" s="30">
        <f t="shared" ca="1" si="0"/>
        <v>10</v>
      </c>
      <c r="J127" s="5">
        <v>20</v>
      </c>
      <c r="K127" s="5">
        <v>20</v>
      </c>
      <c r="L127" s="5">
        <f t="shared" si="5"/>
        <v>20</v>
      </c>
      <c r="M127" s="42">
        <f t="shared" si="1"/>
        <v>0.5</v>
      </c>
      <c r="N127" s="43">
        <f t="shared" ca="1" si="2"/>
        <v>0.5</v>
      </c>
      <c r="O127" s="5">
        <v>2</v>
      </c>
      <c r="P127" s="30">
        <f t="shared" si="3"/>
        <v>0.1</v>
      </c>
      <c r="Q127" s="31" t="s">
        <v>488</v>
      </c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4"/>
      <c r="AC127" s="6"/>
      <c r="AD127" s="6"/>
      <c r="AE127" s="7"/>
    </row>
    <row r="128" spans="1:31" ht="12.75" x14ac:dyDescent="0.2">
      <c r="A128" s="22"/>
      <c r="B128" s="23" t="s">
        <v>459</v>
      </c>
      <c r="C128" s="24" t="s">
        <v>86</v>
      </c>
      <c r="D128" s="5">
        <v>90</v>
      </c>
      <c r="E128" s="5">
        <v>4</v>
      </c>
      <c r="F128" s="5">
        <v>14</v>
      </c>
      <c r="G128" s="25">
        <v>14</v>
      </c>
      <c r="H128" s="41">
        <f ca="1">IFERROR(__xludf.DUMMYFUNCTION("(R128 * IFERROR(IF(S128&lt;&gt;"""",FILTER($G:$G,$C:$C=S128),0), 0)) + (U128 * IFERROR(IF(V128&lt;&gt;"""",FILTER($G:$G,$C:$C=V128),0), 0)) + (X128 * IFERROR(IF(Y128&lt;&gt;"""",FILTER($G:$G,$C:$C=Y128),0), 0)) + (AA128 * IFERROR(IF(AB128&lt;&gt;"""",FILTER($G:$G,$C:$C=AB128),0)"&amp;", 0))"),0)</f>
        <v>0</v>
      </c>
      <c r="I128" s="30">
        <f t="shared" ca="1" si="0"/>
        <v>14</v>
      </c>
      <c r="J128" s="5">
        <v>40</v>
      </c>
      <c r="K128" s="5">
        <v>40</v>
      </c>
      <c r="L128" s="5">
        <f t="shared" si="5"/>
        <v>40</v>
      </c>
      <c r="M128" s="42">
        <f t="shared" si="1"/>
        <v>0.35</v>
      </c>
      <c r="N128" s="43">
        <f t="shared" ca="1" si="2"/>
        <v>0.35</v>
      </c>
      <c r="O128" s="5">
        <v>3</v>
      </c>
      <c r="P128" s="30">
        <f t="shared" si="3"/>
        <v>0.08</v>
      </c>
      <c r="Q128" s="31" t="s">
        <v>489</v>
      </c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4"/>
      <c r="AC128" s="6"/>
      <c r="AD128" s="6"/>
      <c r="AE128" s="7"/>
    </row>
    <row r="129" spans="1:31" ht="12.75" x14ac:dyDescent="0.2">
      <c r="A129" s="22"/>
      <c r="B129" s="23" t="s">
        <v>459</v>
      </c>
      <c r="C129" s="24" t="s">
        <v>246</v>
      </c>
      <c r="D129" s="5">
        <v>92</v>
      </c>
      <c r="E129" s="5">
        <v>11</v>
      </c>
      <c r="F129" s="5">
        <v>39</v>
      </c>
      <c r="G129" s="25">
        <v>39</v>
      </c>
      <c r="H129" s="41">
        <f ca="1">IFERROR(__xludf.DUMMYFUNCTION("(R129 * IFERROR(IF(S129&lt;&gt;"""",FILTER($G:$G,$C:$C=S129),0), 0)) + (U129 * IFERROR(IF(V129&lt;&gt;"""",FILTER($G:$G,$C:$C=V129),0), 0)) + (X129 * IFERROR(IF(Y129&lt;&gt;"""",FILTER($G:$G,$C:$C=Y129),0), 0)) + (AA129 * IFERROR(IF(AB129&lt;&gt;"""",FILTER($G:$G,$C:$C=AB129),0)"&amp;", 0))"),0)</f>
        <v>0</v>
      </c>
      <c r="I129" s="30">
        <f t="shared" ca="1" si="0"/>
        <v>39</v>
      </c>
      <c r="J129" s="5">
        <v>300</v>
      </c>
      <c r="K129" s="5">
        <v>300</v>
      </c>
      <c r="L129" s="5">
        <f t="shared" si="5"/>
        <v>300</v>
      </c>
      <c r="M129" s="42">
        <f t="shared" si="1"/>
        <v>0.13</v>
      </c>
      <c r="N129" s="43">
        <f t="shared" ca="1" si="2"/>
        <v>0.13</v>
      </c>
      <c r="O129" s="5">
        <v>8</v>
      </c>
      <c r="P129" s="30">
        <f t="shared" si="3"/>
        <v>0.03</v>
      </c>
      <c r="Q129" s="31">
        <v>12</v>
      </c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4"/>
      <c r="AC129" s="6"/>
      <c r="AD129" s="6"/>
      <c r="AE129" s="7"/>
    </row>
    <row r="130" spans="1:31" ht="12.75" x14ac:dyDescent="0.2">
      <c r="A130" s="22"/>
      <c r="B130" s="35" t="s">
        <v>459</v>
      </c>
      <c r="C130" s="36" t="s">
        <v>305</v>
      </c>
      <c r="D130" s="8">
        <v>94</v>
      </c>
      <c r="E130" s="8">
        <v>11</v>
      </c>
      <c r="F130" s="8">
        <v>18</v>
      </c>
      <c r="G130" s="37">
        <v>18</v>
      </c>
      <c r="H130" s="26">
        <f ca="1">IFERROR(__xludf.DUMMYFUNCTION("(R130 * IFERROR(IF(S130&lt;&gt;"""",FILTER($G:$G,$C:$C=S130),0), 0)) + (U130 * IFERROR(IF(V130&lt;&gt;"""",FILTER($G:$G,$C:$C=V130),0), 0)) + (X130 * IFERROR(IF(Y130&lt;&gt;"""",FILTER($G:$G,$C:$C=Y130),0), 0)) + (AA130 * IFERROR(IF(AB130&lt;&gt;"""",FILTER($G:$G,$C:$C=AB130),0)"&amp;", 0))"),0)</f>
        <v>0</v>
      </c>
      <c r="I130" s="27">
        <f t="shared" ca="1" si="0"/>
        <v>18</v>
      </c>
      <c r="J130" s="8">
        <v>110</v>
      </c>
      <c r="K130" s="8">
        <v>110</v>
      </c>
      <c r="L130" s="5">
        <f t="shared" si="5"/>
        <v>110</v>
      </c>
      <c r="M130" s="28">
        <f t="shared" si="1"/>
        <v>0.16</v>
      </c>
      <c r="N130" s="29">
        <f t="shared" ca="1" si="2"/>
        <v>0.16</v>
      </c>
      <c r="O130" s="8">
        <v>5</v>
      </c>
      <c r="P130" s="27">
        <f t="shared" si="3"/>
        <v>0.05</v>
      </c>
      <c r="Q130" s="38" t="s">
        <v>490</v>
      </c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7"/>
      <c r="AD130" s="7"/>
      <c r="AE130" s="7"/>
    </row>
    <row r="131" spans="1:31" ht="12.75" x14ac:dyDescent="0.2">
      <c r="A131" s="22"/>
      <c r="B131" s="39" t="s">
        <v>169</v>
      </c>
      <c r="C131" s="40" t="s">
        <v>170</v>
      </c>
      <c r="D131" s="5">
        <v>49</v>
      </c>
      <c r="E131" s="5">
        <v>58</v>
      </c>
      <c r="F131" s="5">
        <v>208</v>
      </c>
      <c r="G131" s="25">
        <v>208</v>
      </c>
      <c r="H131" s="41">
        <f ca="1">IFERROR(__xludf.DUMMYFUNCTION("(R131 * IFERROR(IF(S131&lt;&gt;"""",FILTER($G:$G,$C:$C=S131),0), 0)) + (U131 * IFERROR(IF(V131&lt;&gt;"""",FILTER($G:$G,$C:$C=V131),0), 0)) + (X131 * IFERROR(IF(Y131&lt;&gt;"""",FILTER($G:$G,$C:$C=Y131),0), 0)) + (AA131 * IFERROR(IF(AB131&lt;&gt;"""",FILTER($G:$G,$C:$C=AB131),0)"&amp;", 0))"),174)</f>
        <v>174</v>
      </c>
      <c r="I131" s="30">
        <f t="shared" ca="1" si="0"/>
        <v>34</v>
      </c>
      <c r="J131" s="5">
        <v>45</v>
      </c>
      <c r="K131" s="5">
        <v>38</v>
      </c>
      <c r="L131" s="5">
        <f t="shared" ref="L131:L194" si="6">J131</f>
        <v>45</v>
      </c>
      <c r="M131" s="42">
        <f t="shared" si="1"/>
        <v>4.62</v>
      </c>
      <c r="N131" s="43">
        <f t="shared" ca="1" si="2"/>
        <v>0.76</v>
      </c>
      <c r="O131" s="5">
        <v>25</v>
      </c>
      <c r="P131" s="30">
        <f t="shared" si="3"/>
        <v>0.56000000000000005</v>
      </c>
      <c r="Q131" s="31" t="s">
        <v>444</v>
      </c>
      <c r="R131" s="32">
        <v>5</v>
      </c>
      <c r="S131" s="33" t="s">
        <v>22</v>
      </c>
      <c r="T131" s="32"/>
      <c r="U131" s="32">
        <v>3</v>
      </c>
      <c r="V131" s="33" t="s">
        <v>124</v>
      </c>
      <c r="W131" s="32"/>
      <c r="X131" s="32">
        <v>3</v>
      </c>
      <c r="Y131" s="33" t="s">
        <v>171</v>
      </c>
      <c r="Z131" s="33"/>
      <c r="AA131" s="33"/>
      <c r="AB131" s="34"/>
      <c r="AC131" s="6"/>
      <c r="AD131" s="6"/>
      <c r="AE131" s="6"/>
    </row>
    <row r="132" spans="1:31" ht="12.75" x14ac:dyDescent="0.2">
      <c r="A132" s="22"/>
      <c r="B132" s="39" t="s">
        <v>169</v>
      </c>
      <c r="C132" s="40" t="s">
        <v>172</v>
      </c>
      <c r="D132" s="5">
        <v>65</v>
      </c>
      <c r="E132" s="5">
        <v>94</v>
      </c>
      <c r="F132" s="5">
        <v>338</v>
      </c>
      <c r="G132" s="25">
        <v>338</v>
      </c>
      <c r="H132" s="41">
        <f ca="1">IFERROR(__xludf.DUMMYFUNCTION("(R132 * IFERROR(IF(S132&lt;&gt;"""",FILTER($G:$G,$C:$C=S132),0), 0)) + (U132 * IFERROR(IF(V132&lt;&gt;"""",FILTER($G:$G,$C:$C=V132),0), 0)) + (X132 * IFERROR(IF(Y132&lt;&gt;"""",FILTER($G:$G,$C:$C=Y132),0), 0)) + (AA132 * IFERROR(IF(AB132&lt;&gt;"""",FILTER($G:$G,$C:$C=AB132),0)"&amp;", 0))"),278)</f>
        <v>278</v>
      </c>
      <c r="I132" s="30">
        <f t="shared" ca="1" si="0"/>
        <v>60</v>
      </c>
      <c r="J132" s="5">
        <v>20</v>
      </c>
      <c r="K132" s="5">
        <v>17</v>
      </c>
      <c r="L132" s="5">
        <f t="shared" si="6"/>
        <v>20</v>
      </c>
      <c r="M132" s="42">
        <f t="shared" si="1"/>
        <v>16.899999999999999</v>
      </c>
      <c r="N132" s="43">
        <f t="shared" ca="1" si="2"/>
        <v>3</v>
      </c>
      <c r="O132" s="5">
        <v>40</v>
      </c>
      <c r="P132" s="30">
        <f t="shared" si="3"/>
        <v>2</v>
      </c>
      <c r="Q132" s="31" t="s">
        <v>444</v>
      </c>
      <c r="R132" s="32">
        <v>5</v>
      </c>
      <c r="S132" s="33" t="s">
        <v>126</v>
      </c>
      <c r="T132" s="32"/>
      <c r="U132" s="32">
        <v>3</v>
      </c>
      <c r="V132" s="33" t="s">
        <v>124</v>
      </c>
      <c r="W132" s="32"/>
      <c r="X132" s="32">
        <v>1</v>
      </c>
      <c r="Y132" s="33" t="s">
        <v>171</v>
      </c>
      <c r="Z132" s="32"/>
      <c r="AA132" s="32">
        <v>5</v>
      </c>
      <c r="AB132" s="34" t="s">
        <v>173</v>
      </c>
      <c r="AC132" s="6"/>
      <c r="AD132" s="6"/>
      <c r="AE132" s="6"/>
    </row>
    <row r="133" spans="1:31" ht="12.75" x14ac:dyDescent="0.2">
      <c r="A133" s="22"/>
      <c r="B133" s="39" t="s">
        <v>169</v>
      </c>
      <c r="C133" s="40" t="s">
        <v>174</v>
      </c>
      <c r="D133" s="5">
        <v>73</v>
      </c>
      <c r="E133" s="5">
        <v>139</v>
      </c>
      <c r="F133" s="5">
        <v>500</v>
      </c>
      <c r="G133" s="25">
        <v>500</v>
      </c>
      <c r="H133" s="41">
        <f ca="1">IFERROR(__xludf.DUMMYFUNCTION("(R133 * IFERROR(IF(S133&lt;&gt;"""",FILTER($G:$G,$C:$C=S133),0), 0)) + (U133 * IFERROR(IF(V133&lt;&gt;"""",FILTER($G:$G,$C:$C=V133),0), 0)) + (X133 * IFERROR(IF(Y133&lt;&gt;"""",FILTER($G:$G,$C:$C=Y133),0), 0)) + (AA133 * IFERROR(IF(AB133&lt;&gt;"""",FILTER($G:$G,$C:$C=AB133),0)"&amp;", 0))"),234)</f>
        <v>234</v>
      </c>
      <c r="I133" s="30">
        <f t="shared" ca="1" si="0"/>
        <v>266</v>
      </c>
      <c r="J133" s="5">
        <v>40</v>
      </c>
      <c r="K133" s="5">
        <v>34</v>
      </c>
      <c r="L133" s="5">
        <f t="shared" si="6"/>
        <v>40</v>
      </c>
      <c r="M133" s="42">
        <f t="shared" si="1"/>
        <v>12.5</v>
      </c>
      <c r="N133" s="43">
        <f t="shared" ca="1" si="2"/>
        <v>6.65</v>
      </c>
      <c r="O133" s="5">
        <v>60</v>
      </c>
      <c r="P133" s="30">
        <f t="shared" si="3"/>
        <v>1.5</v>
      </c>
      <c r="Q133" s="31" t="s">
        <v>444</v>
      </c>
      <c r="R133" s="32">
        <v>1</v>
      </c>
      <c r="S133" s="33" t="s">
        <v>175</v>
      </c>
      <c r="T133" s="32"/>
      <c r="U133" s="32">
        <v>5</v>
      </c>
      <c r="V133" s="33" t="s">
        <v>107</v>
      </c>
      <c r="W133" s="32"/>
      <c r="X133" s="32">
        <v>1</v>
      </c>
      <c r="Y133" s="33" t="s">
        <v>108</v>
      </c>
      <c r="Z133" s="32"/>
      <c r="AA133" s="32">
        <v>1</v>
      </c>
      <c r="AB133" s="34" t="s">
        <v>176</v>
      </c>
      <c r="AC133" s="6"/>
      <c r="AD133" s="6"/>
      <c r="AE133" s="6"/>
    </row>
    <row r="134" spans="1:31" ht="12.75" x14ac:dyDescent="0.2">
      <c r="A134" s="22"/>
      <c r="B134" s="39" t="s">
        <v>169</v>
      </c>
      <c r="C134" s="40" t="s">
        <v>177</v>
      </c>
      <c r="D134" s="5">
        <v>90</v>
      </c>
      <c r="E134" s="5">
        <v>154</v>
      </c>
      <c r="F134" s="5">
        <v>554</v>
      </c>
      <c r="G134" s="25">
        <v>554</v>
      </c>
      <c r="H134" s="41">
        <f ca="1">IFERROR(__xludf.DUMMYFUNCTION("(R134 * IFERROR(IF(S134&lt;&gt;"""",FILTER($G:$G,$C:$C=S134),0), 0)) + (U134 * IFERROR(IF(V134&lt;&gt;"""",FILTER($G:$G,$C:$C=V134),0), 0)) + (X134 * IFERROR(IF(Y134&lt;&gt;"""",FILTER($G:$G,$C:$C=Y134),0), 0)) + (AA134 * IFERROR(IF(AB134&lt;&gt;"""",FILTER($G:$G,$C:$C=AB134),0)"&amp;", 0))"),539)</f>
        <v>539</v>
      </c>
      <c r="I134" s="30">
        <f t="shared" ca="1" si="0"/>
        <v>15</v>
      </c>
      <c r="J134" s="5">
        <v>20</v>
      </c>
      <c r="K134" s="5">
        <v>17</v>
      </c>
      <c r="L134" s="5">
        <f t="shared" si="6"/>
        <v>20</v>
      </c>
      <c r="M134" s="42">
        <f t="shared" si="1"/>
        <v>27.7</v>
      </c>
      <c r="N134" s="43">
        <f t="shared" ca="1" si="2"/>
        <v>0.75</v>
      </c>
      <c r="O134" s="5">
        <v>66</v>
      </c>
      <c r="P134" s="30">
        <f t="shared" si="3"/>
        <v>3.3</v>
      </c>
      <c r="Q134" s="31" t="s">
        <v>444</v>
      </c>
      <c r="R134" s="32">
        <v>3</v>
      </c>
      <c r="S134" s="33" t="s">
        <v>125</v>
      </c>
      <c r="T134" s="32"/>
      <c r="U134" s="32">
        <v>1</v>
      </c>
      <c r="V134" s="33" t="s">
        <v>129</v>
      </c>
      <c r="W134" s="32"/>
      <c r="X134" s="32">
        <v>1</v>
      </c>
      <c r="Y134" s="33" t="s">
        <v>128</v>
      </c>
      <c r="Z134" s="33"/>
      <c r="AA134" s="33"/>
      <c r="AB134" s="34"/>
      <c r="AC134" s="6"/>
      <c r="AD134" s="6"/>
      <c r="AE134" s="6"/>
    </row>
    <row r="135" spans="1:31" ht="12.75" x14ac:dyDescent="0.2">
      <c r="A135" s="22"/>
      <c r="B135" s="39" t="s">
        <v>169</v>
      </c>
      <c r="C135" s="40" t="s">
        <v>178</v>
      </c>
      <c r="D135" s="5">
        <v>92</v>
      </c>
      <c r="E135" s="5">
        <v>97</v>
      </c>
      <c r="F135" s="5">
        <v>349</v>
      </c>
      <c r="G135" s="25">
        <v>349</v>
      </c>
      <c r="H135" s="41">
        <f ca="1">IFERROR(__xludf.DUMMYFUNCTION("(R135 * IFERROR(IF(S135&lt;&gt;"""",FILTER($G:$G,$C:$C=S135),0), 0)) + (U135 * IFERROR(IF(V135&lt;&gt;"""",FILTER($G:$G,$C:$C=V135),0), 0)) + (X135 * IFERROR(IF(Y135&lt;&gt;"""",FILTER($G:$G,$C:$C=Y135),0), 0)) + (AA135 * IFERROR(IF(AB135&lt;&gt;"""",FILTER($G:$G,$C:$C=AB135),0)"&amp;", 0))"),370)</f>
        <v>370</v>
      </c>
      <c r="I135" s="30">
        <f t="shared" ca="1" si="0"/>
        <v>-21</v>
      </c>
      <c r="J135" s="5">
        <v>20</v>
      </c>
      <c r="K135" s="5">
        <v>17</v>
      </c>
      <c r="L135" s="5">
        <f t="shared" si="6"/>
        <v>20</v>
      </c>
      <c r="M135" s="42">
        <f t="shared" si="1"/>
        <v>17.45</v>
      </c>
      <c r="N135" s="43">
        <f t="shared" ca="1" si="2"/>
        <v>-1.05</v>
      </c>
      <c r="O135" s="5">
        <v>42</v>
      </c>
      <c r="P135" s="30">
        <f t="shared" si="3"/>
        <v>2.1</v>
      </c>
      <c r="Q135" s="31" t="s">
        <v>444</v>
      </c>
      <c r="R135" s="32">
        <v>1</v>
      </c>
      <c r="S135" s="33" t="s">
        <v>179</v>
      </c>
      <c r="T135" s="32"/>
      <c r="U135" s="32">
        <v>3</v>
      </c>
      <c r="V135" s="33" t="s">
        <v>125</v>
      </c>
      <c r="W135" s="32"/>
      <c r="X135" s="32">
        <v>1</v>
      </c>
      <c r="Y135" s="33" t="s">
        <v>107</v>
      </c>
      <c r="Z135" s="32"/>
      <c r="AA135" s="32">
        <v>1</v>
      </c>
      <c r="AB135" s="34" t="s">
        <v>124</v>
      </c>
      <c r="AC135" s="6"/>
      <c r="AD135" s="6"/>
      <c r="AE135" s="6"/>
    </row>
    <row r="136" spans="1:31" ht="12.75" x14ac:dyDescent="0.2">
      <c r="A136" s="22"/>
      <c r="B136" s="44" t="s">
        <v>169</v>
      </c>
      <c r="C136" s="45" t="s">
        <v>180</v>
      </c>
      <c r="D136" s="8">
        <v>93</v>
      </c>
      <c r="E136" s="8">
        <v>83</v>
      </c>
      <c r="F136" s="8">
        <v>298</v>
      </c>
      <c r="G136" s="37">
        <v>298</v>
      </c>
      <c r="H136" s="26">
        <f ca="1">IFERROR(__xludf.DUMMYFUNCTION("(R136 * IFERROR(IF(S136&lt;&gt;"""",FILTER($G:$G,$C:$C=S136),0), 0)) + (U136 * IFERROR(IF(V136&lt;&gt;"""",FILTER($G:$G,$C:$C=V136),0), 0)) + (X136 * IFERROR(IF(Y136&lt;&gt;"""",FILTER($G:$G,$C:$C=Y136),0), 0)) + (AA136 * IFERROR(IF(AB136&lt;&gt;"""",FILTER($G:$G,$C:$C=AB136),0)"&amp;", 0))"),280)</f>
        <v>280</v>
      </c>
      <c r="I136" s="27">
        <f t="shared" ca="1" si="0"/>
        <v>18</v>
      </c>
      <c r="J136" s="8">
        <v>30</v>
      </c>
      <c r="K136" s="8">
        <v>25</v>
      </c>
      <c r="L136" s="5">
        <f t="shared" si="6"/>
        <v>30</v>
      </c>
      <c r="M136" s="28">
        <f t="shared" si="1"/>
        <v>9.93</v>
      </c>
      <c r="N136" s="29">
        <f t="shared" ca="1" si="2"/>
        <v>0.6</v>
      </c>
      <c r="O136" s="8">
        <v>36</v>
      </c>
      <c r="P136" s="27">
        <f t="shared" si="3"/>
        <v>1.2</v>
      </c>
      <c r="Q136" s="38" t="s">
        <v>444</v>
      </c>
      <c r="R136" s="46">
        <v>4</v>
      </c>
      <c r="S136" s="34" t="s">
        <v>125</v>
      </c>
      <c r="T136" s="46"/>
      <c r="U136" s="46">
        <v>1</v>
      </c>
      <c r="V136" s="34" t="s">
        <v>171</v>
      </c>
      <c r="W136" s="46"/>
      <c r="X136" s="46">
        <v>1</v>
      </c>
      <c r="Y136" s="34" t="s">
        <v>175</v>
      </c>
      <c r="Z136" s="34"/>
      <c r="AA136" s="34"/>
      <c r="AB136" s="34"/>
      <c r="AC136" s="7"/>
      <c r="AD136" s="7"/>
      <c r="AE136" s="7"/>
    </row>
    <row r="137" spans="1:31" ht="12.75" x14ac:dyDescent="0.2">
      <c r="A137" s="22"/>
      <c r="B137" s="23" t="s">
        <v>183</v>
      </c>
      <c r="C137" s="24" t="s">
        <v>184</v>
      </c>
      <c r="D137" s="5">
        <v>81</v>
      </c>
      <c r="E137" s="5">
        <v>174</v>
      </c>
      <c r="F137" s="5">
        <v>626</v>
      </c>
      <c r="G137" s="25">
        <v>626</v>
      </c>
      <c r="H137" s="41">
        <f ca="1">IFERROR(__xludf.DUMMYFUNCTION("(R137 * IFERROR(IF(S137&lt;&gt;"""",FILTER($G:$G,$C:$C=S137),0), 0)) + (U137 * IFERROR(IF(V137&lt;&gt;"""",FILTER($G:$G,$C:$C=V137),0), 0)) + (X137 * IFERROR(IF(Y137&lt;&gt;"""",FILTER($G:$G,$C:$C=Y137),0), 0)) + (AA137 * IFERROR(IF(AB137&lt;&gt;"""",FILTER($G:$G,$C:$C=AB137),0)"&amp;", 0))"),610)</f>
        <v>610</v>
      </c>
      <c r="I137" s="30">
        <f t="shared" ca="1" si="0"/>
        <v>16</v>
      </c>
      <c r="J137" s="5">
        <v>25</v>
      </c>
      <c r="K137" s="5">
        <v>21</v>
      </c>
      <c r="L137" s="5">
        <f t="shared" si="6"/>
        <v>25</v>
      </c>
      <c r="M137" s="42">
        <f t="shared" si="1"/>
        <v>25.04</v>
      </c>
      <c r="N137" s="43">
        <f t="shared" ca="1" si="2"/>
        <v>0.64</v>
      </c>
      <c r="O137" s="5">
        <v>74</v>
      </c>
      <c r="P137" s="30">
        <f t="shared" si="3"/>
        <v>2.96</v>
      </c>
      <c r="Q137" s="31">
        <v>1</v>
      </c>
      <c r="R137" s="32">
        <v>1</v>
      </c>
      <c r="S137" s="33" t="s">
        <v>130</v>
      </c>
      <c r="T137" s="32"/>
      <c r="U137" s="32">
        <v>3</v>
      </c>
      <c r="V137" s="33" t="s">
        <v>100</v>
      </c>
      <c r="W137" s="33"/>
      <c r="X137" s="33"/>
      <c r="Y137" s="33"/>
      <c r="Z137" s="33"/>
      <c r="AA137" s="33"/>
      <c r="AB137" s="34"/>
      <c r="AC137" s="6"/>
      <c r="AD137" s="6"/>
      <c r="AE137" s="6"/>
    </row>
    <row r="138" spans="1:31" ht="12.75" x14ac:dyDescent="0.2">
      <c r="A138" s="22"/>
      <c r="B138" s="23" t="s">
        <v>183</v>
      </c>
      <c r="C138" s="24" t="s">
        <v>185</v>
      </c>
      <c r="D138" s="5">
        <v>86</v>
      </c>
      <c r="E138" s="5">
        <v>141</v>
      </c>
      <c r="F138" s="5">
        <v>507</v>
      </c>
      <c r="G138" s="25">
        <v>507</v>
      </c>
      <c r="H138" s="41">
        <f ca="1">IFERROR(__xludf.DUMMYFUNCTION("(R138 * IFERROR(IF(S138&lt;&gt;"""",FILTER($G:$G,$C:$C=S138),0), 0)) + (U138 * IFERROR(IF(V138&lt;&gt;"""",FILTER($G:$G,$C:$C=V138),0), 0)) + (X138 * IFERROR(IF(Y138&lt;&gt;"""",FILTER($G:$G,$C:$C=Y138),0), 0)) + (AA138 * IFERROR(IF(AB138&lt;&gt;"""",FILTER($G:$G,$C:$C=AB138),0)"&amp;", 0))"),484)</f>
        <v>484</v>
      </c>
      <c r="I138" s="30">
        <f t="shared" ca="1" si="0"/>
        <v>23</v>
      </c>
      <c r="J138" s="5">
        <v>30</v>
      </c>
      <c r="K138" s="5">
        <v>25</v>
      </c>
      <c r="L138" s="5">
        <f t="shared" si="6"/>
        <v>30</v>
      </c>
      <c r="M138" s="42">
        <f t="shared" si="1"/>
        <v>16.899999999999999</v>
      </c>
      <c r="N138" s="43">
        <f t="shared" ca="1" si="2"/>
        <v>0.77</v>
      </c>
      <c r="O138" s="5">
        <v>60</v>
      </c>
      <c r="P138" s="30">
        <f t="shared" si="3"/>
        <v>2</v>
      </c>
      <c r="Q138" s="31" t="s">
        <v>444</v>
      </c>
      <c r="R138" s="32">
        <v>3</v>
      </c>
      <c r="S138" s="33" t="s">
        <v>66</v>
      </c>
      <c r="T138" s="32"/>
      <c r="U138" s="32">
        <v>1</v>
      </c>
      <c r="V138" s="33" t="s">
        <v>182</v>
      </c>
      <c r="W138" s="32"/>
      <c r="X138" s="32">
        <v>1</v>
      </c>
      <c r="Y138" s="33" t="s">
        <v>83</v>
      </c>
      <c r="Z138" s="32"/>
      <c r="AA138" s="32">
        <v>1</v>
      </c>
      <c r="AB138" s="34" t="s">
        <v>57</v>
      </c>
      <c r="AC138" s="6"/>
      <c r="AD138" s="6"/>
      <c r="AE138" s="6"/>
    </row>
    <row r="139" spans="1:31" ht="12.75" x14ac:dyDescent="0.2">
      <c r="A139" s="22"/>
      <c r="B139" s="35" t="s">
        <v>183</v>
      </c>
      <c r="C139" s="36" t="s">
        <v>186</v>
      </c>
      <c r="D139" s="8">
        <v>91</v>
      </c>
      <c r="E139" s="8">
        <v>137</v>
      </c>
      <c r="F139" s="8">
        <v>493</v>
      </c>
      <c r="G139" s="37">
        <v>493</v>
      </c>
      <c r="H139" s="41">
        <f ca="1">IFERROR(__xludf.DUMMYFUNCTION("(R139 * IFERROR(IF(S139&lt;&gt;"""",FILTER($G:$G,$C:$C=S139),0), 0)) + (U139 * IFERROR(IF(V139&lt;&gt;"""",FILTER($G:$G,$C:$C=V139),0), 0)) + (X139 * IFERROR(IF(Y139&lt;&gt;"""",FILTER($G:$G,$C:$C=Y139),0), 0)) + (AA139 * IFERROR(IF(AB139&lt;&gt;"""",FILTER($G:$G,$C:$C=AB139),0)"&amp;", 0))"),469)</f>
        <v>469</v>
      </c>
      <c r="I139" s="30">
        <f t="shared" ca="1" si="0"/>
        <v>24</v>
      </c>
      <c r="J139" s="8">
        <v>20</v>
      </c>
      <c r="K139" s="8">
        <v>17</v>
      </c>
      <c r="L139" s="5">
        <f t="shared" si="6"/>
        <v>20</v>
      </c>
      <c r="M139" s="42">
        <f t="shared" si="1"/>
        <v>24.65</v>
      </c>
      <c r="N139" s="43">
        <f t="shared" ca="1" si="2"/>
        <v>1.2</v>
      </c>
      <c r="O139" s="8">
        <v>59</v>
      </c>
      <c r="P139" s="30">
        <f t="shared" si="3"/>
        <v>2.95</v>
      </c>
      <c r="Q139" s="38">
        <v>1</v>
      </c>
      <c r="R139" s="46">
        <v>1</v>
      </c>
      <c r="S139" s="34" t="s">
        <v>38</v>
      </c>
      <c r="T139" s="46"/>
      <c r="U139" s="46">
        <v>1</v>
      </c>
      <c r="V139" s="34" t="s">
        <v>35</v>
      </c>
      <c r="W139" s="46"/>
      <c r="X139" s="46">
        <v>2</v>
      </c>
      <c r="Y139" s="34" t="s">
        <v>90</v>
      </c>
      <c r="Z139" s="46"/>
      <c r="AA139" s="46">
        <v>1</v>
      </c>
      <c r="AB139" s="34" t="s">
        <v>34</v>
      </c>
      <c r="AC139" s="7"/>
      <c r="AD139" s="7"/>
      <c r="AE139" s="7"/>
    </row>
    <row r="140" spans="1:31" ht="12.75" x14ac:dyDescent="0.2">
      <c r="A140" s="22"/>
      <c r="B140" s="39" t="s">
        <v>187</v>
      </c>
      <c r="C140" s="40" t="s">
        <v>188</v>
      </c>
      <c r="D140" s="5">
        <v>70</v>
      </c>
      <c r="E140" s="5">
        <v>100</v>
      </c>
      <c r="F140" s="5">
        <v>468</v>
      </c>
      <c r="G140" s="25">
        <v>468</v>
      </c>
      <c r="H140" s="26">
        <f ca="1">IFERROR(__xludf.DUMMYFUNCTION("(R140 * IFERROR(IF(S140&lt;&gt;"""",FILTER($G:$G,$C:$C=S140),0), 0)) + (U140 * IFERROR(IF(V140&lt;&gt;"""",FILTER($G:$G,$C:$C=V140),0), 0)) + (X140 * IFERROR(IF(Y140&lt;&gt;"""",FILTER($G:$G,$C:$C=Y140),0), 0)) + (AA140 * IFERROR(IF(AB140&lt;&gt;"""",FILTER($G:$G,$C:$C=AB140),0)"&amp;", 0))"),424)</f>
        <v>424</v>
      </c>
      <c r="I140" s="27">
        <f t="shared" ca="1" si="0"/>
        <v>44</v>
      </c>
      <c r="J140" s="5">
        <v>120</v>
      </c>
      <c r="K140" s="5">
        <v>102</v>
      </c>
      <c r="L140" s="5">
        <f t="shared" si="6"/>
        <v>120</v>
      </c>
      <c r="M140" s="42">
        <f t="shared" si="1"/>
        <v>3.9</v>
      </c>
      <c r="N140" s="43">
        <f t="shared" ca="1" si="2"/>
        <v>0.37</v>
      </c>
      <c r="O140" s="5">
        <v>46</v>
      </c>
      <c r="P140" s="30">
        <f t="shared" si="3"/>
        <v>0.38</v>
      </c>
      <c r="Q140" s="31" t="s">
        <v>443</v>
      </c>
      <c r="R140" s="32">
        <v>6</v>
      </c>
      <c r="S140" s="33" t="s">
        <v>189</v>
      </c>
      <c r="T140" s="32"/>
      <c r="U140" s="32">
        <v>2</v>
      </c>
      <c r="V140" s="33" t="s">
        <v>100</v>
      </c>
      <c r="W140" s="33"/>
      <c r="X140" s="33"/>
      <c r="Y140" s="33"/>
      <c r="Z140" s="33"/>
      <c r="AA140" s="33"/>
      <c r="AB140" s="34"/>
      <c r="AC140" s="6"/>
      <c r="AD140" s="6"/>
      <c r="AE140" s="7"/>
    </row>
    <row r="141" spans="1:31" ht="12.75" x14ac:dyDescent="0.2">
      <c r="A141" s="22"/>
      <c r="B141" s="39" t="s">
        <v>187</v>
      </c>
      <c r="C141" s="40" t="s">
        <v>190</v>
      </c>
      <c r="D141" s="5">
        <v>72</v>
      </c>
      <c r="E141" s="5">
        <v>200</v>
      </c>
      <c r="F141" s="5">
        <v>619</v>
      </c>
      <c r="G141" s="25">
        <v>619</v>
      </c>
      <c r="H141" s="26">
        <f ca="1">IFERROR(__xludf.DUMMYFUNCTION("(R141 * IFERROR(IF(S141&lt;&gt;"""",FILTER($G:$G,$C:$C=S141),0), 0)) + (U141 * IFERROR(IF(V141&lt;&gt;"""",FILTER($G:$G,$C:$C=V141),0), 0)) + (X141 * IFERROR(IF(Y141&lt;&gt;"""",FILTER($G:$G,$C:$C=Y141),0), 0)) + (AA141 * IFERROR(IF(AB141&lt;&gt;"""",FILTER($G:$G,$C:$C=AB141),0)"&amp;", 0))"),572)</f>
        <v>572</v>
      </c>
      <c r="I141" s="27">
        <f t="shared" ca="1" si="0"/>
        <v>47</v>
      </c>
      <c r="J141" s="5">
        <v>210</v>
      </c>
      <c r="K141" s="5">
        <v>178</v>
      </c>
      <c r="L141" s="5">
        <f t="shared" si="6"/>
        <v>210</v>
      </c>
      <c r="M141" s="28">
        <f t="shared" si="1"/>
        <v>2.95</v>
      </c>
      <c r="N141" s="29">
        <f t="shared" ca="1" si="2"/>
        <v>0.22</v>
      </c>
      <c r="O141" s="5">
        <v>74</v>
      </c>
      <c r="P141" s="30">
        <f t="shared" si="3"/>
        <v>0.35</v>
      </c>
      <c r="Q141" s="31" t="s">
        <v>444</v>
      </c>
      <c r="R141" s="32">
        <v>3</v>
      </c>
      <c r="S141" s="33" t="s">
        <v>175</v>
      </c>
      <c r="T141" s="32"/>
      <c r="U141" s="32">
        <v>1</v>
      </c>
      <c r="V141" s="33" t="s">
        <v>191</v>
      </c>
      <c r="W141" s="32"/>
      <c r="X141" s="32">
        <v>1</v>
      </c>
      <c r="Y141" s="33" t="s">
        <v>192</v>
      </c>
      <c r="Z141" s="33"/>
      <c r="AA141" s="33"/>
      <c r="AB141" s="34"/>
      <c r="AC141" s="6"/>
      <c r="AD141" s="6"/>
      <c r="AE141" s="7"/>
    </row>
    <row r="142" spans="1:31" ht="12.75" x14ac:dyDescent="0.2">
      <c r="A142" s="22"/>
      <c r="B142" s="39" t="s">
        <v>187</v>
      </c>
      <c r="C142" s="40" t="s">
        <v>193</v>
      </c>
      <c r="D142" s="5">
        <v>74</v>
      </c>
      <c r="E142" s="5">
        <v>150</v>
      </c>
      <c r="F142" s="5">
        <v>558</v>
      </c>
      <c r="G142" s="25">
        <v>558</v>
      </c>
      <c r="H142" s="26">
        <f ca="1">IFERROR(__xludf.DUMMYFUNCTION("(R142 * IFERROR(IF(S142&lt;&gt;"""",FILTER($G:$G,$C:$C=S142),0), 0)) + (U142 * IFERROR(IF(V142&lt;&gt;"""",FILTER($G:$G,$C:$C=V142),0), 0)) + (X142 * IFERROR(IF(Y142&lt;&gt;"""",FILTER($G:$G,$C:$C=Y142),0), 0)) + (AA142 * IFERROR(IF(AB142&lt;&gt;"""",FILTER($G:$G,$C:$C=AB142),0)"&amp;", 0))"),513)</f>
        <v>513</v>
      </c>
      <c r="I142" s="27">
        <f t="shared" ca="1" si="0"/>
        <v>45</v>
      </c>
      <c r="J142" s="5">
        <v>150</v>
      </c>
      <c r="K142" s="5">
        <v>127</v>
      </c>
      <c r="L142" s="5">
        <f t="shared" si="6"/>
        <v>150</v>
      </c>
      <c r="M142" s="28">
        <f t="shared" si="1"/>
        <v>3.72</v>
      </c>
      <c r="N142" s="29">
        <f t="shared" ca="1" si="2"/>
        <v>0.3</v>
      </c>
      <c r="O142" s="5">
        <v>66</v>
      </c>
      <c r="P142" s="30">
        <f t="shared" si="3"/>
        <v>0.44</v>
      </c>
      <c r="Q142" s="31" t="s">
        <v>444</v>
      </c>
      <c r="R142" s="32">
        <v>3</v>
      </c>
      <c r="S142" s="33" t="s">
        <v>189</v>
      </c>
      <c r="T142" s="32"/>
      <c r="U142" s="32">
        <v>1</v>
      </c>
      <c r="V142" s="33" t="s">
        <v>124</v>
      </c>
      <c r="W142" s="32"/>
      <c r="X142" s="32">
        <v>2</v>
      </c>
      <c r="Y142" s="33" t="s">
        <v>192</v>
      </c>
      <c r="Z142" s="32"/>
      <c r="AA142" s="32">
        <v>1</v>
      </c>
      <c r="AB142" s="34" t="s">
        <v>30</v>
      </c>
      <c r="AC142" s="6"/>
      <c r="AD142" s="6"/>
      <c r="AE142" s="7"/>
    </row>
    <row r="143" spans="1:31" ht="12.75" x14ac:dyDescent="0.2">
      <c r="A143" s="22"/>
      <c r="B143" s="44" t="s">
        <v>187</v>
      </c>
      <c r="C143" s="45" t="s">
        <v>194</v>
      </c>
      <c r="D143" s="8">
        <v>86</v>
      </c>
      <c r="E143" s="8">
        <v>92</v>
      </c>
      <c r="F143" s="8">
        <v>331</v>
      </c>
      <c r="G143" s="37">
        <v>331</v>
      </c>
      <c r="H143" s="26">
        <f ca="1">IFERROR(__xludf.DUMMYFUNCTION("(R143 * IFERROR(IF(S143&lt;&gt;"""",FILTER($G:$G,$C:$C=S143),0), 0)) + (U143 * IFERROR(IF(V143&lt;&gt;"""",FILTER($G:$G,$C:$C=V143),0), 0)) + (X143 * IFERROR(IF(Y143&lt;&gt;"""",FILTER($G:$G,$C:$C=Y143),0), 0)) + (AA143 * IFERROR(IF(AB143&lt;&gt;"""",FILTER($G:$G,$C:$C=AB143),0)"&amp;", 0))"),292)</f>
        <v>292</v>
      </c>
      <c r="I143" s="27">
        <f t="shared" ca="1" si="0"/>
        <v>39</v>
      </c>
      <c r="J143" s="8">
        <v>120</v>
      </c>
      <c r="K143" s="8">
        <v>102</v>
      </c>
      <c r="L143" s="5">
        <f t="shared" si="6"/>
        <v>120</v>
      </c>
      <c r="M143" s="28">
        <f t="shared" si="1"/>
        <v>2.76</v>
      </c>
      <c r="N143" s="29">
        <f t="shared" ca="1" si="2"/>
        <v>0.33</v>
      </c>
      <c r="O143" s="8">
        <v>40</v>
      </c>
      <c r="P143" s="27">
        <f t="shared" si="3"/>
        <v>0.33</v>
      </c>
      <c r="Q143" s="38" t="s">
        <v>444</v>
      </c>
      <c r="R143" s="46">
        <v>4</v>
      </c>
      <c r="S143" s="34" t="s">
        <v>171</v>
      </c>
      <c r="T143" s="46"/>
      <c r="U143" s="46">
        <v>5</v>
      </c>
      <c r="V143" s="34" t="s">
        <v>125</v>
      </c>
      <c r="W143" s="34"/>
      <c r="X143" s="34"/>
      <c r="Y143" s="34"/>
      <c r="Z143" s="34"/>
      <c r="AA143" s="34"/>
      <c r="AB143" s="34"/>
      <c r="AC143" s="7"/>
      <c r="AD143" s="7"/>
      <c r="AE143" s="7"/>
    </row>
    <row r="144" spans="1:31" ht="12.75" x14ac:dyDescent="0.2">
      <c r="A144" s="22"/>
      <c r="B144" s="23" t="s">
        <v>195</v>
      </c>
      <c r="C144" s="24" t="s">
        <v>62</v>
      </c>
      <c r="D144" s="5">
        <v>39</v>
      </c>
      <c r="E144" s="5">
        <v>43</v>
      </c>
      <c r="F144" s="5">
        <v>154</v>
      </c>
      <c r="G144" s="25">
        <v>154</v>
      </c>
      <c r="H144" s="26">
        <f ca="1">IFERROR(__xludf.DUMMYFUNCTION("(R144 * IFERROR(IF(S144&lt;&gt;"""",FILTER($G:$G,$C:$C=S144),0), 0)) + (U144 * IFERROR(IF(V144&lt;&gt;"""",FILTER($G:$G,$C:$C=V144),0), 0)) + (X144 * IFERROR(IF(Y144&lt;&gt;"""",FILTER($G:$G,$C:$C=Y144),0), 0)) + (AA144 * IFERROR(IF(AB144&lt;&gt;"""",FILTER($G:$G,$C:$C=AB144),0)"&amp;", 0))"),136)</f>
        <v>136</v>
      </c>
      <c r="I144" s="27">
        <f t="shared" ca="1" si="0"/>
        <v>18</v>
      </c>
      <c r="J144" s="5">
        <v>20</v>
      </c>
      <c r="K144" s="5">
        <v>17</v>
      </c>
      <c r="L144" s="5">
        <f t="shared" si="6"/>
        <v>20</v>
      </c>
      <c r="M144" s="28">
        <f t="shared" si="1"/>
        <v>7.7</v>
      </c>
      <c r="N144" s="29">
        <f t="shared" ca="1" si="2"/>
        <v>0.9</v>
      </c>
      <c r="O144" s="5">
        <v>19</v>
      </c>
      <c r="P144" s="30">
        <f t="shared" si="3"/>
        <v>0.95</v>
      </c>
      <c r="Q144" s="31"/>
      <c r="R144" s="32">
        <v>2</v>
      </c>
      <c r="S144" s="33" t="s">
        <v>55</v>
      </c>
      <c r="T144" s="33"/>
      <c r="U144" s="33"/>
      <c r="V144" s="33"/>
      <c r="W144" s="33"/>
      <c r="X144" s="33"/>
      <c r="Y144" s="33"/>
      <c r="Z144" s="33"/>
      <c r="AA144" s="33"/>
      <c r="AB144" s="34"/>
      <c r="AC144" s="6"/>
      <c r="AD144" s="6"/>
      <c r="AE144" s="7"/>
    </row>
    <row r="145" spans="1:31" ht="12.75" x14ac:dyDescent="0.2">
      <c r="A145" s="22"/>
      <c r="B145" s="35" t="s">
        <v>195</v>
      </c>
      <c r="C145" s="36" t="s">
        <v>119</v>
      </c>
      <c r="D145" s="8">
        <v>48</v>
      </c>
      <c r="E145" s="8">
        <v>65</v>
      </c>
      <c r="F145" s="8">
        <v>234</v>
      </c>
      <c r="G145" s="37">
        <v>234</v>
      </c>
      <c r="H145" s="26">
        <f ca="1">IFERROR(__xludf.DUMMYFUNCTION("(R145 * IFERROR(IF(S145&lt;&gt;"""",FILTER($G:$G,$C:$C=S145),0), 0)) + (U145 * IFERROR(IF(V145&lt;&gt;"""",FILTER($G:$G,$C:$C=V145),0), 0)) + (X145 * IFERROR(IF(Y145&lt;&gt;"""",FILTER($G:$G,$C:$C=Y145),0), 0)) + (AA145 * IFERROR(IF(AB145&lt;&gt;"""",FILTER($G:$G,$C:$C=AB145),0)"&amp;", 0))"),204)</f>
        <v>204</v>
      </c>
      <c r="I145" s="27">
        <f t="shared" ca="1" si="0"/>
        <v>30</v>
      </c>
      <c r="J145" s="8">
        <v>45</v>
      </c>
      <c r="K145" s="8">
        <v>38</v>
      </c>
      <c r="L145" s="5">
        <f t="shared" si="6"/>
        <v>45</v>
      </c>
      <c r="M145" s="28">
        <f t="shared" si="1"/>
        <v>5.2</v>
      </c>
      <c r="N145" s="29">
        <f t="shared" ca="1" si="2"/>
        <v>0.67</v>
      </c>
      <c r="O145" s="8">
        <v>28</v>
      </c>
      <c r="P145" s="27">
        <f t="shared" si="3"/>
        <v>0.62</v>
      </c>
      <c r="Q145" s="38"/>
      <c r="R145" s="46">
        <v>3</v>
      </c>
      <c r="S145" s="34" t="s">
        <v>55</v>
      </c>
      <c r="T145" s="34"/>
      <c r="U145" s="34"/>
      <c r="V145" s="34"/>
      <c r="W145" s="34"/>
      <c r="X145" s="34"/>
      <c r="Y145" s="34"/>
      <c r="Z145" s="34"/>
      <c r="AA145" s="34"/>
      <c r="AB145" s="34"/>
      <c r="AC145" s="7"/>
      <c r="AD145" s="7"/>
      <c r="AE145" s="7"/>
    </row>
    <row r="146" spans="1:31" ht="12.75" x14ac:dyDescent="0.2">
      <c r="A146" s="22"/>
      <c r="B146" s="39" t="s">
        <v>196</v>
      </c>
      <c r="C146" s="40" t="s">
        <v>197</v>
      </c>
      <c r="D146" s="5">
        <v>75</v>
      </c>
      <c r="E146" s="5">
        <v>103</v>
      </c>
      <c r="F146" s="5">
        <v>370</v>
      </c>
      <c r="G146" s="25">
        <v>370</v>
      </c>
      <c r="H146" s="26">
        <f ca="1">IFERROR(__xludf.DUMMYFUNCTION("(R146 * IFERROR(IF(S146&lt;&gt;"""",FILTER($G:$G,$C:$C=S146),0), 0)) + (U146 * IFERROR(IF(V146&lt;&gt;"""",FILTER($G:$G,$C:$C=V146),0), 0)) + (X146 * IFERROR(IF(Y146&lt;&gt;"""",FILTER($G:$G,$C:$C=Y146),0), 0)) + (AA146 * IFERROR(IF(AB146&lt;&gt;"""",FILTER($G:$G,$C:$C=AB146),0)"&amp;", 0))"),351)</f>
        <v>351</v>
      </c>
      <c r="I146" s="27">
        <f t="shared" ca="1" si="0"/>
        <v>19</v>
      </c>
      <c r="J146" s="5">
        <v>30</v>
      </c>
      <c r="K146" s="5">
        <v>25</v>
      </c>
      <c r="L146" s="5">
        <f t="shared" si="6"/>
        <v>30</v>
      </c>
      <c r="M146" s="28">
        <f t="shared" si="1"/>
        <v>12.33</v>
      </c>
      <c r="N146" s="29">
        <f t="shared" ca="1" si="2"/>
        <v>0.63</v>
      </c>
      <c r="O146" s="5">
        <v>44</v>
      </c>
      <c r="P146" s="30">
        <f t="shared" si="3"/>
        <v>1.47</v>
      </c>
      <c r="Q146" s="31" t="s">
        <v>444</v>
      </c>
      <c r="R146" s="32">
        <v>2</v>
      </c>
      <c r="S146" s="33" t="s">
        <v>66</v>
      </c>
      <c r="T146" s="32"/>
      <c r="U146" s="32">
        <v>1</v>
      </c>
      <c r="V146" s="33" t="s">
        <v>21</v>
      </c>
      <c r="W146" s="32"/>
      <c r="X146" s="32">
        <v>1</v>
      </c>
      <c r="Y146" s="33" t="s">
        <v>198</v>
      </c>
      <c r="Z146" s="33"/>
      <c r="AA146" s="33"/>
      <c r="AB146" s="34"/>
      <c r="AC146" s="6"/>
      <c r="AD146" s="6"/>
      <c r="AE146" s="7"/>
    </row>
    <row r="147" spans="1:31" ht="12.75" x14ac:dyDescent="0.2">
      <c r="A147" s="22"/>
      <c r="B147" s="39" t="s">
        <v>196</v>
      </c>
      <c r="C147" s="40" t="s">
        <v>199</v>
      </c>
      <c r="D147" s="5">
        <v>76</v>
      </c>
      <c r="E147" s="5">
        <v>102</v>
      </c>
      <c r="F147" s="5">
        <v>367</v>
      </c>
      <c r="G147" s="25">
        <v>367</v>
      </c>
      <c r="H147" s="26">
        <f ca="1">IFERROR(__xludf.DUMMYFUNCTION("(R147 * IFERROR(IF(S147&lt;&gt;"""",FILTER($G:$G,$C:$C=S147),0), 0)) + (U147 * IFERROR(IF(V147&lt;&gt;"""",FILTER($G:$G,$C:$C=V147),0), 0)) + (X147 * IFERROR(IF(Y147&lt;&gt;"""",FILTER($G:$G,$C:$C=Y147),0), 0)) + (AA147 * IFERROR(IF(AB147&lt;&gt;"""",FILTER($G:$G,$C:$C=AB147),0)"&amp;", 0))"),328)</f>
        <v>328</v>
      </c>
      <c r="I147" s="27">
        <f t="shared" ca="1" si="0"/>
        <v>39</v>
      </c>
      <c r="J147" s="5">
        <v>45</v>
      </c>
      <c r="K147" s="5">
        <v>38</v>
      </c>
      <c r="L147" s="5">
        <f t="shared" si="6"/>
        <v>45</v>
      </c>
      <c r="M147" s="28">
        <f t="shared" si="1"/>
        <v>8.16</v>
      </c>
      <c r="N147" s="29">
        <f t="shared" ca="1" si="2"/>
        <v>0.87</v>
      </c>
      <c r="O147" s="5">
        <v>44</v>
      </c>
      <c r="P147" s="30">
        <f t="shared" si="3"/>
        <v>0.98</v>
      </c>
      <c r="Q147" s="31">
        <v>2</v>
      </c>
      <c r="R147" s="32">
        <v>3</v>
      </c>
      <c r="S147" s="33" t="s">
        <v>200</v>
      </c>
      <c r="T147" s="32"/>
      <c r="U147" s="32">
        <v>6</v>
      </c>
      <c r="V147" s="33" t="s">
        <v>164</v>
      </c>
      <c r="W147" s="32"/>
      <c r="X147" s="32">
        <v>4</v>
      </c>
      <c r="Y147" s="33" t="s">
        <v>34</v>
      </c>
      <c r="Z147" s="33"/>
      <c r="AA147" s="33"/>
      <c r="AB147" s="34"/>
      <c r="AC147" s="6"/>
      <c r="AD147" s="6"/>
      <c r="AE147" s="7"/>
    </row>
    <row r="148" spans="1:31" ht="12.75" x14ac:dyDescent="0.2">
      <c r="A148" s="22"/>
      <c r="B148" s="39" t="s">
        <v>196</v>
      </c>
      <c r="C148" s="40" t="s">
        <v>201</v>
      </c>
      <c r="D148" s="5">
        <v>78</v>
      </c>
      <c r="E148" s="5">
        <v>147</v>
      </c>
      <c r="F148" s="5">
        <v>529</v>
      </c>
      <c r="G148" s="25">
        <v>529</v>
      </c>
      <c r="H148" s="26">
        <f ca="1">IFERROR(__xludf.DUMMYFUNCTION("(R148 * IFERROR(IF(S148&lt;&gt;"""",FILTER($G:$G,$C:$C=S148),0), 0)) + (U148 * IFERROR(IF(V148&lt;&gt;"""",FILTER($G:$G,$C:$C=V148),0), 0)) + (X148 * IFERROR(IF(Y148&lt;&gt;"""",FILTER($G:$G,$C:$C=Y148),0), 0)) + (AA148 * IFERROR(IF(AB148&lt;&gt;"""",FILTER($G:$G,$C:$C=AB148),0)"&amp;", 0))"),505)</f>
        <v>505</v>
      </c>
      <c r="I148" s="27">
        <f t="shared" ca="1" si="0"/>
        <v>24</v>
      </c>
      <c r="J148" s="5">
        <v>60</v>
      </c>
      <c r="K148" s="5">
        <v>51</v>
      </c>
      <c r="L148" s="5">
        <f t="shared" si="6"/>
        <v>60</v>
      </c>
      <c r="M148" s="28">
        <f t="shared" si="1"/>
        <v>8.82</v>
      </c>
      <c r="N148" s="29">
        <f t="shared" ca="1" si="2"/>
        <v>0.4</v>
      </c>
      <c r="O148" s="5">
        <v>63</v>
      </c>
      <c r="P148" s="30">
        <f t="shared" si="3"/>
        <v>1.05</v>
      </c>
      <c r="Q148" s="31">
        <v>1</v>
      </c>
      <c r="R148" s="32">
        <v>4</v>
      </c>
      <c r="S148" s="33" t="s">
        <v>66</v>
      </c>
      <c r="T148" s="32"/>
      <c r="U148" s="32">
        <v>4</v>
      </c>
      <c r="V148" s="33" t="s">
        <v>25</v>
      </c>
      <c r="W148" s="32"/>
      <c r="X148" s="32">
        <v>1</v>
      </c>
      <c r="Y148" s="33" t="s">
        <v>57</v>
      </c>
      <c r="Z148" s="33"/>
      <c r="AA148" s="33"/>
      <c r="AB148" s="34"/>
      <c r="AC148" s="6"/>
      <c r="AD148" s="6"/>
      <c r="AE148" s="7"/>
    </row>
    <row r="149" spans="1:31" ht="12.75" x14ac:dyDescent="0.2">
      <c r="A149" s="22"/>
      <c r="B149" s="44" t="s">
        <v>196</v>
      </c>
      <c r="C149" s="45" t="s">
        <v>202</v>
      </c>
      <c r="D149" s="8">
        <v>80</v>
      </c>
      <c r="E149" s="8">
        <v>85</v>
      </c>
      <c r="F149" s="8">
        <v>306</v>
      </c>
      <c r="G149" s="37">
        <v>306</v>
      </c>
      <c r="H149" s="26">
        <f ca="1">IFERROR(__xludf.DUMMYFUNCTION("(R149 * IFERROR(IF(S149&lt;&gt;"""",FILTER($G:$G,$C:$C=S149),0), 0)) + (U149 * IFERROR(IF(V149&lt;&gt;"""",FILTER($G:$G,$C:$C=V149),0), 0)) + (X149 * IFERROR(IF(Y149&lt;&gt;"""",FILTER($G:$G,$C:$C=Y149),0), 0)) + (AA149 * IFERROR(IF(AB149&lt;&gt;"""",FILTER($G:$G,$C:$C=AB149),0)"&amp;", 0))"),274)</f>
        <v>274</v>
      </c>
      <c r="I149" s="27">
        <f t="shared" ca="1" si="0"/>
        <v>32</v>
      </c>
      <c r="J149" s="8">
        <v>75</v>
      </c>
      <c r="K149" s="8">
        <v>64</v>
      </c>
      <c r="L149" s="5">
        <f t="shared" si="6"/>
        <v>75</v>
      </c>
      <c r="M149" s="28">
        <f t="shared" si="1"/>
        <v>4.08</v>
      </c>
      <c r="N149" s="29">
        <f t="shared" ca="1" si="2"/>
        <v>0.43</v>
      </c>
      <c r="O149" s="8">
        <v>36</v>
      </c>
      <c r="P149" s="27">
        <f t="shared" si="3"/>
        <v>0.48</v>
      </c>
      <c r="Q149" s="38">
        <v>2</v>
      </c>
      <c r="R149" s="46">
        <v>1</v>
      </c>
      <c r="S149" s="34" t="s">
        <v>21</v>
      </c>
      <c r="T149" s="46"/>
      <c r="U149" s="46">
        <v>2</v>
      </c>
      <c r="V149" s="34" t="s">
        <v>66</v>
      </c>
      <c r="W149" s="46"/>
      <c r="X149" s="46">
        <v>1</v>
      </c>
      <c r="Y149" s="34" t="s">
        <v>37</v>
      </c>
      <c r="Z149" s="46"/>
      <c r="AA149" s="46">
        <v>3</v>
      </c>
      <c r="AB149" s="34" t="s">
        <v>77</v>
      </c>
      <c r="AC149" s="7"/>
      <c r="AD149" s="7"/>
      <c r="AE149" s="7"/>
    </row>
    <row r="150" spans="1:31" ht="12.75" x14ac:dyDescent="0.2">
      <c r="A150" s="22"/>
      <c r="B150" s="23" t="s">
        <v>203</v>
      </c>
      <c r="C150" s="24" t="s">
        <v>204</v>
      </c>
      <c r="D150" s="5">
        <v>29</v>
      </c>
      <c r="E150" s="5">
        <v>48</v>
      </c>
      <c r="F150" s="5">
        <v>172</v>
      </c>
      <c r="G150" s="25">
        <v>172</v>
      </c>
      <c r="H150" s="26">
        <f ca="1">IFERROR(__xludf.DUMMYFUNCTION("(R150 * IFERROR(IF(S150&lt;&gt;"""",FILTER($G:$G,$C:$C=S150),0), 0)) + (U150 * IFERROR(IF(V150&lt;&gt;"""",FILTER($G:$G,$C:$C=V150),0), 0)) + (X150 * IFERROR(IF(Y150&lt;&gt;"""",FILTER($G:$G,$C:$C=Y150),0), 0)) + (AA150 * IFERROR(IF(AB150&lt;&gt;"""",FILTER($G:$G,$C:$C=AB150),0)"&amp;", 0))"),132)</f>
        <v>132</v>
      </c>
      <c r="I150" s="27">
        <f t="shared" ca="1" si="0"/>
        <v>40</v>
      </c>
      <c r="J150" s="5">
        <v>120</v>
      </c>
      <c r="K150" s="5">
        <v>102</v>
      </c>
      <c r="L150" s="5">
        <f t="shared" si="6"/>
        <v>120</v>
      </c>
      <c r="M150" s="28">
        <f t="shared" si="1"/>
        <v>1.43</v>
      </c>
      <c r="N150" s="29">
        <f t="shared" ca="1" si="2"/>
        <v>0.33</v>
      </c>
      <c r="O150" s="5">
        <v>20</v>
      </c>
      <c r="P150" s="30">
        <f t="shared" si="3"/>
        <v>0.17</v>
      </c>
      <c r="Q150" s="31" t="s">
        <v>446</v>
      </c>
      <c r="R150" s="32">
        <v>1</v>
      </c>
      <c r="S150" s="33" t="s">
        <v>95</v>
      </c>
      <c r="T150" s="32"/>
      <c r="U150" s="32">
        <v>1</v>
      </c>
      <c r="V150" s="33" t="s">
        <v>71</v>
      </c>
      <c r="W150" s="32"/>
      <c r="X150" s="32">
        <v>1</v>
      </c>
      <c r="Y150" s="33" t="s">
        <v>40</v>
      </c>
      <c r="Z150" s="33"/>
      <c r="AA150" s="33"/>
      <c r="AB150" s="34"/>
      <c r="AC150" s="6"/>
      <c r="AD150" s="6"/>
      <c r="AE150" s="7"/>
    </row>
    <row r="151" spans="1:31" ht="12.75" x14ac:dyDescent="0.2">
      <c r="A151" s="22"/>
      <c r="B151" s="23" t="s">
        <v>203</v>
      </c>
      <c r="C151" s="24" t="s">
        <v>205</v>
      </c>
      <c r="D151" s="5">
        <v>33</v>
      </c>
      <c r="E151" s="5">
        <v>98</v>
      </c>
      <c r="F151" s="5">
        <v>352</v>
      </c>
      <c r="G151" s="25">
        <v>352</v>
      </c>
      <c r="H151" s="26">
        <f ca="1">IFERROR(__xludf.DUMMYFUNCTION("(R151 * IFERROR(IF(S151&lt;&gt;"""",FILTER($G:$G,$C:$C=S151),0), 0)) + (U151 * IFERROR(IF(V151&lt;&gt;"""",FILTER($G:$G,$C:$C=V151),0), 0)) + (X151 * IFERROR(IF(Y151&lt;&gt;"""",FILTER($G:$G,$C:$C=Y151),0), 0)) + (AA151 * IFERROR(IF(AB151&lt;&gt;"""",FILTER($G:$G,$C:$C=AB151),0)"&amp;", 0))"),306)</f>
        <v>306</v>
      </c>
      <c r="I151" s="27">
        <f t="shared" ca="1" si="0"/>
        <v>46</v>
      </c>
      <c r="J151" s="5">
        <v>180</v>
      </c>
      <c r="K151" s="5">
        <v>153</v>
      </c>
      <c r="L151" s="5">
        <f t="shared" si="6"/>
        <v>180</v>
      </c>
      <c r="M151" s="28">
        <f t="shared" si="1"/>
        <v>1.96</v>
      </c>
      <c r="N151" s="29">
        <f t="shared" ca="1" si="2"/>
        <v>0.26</v>
      </c>
      <c r="O151" s="5">
        <v>42</v>
      </c>
      <c r="P151" s="30">
        <f t="shared" si="3"/>
        <v>0.23</v>
      </c>
      <c r="Q151" s="31" t="s">
        <v>444</v>
      </c>
      <c r="R151" s="32">
        <v>1</v>
      </c>
      <c r="S151" s="33" t="s">
        <v>179</v>
      </c>
      <c r="T151" s="32"/>
      <c r="U151" s="32">
        <v>1</v>
      </c>
      <c r="V151" s="33" t="s">
        <v>47</v>
      </c>
      <c r="W151" s="33"/>
      <c r="X151" s="33"/>
      <c r="Y151" s="33"/>
      <c r="Z151" s="33"/>
      <c r="AA151" s="33"/>
      <c r="AB151" s="34"/>
      <c r="AC151" s="6"/>
      <c r="AD151" s="6"/>
      <c r="AE151" s="7"/>
    </row>
    <row r="152" spans="1:31" ht="12.75" x14ac:dyDescent="0.2">
      <c r="A152" s="22"/>
      <c r="B152" s="23" t="s">
        <v>203</v>
      </c>
      <c r="C152" s="24" t="s">
        <v>206</v>
      </c>
      <c r="D152" s="5">
        <v>34</v>
      </c>
      <c r="E152" s="5">
        <v>92</v>
      </c>
      <c r="F152" s="5">
        <v>331</v>
      </c>
      <c r="G152" s="25">
        <v>331</v>
      </c>
      <c r="H152" s="26">
        <f ca="1">IFERROR(__xludf.DUMMYFUNCTION("(R152 * IFERROR(IF(S152&lt;&gt;"""",FILTER($G:$G,$C:$C=S152),0), 0)) + (U152 * IFERROR(IF(V152&lt;&gt;"""",FILTER($G:$G,$C:$C=V152),0), 0)) + (X152 * IFERROR(IF(Y152&lt;&gt;"""",FILTER($G:$G,$C:$C=Y152),0), 0)) + (AA152 * IFERROR(IF(AB152&lt;&gt;"""",FILTER($G:$G,$C:$C=AB152),0)"&amp;", 0))"),282)</f>
        <v>282</v>
      </c>
      <c r="I152" s="27">
        <f t="shared" ca="1" si="0"/>
        <v>49</v>
      </c>
      <c r="J152" s="5">
        <v>240</v>
      </c>
      <c r="K152" s="5">
        <v>204</v>
      </c>
      <c r="L152" s="5">
        <f t="shared" si="6"/>
        <v>240</v>
      </c>
      <c r="M152" s="28">
        <f t="shared" si="1"/>
        <v>1.38</v>
      </c>
      <c r="N152" s="29">
        <f t="shared" ca="1" si="2"/>
        <v>0.2</v>
      </c>
      <c r="O152" s="5">
        <v>40</v>
      </c>
      <c r="P152" s="30">
        <f t="shared" si="3"/>
        <v>0.17</v>
      </c>
      <c r="Q152" s="31" t="s">
        <v>444</v>
      </c>
      <c r="R152" s="32">
        <v>1</v>
      </c>
      <c r="S152" s="33" t="s">
        <v>71</v>
      </c>
      <c r="T152" s="32"/>
      <c r="U152" s="32">
        <v>1</v>
      </c>
      <c r="V152" s="33" t="s">
        <v>40</v>
      </c>
      <c r="W152" s="32"/>
      <c r="X152" s="32">
        <v>3</v>
      </c>
      <c r="Y152" s="33" t="s">
        <v>100</v>
      </c>
      <c r="Z152" s="32"/>
      <c r="AA152" s="32">
        <v>1</v>
      </c>
      <c r="AB152" s="34" t="s">
        <v>95</v>
      </c>
      <c r="AC152" s="6"/>
      <c r="AD152" s="6"/>
      <c r="AE152" s="7"/>
    </row>
    <row r="153" spans="1:31" ht="12.75" x14ac:dyDescent="0.2">
      <c r="A153" s="22"/>
      <c r="B153" s="23" t="s">
        <v>203</v>
      </c>
      <c r="C153" s="24" t="s">
        <v>207</v>
      </c>
      <c r="D153" s="5">
        <v>39</v>
      </c>
      <c r="E153" s="5">
        <v>95</v>
      </c>
      <c r="F153" s="5">
        <v>342</v>
      </c>
      <c r="G153" s="25">
        <v>342</v>
      </c>
      <c r="H153" s="26">
        <f ca="1">IFERROR(__xludf.DUMMYFUNCTION("(R153 * IFERROR(IF(S153&lt;&gt;"""",FILTER($G:$G,$C:$C=S153),0), 0)) + (U153 * IFERROR(IF(V153&lt;&gt;"""",FILTER($G:$G,$C:$C=V153),0), 0)) + (X153 * IFERROR(IF(Y153&lt;&gt;"""",FILTER($G:$G,$C:$C=Y153),0), 0)) + (AA153 * IFERROR(IF(AB153&lt;&gt;"""",FILTER($G:$G,$C:$C=AB153),0)"&amp;", 0))"),304)</f>
        <v>304</v>
      </c>
      <c r="I153" s="27">
        <f t="shared" ca="1" si="0"/>
        <v>38</v>
      </c>
      <c r="J153" s="5">
        <v>150</v>
      </c>
      <c r="K153" s="5">
        <v>127</v>
      </c>
      <c r="L153" s="5">
        <f t="shared" si="6"/>
        <v>150</v>
      </c>
      <c r="M153" s="28">
        <f t="shared" si="1"/>
        <v>2.2799999999999998</v>
      </c>
      <c r="N153" s="29">
        <f t="shared" ca="1" si="2"/>
        <v>0.25</v>
      </c>
      <c r="O153" s="5">
        <v>41</v>
      </c>
      <c r="P153" s="30">
        <f t="shared" si="3"/>
        <v>0.27</v>
      </c>
      <c r="Q153" s="31" t="s">
        <v>444</v>
      </c>
      <c r="R153" s="32">
        <v>1</v>
      </c>
      <c r="S153" s="33" t="s">
        <v>71</v>
      </c>
      <c r="T153" s="32"/>
      <c r="U153" s="32">
        <v>1</v>
      </c>
      <c r="V153" s="33" t="s">
        <v>40</v>
      </c>
      <c r="W153" s="32"/>
      <c r="X153" s="32">
        <v>2</v>
      </c>
      <c r="Y153" s="33" t="s">
        <v>54</v>
      </c>
      <c r="Z153" s="32"/>
      <c r="AA153" s="32">
        <v>1</v>
      </c>
      <c r="AB153" s="34" t="s">
        <v>95</v>
      </c>
      <c r="AC153" s="6"/>
      <c r="AD153" s="6"/>
      <c r="AE153" s="6"/>
    </row>
    <row r="154" spans="1:31" ht="12.75" x14ac:dyDescent="0.2">
      <c r="A154" s="22"/>
      <c r="B154" s="23" t="s">
        <v>203</v>
      </c>
      <c r="C154" s="24" t="s">
        <v>208</v>
      </c>
      <c r="D154" s="5">
        <v>50</v>
      </c>
      <c r="E154" s="5">
        <v>49</v>
      </c>
      <c r="F154" s="5">
        <v>176</v>
      </c>
      <c r="G154" s="25">
        <v>176</v>
      </c>
      <c r="H154" s="26">
        <f ca="1">IFERROR(__xludf.DUMMYFUNCTION("(R154 * IFERROR(IF(S154&lt;&gt;"""",FILTER($G:$G,$C:$C=S154),0), 0)) + (U154 * IFERROR(IF(V154&lt;&gt;"""",FILTER($G:$G,$C:$C=V154),0), 0)) + (X154 * IFERROR(IF(Y154&lt;&gt;"""",FILTER($G:$G,$C:$C=Y154),0), 0)) + (AA154 * IFERROR(IF(AB154&lt;&gt;"""",FILTER($G:$G,$C:$C=AB154),0)"&amp;", 0))"),136)</f>
        <v>136</v>
      </c>
      <c r="I154" s="27">
        <f t="shared" ca="1" si="0"/>
        <v>40</v>
      </c>
      <c r="J154" s="5">
        <v>120</v>
      </c>
      <c r="K154" s="5">
        <v>102</v>
      </c>
      <c r="L154" s="5">
        <f t="shared" si="6"/>
        <v>120</v>
      </c>
      <c r="M154" s="28">
        <f t="shared" si="1"/>
        <v>1.47</v>
      </c>
      <c r="N154" s="29">
        <f t="shared" ca="1" si="2"/>
        <v>0.33</v>
      </c>
      <c r="O154" s="5">
        <v>21</v>
      </c>
      <c r="P154" s="30">
        <f t="shared" si="3"/>
        <v>0.18</v>
      </c>
      <c r="Q154" s="31" t="s">
        <v>491</v>
      </c>
      <c r="R154" s="32">
        <v>1</v>
      </c>
      <c r="S154" s="33" t="s">
        <v>71</v>
      </c>
      <c r="T154" s="32"/>
      <c r="U154" s="32">
        <v>3</v>
      </c>
      <c r="V154" s="33" t="s">
        <v>91</v>
      </c>
      <c r="W154" s="32"/>
      <c r="X154" s="32">
        <v>1</v>
      </c>
      <c r="Y154" s="33" t="s">
        <v>28</v>
      </c>
      <c r="Z154" s="33"/>
      <c r="AA154" s="33"/>
      <c r="AB154" s="34"/>
      <c r="AC154" s="6"/>
      <c r="AD154" s="6"/>
      <c r="AE154" s="6"/>
    </row>
    <row r="155" spans="1:31" ht="12.75" x14ac:dyDescent="0.2">
      <c r="A155" s="22"/>
      <c r="B155" s="23" t="s">
        <v>203</v>
      </c>
      <c r="C155" s="24" t="s">
        <v>209</v>
      </c>
      <c r="D155" s="5">
        <v>68</v>
      </c>
      <c r="E155" s="5">
        <v>172</v>
      </c>
      <c r="F155" s="5">
        <v>619</v>
      </c>
      <c r="G155" s="25">
        <v>619</v>
      </c>
      <c r="H155" s="26">
        <f ca="1">IFERROR(__xludf.DUMMYFUNCTION("(R155 * IFERROR(IF(S155&lt;&gt;"""",FILTER($G:$G,$C:$C=S155),0), 0)) + (U155 * IFERROR(IF(V155&lt;&gt;"""",FILTER($G:$G,$C:$C=V155),0), 0)) + (X155 * IFERROR(IF(Y155&lt;&gt;"""",FILTER($G:$G,$C:$C=Y155),0), 0)) + (AA155 * IFERROR(IF(AB155&lt;&gt;"""",FILTER($G:$G,$C:$C=AB155),0)"&amp;", 0))"),574)</f>
        <v>574</v>
      </c>
      <c r="I155" s="27">
        <f t="shared" ca="1" si="0"/>
        <v>45</v>
      </c>
      <c r="J155" s="5">
        <v>100</v>
      </c>
      <c r="K155" s="5">
        <v>85</v>
      </c>
      <c r="L155" s="5">
        <f t="shared" si="6"/>
        <v>100</v>
      </c>
      <c r="M155" s="28">
        <f t="shared" si="1"/>
        <v>6.19</v>
      </c>
      <c r="N155" s="29">
        <f t="shared" ca="1" si="2"/>
        <v>0.45</v>
      </c>
      <c r="O155" s="5">
        <v>86</v>
      </c>
      <c r="P155" s="30">
        <f t="shared" si="3"/>
        <v>0.86</v>
      </c>
      <c r="Q155" s="31" t="s">
        <v>444</v>
      </c>
      <c r="R155" s="32">
        <v>1</v>
      </c>
      <c r="S155" s="33" t="s">
        <v>136</v>
      </c>
      <c r="T155" s="32"/>
      <c r="U155" s="32">
        <v>1</v>
      </c>
      <c r="V155" s="33" t="s">
        <v>95</v>
      </c>
      <c r="W155" s="32"/>
      <c r="X155" s="32">
        <v>1</v>
      </c>
      <c r="Y155" s="33" t="s">
        <v>71</v>
      </c>
      <c r="Z155" s="32"/>
      <c r="AA155" s="32">
        <v>3</v>
      </c>
      <c r="AB155" s="34" t="s">
        <v>54</v>
      </c>
      <c r="AC155" s="6"/>
      <c r="AD155" s="6"/>
      <c r="AE155" s="7"/>
    </row>
    <row r="156" spans="1:31" ht="12.75" x14ac:dyDescent="0.2">
      <c r="A156" s="22"/>
      <c r="B156" s="23" t="s">
        <v>203</v>
      </c>
      <c r="C156" s="24" t="s">
        <v>210</v>
      </c>
      <c r="D156" s="5">
        <v>78</v>
      </c>
      <c r="E156" s="5">
        <v>111</v>
      </c>
      <c r="F156" s="5">
        <v>399</v>
      </c>
      <c r="G156" s="25">
        <v>399</v>
      </c>
      <c r="H156" s="26">
        <f ca="1">IFERROR(__xludf.DUMMYFUNCTION("(R156 * IFERROR(IF(S156&lt;&gt;"""",FILTER($G:$G,$C:$C=S156),0), 0)) + (U156 * IFERROR(IF(V156&lt;&gt;"""",FILTER($G:$G,$C:$C=V156),0), 0)) + (X156 * IFERROR(IF(Y156&lt;&gt;"""",FILTER($G:$G,$C:$C=Y156),0), 0)) + (AA156 * IFERROR(IF(AB156&lt;&gt;"""",FILTER($G:$G,$C:$C=AB156),0)"&amp;", 0))"),348)</f>
        <v>348</v>
      </c>
      <c r="I156" s="27">
        <f t="shared" ca="1" si="0"/>
        <v>51</v>
      </c>
      <c r="J156" s="5">
        <v>210</v>
      </c>
      <c r="K156" s="5">
        <v>178</v>
      </c>
      <c r="L156" s="5">
        <f t="shared" si="6"/>
        <v>210</v>
      </c>
      <c r="M156" s="28">
        <f t="shared" si="1"/>
        <v>1.9</v>
      </c>
      <c r="N156" s="29">
        <f t="shared" ca="1" si="2"/>
        <v>0.24</v>
      </c>
      <c r="O156" s="5">
        <v>48</v>
      </c>
      <c r="P156" s="30">
        <f t="shared" si="3"/>
        <v>0.23</v>
      </c>
      <c r="Q156" s="31">
        <v>2</v>
      </c>
      <c r="R156" s="32">
        <v>2</v>
      </c>
      <c r="S156" s="33" t="s">
        <v>114</v>
      </c>
      <c r="T156" s="32"/>
      <c r="U156" s="32">
        <v>1</v>
      </c>
      <c r="V156" s="33" t="s">
        <v>62</v>
      </c>
      <c r="W156" s="33"/>
      <c r="X156" s="33"/>
      <c r="Y156" s="33"/>
      <c r="Z156" s="33"/>
      <c r="AA156" s="33"/>
      <c r="AB156" s="34"/>
      <c r="AC156" s="6"/>
      <c r="AD156" s="6"/>
      <c r="AE156" s="7"/>
    </row>
    <row r="157" spans="1:31" ht="12.75" x14ac:dyDescent="0.2">
      <c r="A157" s="22"/>
      <c r="B157" s="23" t="s">
        <v>203</v>
      </c>
      <c r="C157" s="24" t="s">
        <v>211</v>
      </c>
      <c r="D157" s="5">
        <v>78</v>
      </c>
      <c r="E157" s="5">
        <v>121</v>
      </c>
      <c r="F157" s="5">
        <v>435</v>
      </c>
      <c r="G157" s="25">
        <v>435</v>
      </c>
      <c r="H157" s="26">
        <f ca="1">IFERROR(__xludf.DUMMYFUNCTION("(R157 * IFERROR(IF(S157&lt;&gt;"""",FILTER($G:$G,$C:$C=S157),0), 0)) + (U157 * IFERROR(IF(V157&lt;&gt;"""",FILTER($G:$G,$C:$C=V157),0), 0)) + (X157 * IFERROR(IF(Y157&lt;&gt;"""",FILTER($G:$G,$C:$C=Y157),0), 0)) + (AA157 * IFERROR(IF(AB157&lt;&gt;"""",FILTER($G:$G,$C:$C=AB157),0)"&amp;", 0))"),420)</f>
        <v>420</v>
      </c>
      <c r="I157" s="27">
        <f t="shared" ca="1" si="0"/>
        <v>15</v>
      </c>
      <c r="J157" s="5">
        <v>20</v>
      </c>
      <c r="K157" s="5">
        <v>17</v>
      </c>
      <c r="L157" s="5">
        <f t="shared" si="6"/>
        <v>20</v>
      </c>
      <c r="M157" s="28">
        <f t="shared" si="1"/>
        <v>21.75</v>
      </c>
      <c r="N157" s="29">
        <f t="shared" ca="1" si="2"/>
        <v>0.75</v>
      </c>
      <c r="O157" s="5">
        <v>52</v>
      </c>
      <c r="P157" s="30">
        <f t="shared" si="3"/>
        <v>2.6</v>
      </c>
      <c r="Q157" s="31">
        <v>1</v>
      </c>
      <c r="R157" s="32">
        <v>1</v>
      </c>
      <c r="S157" s="33" t="s">
        <v>204</v>
      </c>
      <c r="T157" s="32"/>
      <c r="U157" s="32">
        <v>1</v>
      </c>
      <c r="V157" s="33" t="s">
        <v>140</v>
      </c>
      <c r="W157" s="33"/>
      <c r="X157" s="33"/>
      <c r="Y157" s="33"/>
      <c r="Z157" s="33"/>
      <c r="AA157" s="33"/>
      <c r="AB157" s="34"/>
      <c r="AC157" s="6"/>
      <c r="AD157" s="6"/>
      <c r="AE157" s="7"/>
    </row>
    <row r="158" spans="1:31" ht="12.75" x14ac:dyDescent="0.2">
      <c r="A158" s="22"/>
      <c r="B158" s="23" t="s">
        <v>203</v>
      </c>
      <c r="C158" s="24" t="s">
        <v>212</v>
      </c>
      <c r="D158" s="5">
        <v>83</v>
      </c>
      <c r="E158" s="5">
        <v>125</v>
      </c>
      <c r="F158" s="5">
        <v>450</v>
      </c>
      <c r="G158" s="25">
        <v>450</v>
      </c>
      <c r="H158" s="26">
        <f ca="1">IFERROR(__xludf.DUMMYFUNCTION("(R158 * IFERROR(IF(S158&lt;&gt;"""",FILTER($G:$G,$C:$C=S158),0), 0)) + (U158 * IFERROR(IF(V158&lt;&gt;"""",FILTER($G:$G,$C:$C=V158),0), 0)) + (X158 * IFERROR(IF(Y158&lt;&gt;"""",FILTER($G:$G,$C:$C=Y158),0), 0)) + (AA158 * IFERROR(IF(AB158&lt;&gt;"""",FILTER($G:$G,$C:$C=AB158),0)"&amp;", 0))"),404)</f>
        <v>404</v>
      </c>
      <c r="I158" s="27">
        <f t="shared" ca="1" si="0"/>
        <v>46</v>
      </c>
      <c r="J158" s="5">
        <v>180</v>
      </c>
      <c r="K158" s="5">
        <v>153</v>
      </c>
      <c r="L158" s="5">
        <f t="shared" si="6"/>
        <v>180</v>
      </c>
      <c r="M158" s="28">
        <f t="shared" si="1"/>
        <v>2.5</v>
      </c>
      <c r="N158" s="29">
        <f t="shared" ca="1" si="2"/>
        <v>0.26</v>
      </c>
      <c r="O158" s="5">
        <v>54</v>
      </c>
      <c r="P158" s="30">
        <f t="shared" si="3"/>
        <v>0.3</v>
      </c>
      <c r="Q158" s="31">
        <v>2</v>
      </c>
      <c r="R158" s="32">
        <v>2</v>
      </c>
      <c r="S158" s="33" t="s">
        <v>213</v>
      </c>
      <c r="T158" s="32"/>
      <c r="U158" s="32">
        <v>1</v>
      </c>
      <c r="V158" s="33" t="s">
        <v>71</v>
      </c>
      <c r="W158" s="32"/>
      <c r="X158" s="32">
        <v>1</v>
      </c>
      <c r="Y158" s="33" t="s">
        <v>62</v>
      </c>
      <c r="Z158" s="33"/>
      <c r="AA158" s="33"/>
      <c r="AB158" s="34"/>
      <c r="AC158" s="6"/>
      <c r="AD158" s="6"/>
      <c r="AE158" s="7"/>
    </row>
    <row r="159" spans="1:31" ht="12.75" x14ac:dyDescent="0.2">
      <c r="A159" s="22"/>
      <c r="B159" s="23" t="s">
        <v>203</v>
      </c>
      <c r="C159" s="24" t="s">
        <v>214</v>
      </c>
      <c r="D159" s="5">
        <v>85</v>
      </c>
      <c r="E159" s="5">
        <v>80</v>
      </c>
      <c r="F159" s="5">
        <v>288</v>
      </c>
      <c r="G159" s="25">
        <v>288</v>
      </c>
      <c r="H159" s="26">
        <f ca="1">IFERROR(__xludf.DUMMYFUNCTION("(R159 * IFERROR(IF(S159&lt;&gt;"""",FILTER($G:$G,$C:$C=S159),0), 0)) + (U159 * IFERROR(IF(V159&lt;&gt;"""",FILTER($G:$G,$C:$C=V159),0), 0)) + (X159 * IFERROR(IF(Y159&lt;&gt;"""",FILTER($G:$G,$C:$C=Y159),0), 0)) + (AA159 * IFERROR(IF(AB159&lt;&gt;"""",FILTER($G:$G,$C:$C=AB159),0)"&amp;", 0))"),250)</f>
        <v>250</v>
      </c>
      <c r="I159" s="27">
        <f t="shared" ca="1" si="0"/>
        <v>38</v>
      </c>
      <c r="J159" s="5">
        <v>135</v>
      </c>
      <c r="K159" s="5">
        <v>115</v>
      </c>
      <c r="L159" s="5">
        <f t="shared" si="6"/>
        <v>135</v>
      </c>
      <c r="M159" s="28">
        <f t="shared" si="1"/>
        <v>2.13</v>
      </c>
      <c r="N159" s="29">
        <f t="shared" ca="1" si="2"/>
        <v>0.28000000000000003</v>
      </c>
      <c r="O159" s="5">
        <v>34</v>
      </c>
      <c r="P159" s="30">
        <f t="shared" si="3"/>
        <v>0.25</v>
      </c>
      <c r="Q159" s="31">
        <v>2</v>
      </c>
      <c r="R159" s="32">
        <v>1</v>
      </c>
      <c r="S159" s="33" t="s">
        <v>71</v>
      </c>
      <c r="T159" s="32"/>
      <c r="U159" s="32">
        <v>1</v>
      </c>
      <c r="V159" s="33" t="s">
        <v>40</v>
      </c>
      <c r="W159" s="32"/>
      <c r="X159" s="32">
        <v>2</v>
      </c>
      <c r="Y159" s="33" t="s">
        <v>116</v>
      </c>
      <c r="Z159" s="32"/>
      <c r="AA159" s="32">
        <v>1</v>
      </c>
      <c r="AB159" s="34" t="s">
        <v>54</v>
      </c>
      <c r="AC159" s="6"/>
      <c r="AD159" s="6"/>
      <c r="AE159" s="7"/>
    </row>
    <row r="160" spans="1:31" ht="12.75" x14ac:dyDescent="0.2">
      <c r="A160" s="22"/>
      <c r="B160" s="35" t="s">
        <v>203</v>
      </c>
      <c r="C160" s="36" t="s">
        <v>215</v>
      </c>
      <c r="D160" s="8">
        <v>96</v>
      </c>
      <c r="E160" s="8">
        <v>112</v>
      </c>
      <c r="F160" s="8">
        <v>403</v>
      </c>
      <c r="G160" s="37">
        <v>403</v>
      </c>
      <c r="H160" s="26">
        <f ca="1">IFERROR(__xludf.DUMMYFUNCTION("(R160 * IFERROR(IF(S160&lt;&gt;"""",FILTER($G:$G,$C:$C=S160),0), 0)) + (U160 * IFERROR(IF(V160&lt;&gt;"""",FILTER($G:$G,$C:$C=V160),0), 0)) + (X160 * IFERROR(IF(Y160&lt;&gt;"""",FILTER($G:$G,$C:$C=Y160),0), 0)) + (AA160 * IFERROR(IF(AB160&lt;&gt;"""",FILTER($G:$G,$C:$C=AB160),0)"&amp;", 0))"),358)</f>
        <v>358</v>
      </c>
      <c r="I160" s="27">
        <f t="shared" ca="1" si="0"/>
        <v>45</v>
      </c>
      <c r="J160" s="8">
        <v>210</v>
      </c>
      <c r="K160" s="8">
        <v>178</v>
      </c>
      <c r="L160" s="5">
        <f t="shared" si="6"/>
        <v>210</v>
      </c>
      <c r="M160" s="28">
        <f t="shared" si="1"/>
        <v>1.92</v>
      </c>
      <c r="N160" s="29">
        <f t="shared" ca="1" si="2"/>
        <v>0.21</v>
      </c>
      <c r="O160" s="8">
        <v>48</v>
      </c>
      <c r="P160" s="27">
        <f t="shared" si="3"/>
        <v>0.23</v>
      </c>
      <c r="Q160" s="38">
        <v>2</v>
      </c>
      <c r="R160" s="46">
        <v>1</v>
      </c>
      <c r="S160" s="34" t="s">
        <v>71</v>
      </c>
      <c r="T160" s="46"/>
      <c r="U160" s="46">
        <v>1</v>
      </c>
      <c r="V160" s="34" t="s">
        <v>50</v>
      </c>
      <c r="W160" s="46"/>
      <c r="X160" s="46">
        <v>3</v>
      </c>
      <c r="Y160" s="34" t="s">
        <v>96</v>
      </c>
      <c r="Z160" s="34"/>
      <c r="AA160" s="34"/>
      <c r="AB160" s="34"/>
      <c r="AC160" s="7"/>
      <c r="AD160" s="7"/>
      <c r="AE160" s="7"/>
    </row>
    <row r="161" spans="1:31" ht="12.75" x14ac:dyDescent="0.2">
      <c r="A161" s="22"/>
      <c r="B161" s="39" t="s">
        <v>216</v>
      </c>
      <c r="C161" s="40" t="s">
        <v>151</v>
      </c>
      <c r="D161" s="5">
        <v>35</v>
      </c>
      <c r="E161" s="5">
        <v>61</v>
      </c>
      <c r="F161" s="5">
        <v>219</v>
      </c>
      <c r="G161" s="25">
        <v>219</v>
      </c>
      <c r="H161" s="26">
        <f ca="1">IFERROR(__xludf.DUMMYFUNCTION("(R161 * IFERROR(IF(S161&lt;&gt;"""",FILTER($G:$G,$C:$C=S161),0), 0)) + (U161 * IFERROR(IF(V161&lt;&gt;"""",FILTER($G:$G,$C:$C=V161),0), 0)) + (X161 * IFERROR(IF(Y161&lt;&gt;"""",FILTER($G:$G,$C:$C=Y161),0), 0)) + (AA161 * IFERROR(IF(AB161&lt;&gt;"""",FILTER($G:$G,$C:$C=AB161),0)"&amp;", 0))"),117)</f>
        <v>117</v>
      </c>
      <c r="I161" s="27">
        <f t="shared" ca="1" si="0"/>
        <v>102</v>
      </c>
      <c r="J161" s="5">
        <v>360</v>
      </c>
      <c r="K161" s="5">
        <v>306</v>
      </c>
      <c r="L161" s="5">
        <f t="shared" si="6"/>
        <v>360</v>
      </c>
      <c r="M161" s="28">
        <f t="shared" si="1"/>
        <v>0.61</v>
      </c>
      <c r="N161" s="29">
        <f t="shared" ca="1" si="2"/>
        <v>0.28000000000000003</v>
      </c>
      <c r="O161" s="5">
        <v>26</v>
      </c>
      <c r="P161" s="30">
        <f t="shared" si="3"/>
        <v>7.0000000000000007E-2</v>
      </c>
      <c r="Q161" s="31" t="s">
        <v>446</v>
      </c>
      <c r="R161" s="32">
        <v>3</v>
      </c>
      <c r="S161" s="33" t="s">
        <v>105</v>
      </c>
      <c r="T161" s="33"/>
      <c r="U161" s="33"/>
      <c r="V161" s="33"/>
      <c r="W161" s="33"/>
      <c r="X161" s="33"/>
      <c r="Y161" s="33"/>
      <c r="Z161" s="33"/>
      <c r="AA161" s="33"/>
      <c r="AB161" s="34"/>
      <c r="AC161" s="6"/>
      <c r="AD161" s="6"/>
      <c r="AE161" s="7"/>
    </row>
    <row r="162" spans="1:31" ht="12.75" x14ac:dyDescent="0.2">
      <c r="A162" s="22"/>
      <c r="B162" s="39" t="s">
        <v>216</v>
      </c>
      <c r="C162" s="40" t="s">
        <v>133</v>
      </c>
      <c r="D162" s="5">
        <v>36</v>
      </c>
      <c r="E162" s="5">
        <v>70</v>
      </c>
      <c r="F162" s="5">
        <v>252</v>
      </c>
      <c r="G162" s="25">
        <v>252</v>
      </c>
      <c r="H162" s="26">
        <f ca="1">IFERROR(__xludf.DUMMYFUNCTION("(R162 * IFERROR(IF(S162&lt;&gt;"""",FILTER($G:$G,$C:$C=S162),0), 0)) + (U162 * IFERROR(IF(V162&lt;&gt;"""",FILTER($G:$G,$C:$C=V162),0), 0)) + (X162 * IFERROR(IF(Y162&lt;&gt;"""",FILTER($G:$G,$C:$C=Y162),0), 0)) + (AA162 * IFERROR(IF(AB162&lt;&gt;"""",FILTER($G:$G,$C:$C=AB162),0)"&amp;", 0))"),138)</f>
        <v>138</v>
      </c>
      <c r="I162" s="27">
        <f t="shared" ca="1" si="0"/>
        <v>114</v>
      </c>
      <c r="J162" s="5">
        <v>420</v>
      </c>
      <c r="K162" s="5">
        <v>357</v>
      </c>
      <c r="L162" s="5">
        <f t="shared" si="6"/>
        <v>420</v>
      </c>
      <c r="M162" s="28">
        <f t="shared" si="1"/>
        <v>0.6</v>
      </c>
      <c r="N162" s="29">
        <f t="shared" ca="1" si="2"/>
        <v>0.27</v>
      </c>
      <c r="O162" s="5">
        <v>29</v>
      </c>
      <c r="P162" s="30">
        <f t="shared" si="3"/>
        <v>7.0000000000000007E-2</v>
      </c>
      <c r="Q162" s="31" t="s">
        <v>450</v>
      </c>
      <c r="R162" s="32">
        <v>3</v>
      </c>
      <c r="S162" s="33" t="s">
        <v>30</v>
      </c>
      <c r="T162" s="33"/>
      <c r="U162" s="33"/>
      <c r="V162" s="33"/>
      <c r="W162" s="33"/>
      <c r="X162" s="33"/>
      <c r="Y162" s="33"/>
      <c r="Z162" s="33"/>
      <c r="AA162" s="33"/>
      <c r="AB162" s="34"/>
      <c r="AC162" s="6"/>
      <c r="AD162" s="6"/>
      <c r="AE162" s="7"/>
    </row>
    <row r="163" spans="1:31" ht="12.75" x14ac:dyDescent="0.2">
      <c r="A163" s="22"/>
      <c r="B163" s="39" t="s">
        <v>216</v>
      </c>
      <c r="C163" s="40" t="s">
        <v>134</v>
      </c>
      <c r="D163" s="5">
        <v>37</v>
      </c>
      <c r="E163" s="5">
        <v>108</v>
      </c>
      <c r="F163" s="5">
        <v>388</v>
      </c>
      <c r="G163" s="25">
        <v>388</v>
      </c>
      <c r="H163" s="26">
        <f ca="1">IFERROR(__xludf.DUMMYFUNCTION("(R163 * IFERROR(IF(S163&lt;&gt;"""",FILTER($G:$G,$C:$C=S163),0), 0)) + (U163 * IFERROR(IF(V163&lt;&gt;"""",FILTER($G:$G,$C:$C=V163),0), 0)) + (X163 * IFERROR(IF(Y163&lt;&gt;"""",FILTER($G:$G,$C:$C=Y163),0), 0)) + (AA163 * IFERROR(IF(AB163&lt;&gt;"""",FILTER($G:$G,$C:$C=AB163),0)"&amp;", 0))"),246)</f>
        <v>246</v>
      </c>
      <c r="I163" s="27">
        <f t="shared" ca="1" si="0"/>
        <v>142</v>
      </c>
      <c r="J163" s="5">
        <v>480</v>
      </c>
      <c r="K163" s="5">
        <v>408</v>
      </c>
      <c r="L163" s="5">
        <f t="shared" si="6"/>
        <v>480</v>
      </c>
      <c r="M163" s="28">
        <f t="shared" si="1"/>
        <v>0.81</v>
      </c>
      <c r="N163" s="29">
        <f t="shared" ca="1" si="2"/>
        <v>0.3</v>
      </c>
      <c r="O163" s="5">
        <v>46</v>
      </c>
      <c r="P163" s="30">
        <f t="shared" si="3"/>
        <v>0.1</v>
      </c>
      <c r="Q163" s="31" t="s">
        <v>444</v>
      </c>
      <c r="R163" s="32">
        <v>3</v>
      </c>
      <c r="S163" s="33" t="s">
        <v>32</v>
      </c>
      <c r="T163" s="33"/>
      <c r="U163" s="33"/>
      <c r="V163" s="33"/>
      <c r="W163" s="33"/>
      <c r="X163" s="33"/>
      <c r="Y163" s="33"/>
      <c r="Z163" s="33"/>
      <c r="AA163" s="33"/>
      <c r="AB163" s="34"/>
      <c r="AC163" s="6"/>
      <c r="AD163" s="6"/>
      <c r="AE163" s="7"/>
    </row>
    <row r="164" spans="1:31" ht="12.75" x14ac:dyDescent="0.2">
      <c r="A164" s="22"/>
      <c r="B164" s="39" t="s">
        <v>216</v>
      </c>
      <c r="C164" s="40" t="s">
        <v>217</v>
      </c>
      <c r="D164" s="5">
        <v>38</v>
      </c>
      <c r="E164" s="5">
        <v>93</v>
      </c>
      <c r="F164" s="5">
        <v>334</v>
      </c>
      <c r="G164" s="25">
        <v>334</v>
      </c>
      <c r="H164" s="26">
        <f ca="1">IFERROR(__xludf.DUMMYFUNCTION("(R164 * IFERROR(IF(S164&lt;&gt;"""",FILTER($G:$G,$C:$C=S164),0), 0)) + (U164 * IFERROR(IF(V164&lt;&gt;"""",FILTER($G:$G,$C:$C=V164),0), 0)) + (X164 * IFERROR(IF(Y164&lt;&gt;"""",FILTER($G:$G,$C:$C=Y164),0), 0)) + (AA164 * IFERROR(IF(AB164&lt;&gt;"""",FILTER($G:$G,$C:$C=AB164),0)"&amp;", 0))"),204)</f>
        <v>204</v>
      </c>
      <c r="I164" s="27">
        <f t="shared" ca="1" si="0"/>
        <v>130</v>
      </c>
      <c r="J164" s="5">
        <v>420</v>
      </c>
      <c r="K164" s="5">
        <v>357</v>
      </c>
      <c r="L164" s="5">
        <f t="shared" si="6"/>
        <v>420</v>
      </c>
      <c r="M164" s="28">
        <f t="shared" si="1"/>
        <v>0.8</v>
      </c>
      <c r="N164" s="29">
        <f t="shared" ca="1" si="2"/>
        <v>0.31</v>
      </c>
      <c r="O164" s="5">
        <v>39</v>
      </c>
      <c r="P164" s="30">
        <f t="shared" si="3"/>
        <v>0.09</v>
      </c>
      <c r="Q164" s="31" t="s">
        <v>444</v>
      </c>
      <c r="R164" s="32">
        <v>3</v>
      </c>
      <c r="S164" s="33" t="s">
        <v>96</v>
      </c>
      <c r="T164" s="33"/>
      <c r="U164" s="33"/>
      <c r="V164" s="33"/>
      <c r="W164" s="33"/>
      <c r="X164" s="33"/>
      <c r="Y164" s="33"/>
      <c r="Z164" s="33"/>
      <c r="AA164" s="33"/>
      <c r="AB164" s="34"/>
      <c r="AC164" s="6"/>
      <c r="AD164" s="6"/>
      <c r="AE164" s="7"/>
    </row>
    <row r="165" spans="1:31" ht="12.75" x14ac:dyDescent="0.2">
      <c r="A165" s="22"/>
      <c r="B165" s="39" t="s">
        <v>216</v>
      </c>
      <c r="C165" s="40" t="s">
        <v>218</v>
      </c>
      <c r="D165" s="5">
        <v>50</v>
      </c>
      <c r="E165" s="5">
        <v>75</v>
      </c>
      <c r="F165" s="5">
        <v>270</v>
      </c>
      <c r="G165" s="25">
        <v>270</v>
      </c>
      <c r="H165" s="26">
        <f ca="1">IFERROR(__xludf.DUMMYFUNCTION("(R165 * IFERROR(IF(S165&lt;&gt;"""",FILTER($G:$G,$C:$C=S165),0), 0)) + (U165 * IFERROR(IF(V165&lt;&gt;"""",FILTER($G:$G,$C:$C=V165),0), 0)) + (X165 * IFERROR(IF(Y165&lt;&gt;"""",FILTER($G:$G,$C:$C=Y165),0), 0)) + (AA165 * IFERROR(IF(AB165&lt;&gt;"""",FILTER($G:$G,$C:$C=AB165),0)"&amp;", 0))"),150)</f>
        <v>150</v>
      </c>
      <c r="I165" s="27">
        <f t="shared" ca="1" si="0"/>
        <v>120</v>
      </c>
      <c r="J165" s="5">
        <v>450</v>
      </c>
      <c r="K165" s="5">
        <v>382</v>
      </c>
      <c r="L165" s="5">
        <f t="shared" si="6"/>
        <v>450</v>
      </c>
      <c r="M165" s="28">
        <f t="shared" si="1"/>
        <v>0.6</v>
      </c>
      <c r="N165" s="29">
        <f t="shared" ca="1" si="2"/>
        <v>0.27</v>
      </c>
      <c r="O165" s="5">
        <v>32</v>
      </c>
      <c r="P165" s="30">
        <f t="shared" si="3"/>
        <v>7.0000000000000007E-2</v>
      </c>
      <c r="Q165" s="31" t="s">
        <v>446</v>
      </c>
      <c r="R165" s="32">
        <v>3</v>
      </c>
      <c r="S165" s="33" t="s">
        <v>100</v>
      </c>
      <c r="T165" s="33"/>
      <c r="U165" s="33"/>
      <c r="V165" s="33"/>
      <c r="W165" s="33"/>
      <c r="X165" s="33"/>
      <c r="Y165" s="33"/>
      <c r="Z165" s="33"/>
      <c r="AA165" s="33"/>
      <c r="AB165" s="34"/>
      <c r="AC165" s="6"/>
      <c r="AD165" s="6"/>
      <c r="AE165" s="6"/>
    </row>
    <row r="166" spans="1:31" ht="12.75" x14ac:dyDescent="0.2">
      <c r="A166" s="22"/>
      <c r="B166" s="39" t="s">
        <v>216</v>
      </c>
      <c r="C166" s="40" t="s">
        <v>219</v>
      </c>
      <c r="D166" s="5">
        <v>74</v>
      </c>
      <c r="E166" s="5">
        <v>124</v>
      </c>
      <c r="F166" s="5">
        <v>457</v>
      </c>
      <c r="G166" s="25">
        <v>457</v>
      </c>
      <c r="H166" s="26">
        <f ca="1">IFERROR(__xludf.DUMMYFUNCTION("(R166 * IFERROR(IF(S166&lt;&gt;"""",FILTER($G:$G,$C:$C=S166),0), 0)) + (U166 * IFERROR(IF(V166&lt;&gt;"""",FILTER($G:$G,$C:$C=V166),0), 0)) + (X166 * IFERROR(IF(Y166&lt;&gt;"""",FILTER($G:$G,$C:$C=Y166),0), 0)) + (AA166 * IFERROR(IF(AB166&lt;&gt;"""",FILTER($G:$G,$C:$C=AB166),0)"&amp;", 0))"),291)</f>
        <v>291</v>
      </c>
      <c r="I166" s="27">
        <f t="shared" ca="1" si="0"/>
        <v>166</v>
      </c>
      <c r="J166" s="5">
        <v>510</v>
      </c>
      <c r="K166" s="5">
        <v>433</v>
      </c>
      <c r="L166" s="5">
        <f t="shared" si="6"/>
        <v>510</v>
      </c>
      <c r="M166" s="28">
        <f t="shared" si="1"/>
        <v>0.9</v>
      </c>
      <c r="N166" s="29">
        <f t="shared" ca="1" si="2"/>
        <v>0.33</v>
      </c>
      <c r="O166" s="5">
        <v>54</v>
      </c>
      <c r="P166" s="30">
        <f t="shared" si="3"/>
        <v>0.11</v>
      </c>
      <c r="Q166" s="31">
        <v>2</v>
      </c>
      <c r="R166" s="32">
        <v>3</v>
      </c>
      <c r="S166" s="33" t="s">
        <v>114</v>
      </c>
      <c r="T166" s="33"/>
      <c r="U166" s="33"/>
      <c r="V166" s="33"/>
      <c r="W166" s="33"/>
      <c r="X166" s="33"/>
      <c r="Y166" s="33"/>
      <c r="Z166" s="33"/>
      <c r="AA166" s="33"/>
      <c r="AB166" s="34"/>
      <c r="AC166" s="6"/>
      <c r="AD166" s="6"/>
      <c r="AE166" s="7"/>
    </row>
    <row r="167" spans="1:31" ht="12.75" x14ac:dyDescent="0.2">
      <c r="A167" s="22"/>
      <c r="B167" s="39" t="s">
        <v>216</v>
      </c>
      <c r="C167" s="40" t="s">
        <v>220</v>
      </c>
      <c r="D167" s="5">
        <v>79</v>
      </c>
      <c r="E167" s="5">
        <v>129</v>
      </c>
      <c r="F167" s="5">
        <v>464</v>
      </c>
      <c r="G167" s="25">
        <v>464</v>
      </c>
      <c r="H167" s="26">
        <f ca="1">IFERROR(__xludf.DUMMYFUNCTION("(R167 * IFERROR(IF(S167&lt;&gt;"""",FILTER($G:$G,$C:$C=S167),0), 0)) + (U167 * IFERROR(IF(V167&lt;&gt;"""",FILTER($G:$G,$C:$C=V167),0), 0)) + (X167 * IFERROR(IF(Y167&lt;&gt;"""",FILTER($G:$G,$C:$C=Y167),0), 0)) + (AA167 * IFERROR(IF(AB167&lt;&gt;"""",FILTER($G:$G,$C:$C=AB167),0)"&amp;", 0))"),300)</f>
        <v>300</v>
      </c>
      <c r="I167" s="27">
        <f t="shared" ca="1" si="0"/>
        <v>164</v>
      </c>
      <c r="J167" s="5">
        <v>480</v>
      </c>
      <c r="K167" s="5">
        <v>408</v>
      </c>
      <c r="L167" s="5">
        <f t="shared" si="6"/>
        <v>480</v>
      </c>
      <c r="M167" s="28">
        <f t="shared" si="1"/>
        <v>0.97</v>
      </c>
      <c r="N167" s="29">
        <f t="shared" ca="1" si="2"/>
        <v>0.34</v>
      </c>
      <c r="O167" s="5">
        <v>55</v>
      </c>
      <c r="P167" s="30">
        <f t="shared" si="3"/>
        <v>0.11</v>
      </c>
      <c r="Q167" s="31">
        <v>2</v>
      </c>
      <c r="R167" s="32">
        <v>3</v>
      </c>
      <c r="S167" s="33" t="s">
        <v>213</v>
      </c>
      <c r="T167" s="33"/>
      <c r="U167" s="33"/>
      <c r="V167" s="33"/>
      <c r="W167" s="33"/>
      <c r="X167" s="33"/>
      <c r="Y167" s="33"/>
      <c r="Z167" s="33"/>
      <c r="AA167" s="33"/>
      <c r="AB167" s="34"/>
      <c r="AC167" s="6"/>
      <c r="AD167" s="6"/>
      <c r="AE167" s="7"/>
    </row>
    <row r="168" spans="1:31" ht="12.75" x14ac:dyDescent="0.2">
      <c r="A168" s="22"/>
      <c r="B168" s="39" t="s">
        <v>216</v>
      </c>
      <c r="C168" s="40" t="s">
        <v>221</v>
      </c>
      <c r="D168" s="5">
        <v>85</v>
      </c>
      <c r="E168" s="5">
        <v>45</v>
      </c>
      <c r="F168" s="5">
        <v>162</v>
      </c>
      <c r="G168" s="25">
        <v>162</v>
      </c>
      <c r="H168" s="26">
        <f ca="1">IFERROR(__xludf.DUMMYFUNCTION("(R168 * IFERROR(IF(S168&lt;&gt;"""",FILTER($G:$G,$C:$C=S168),0), 0)) + (U168 * IFERROR(IF(V168&lt;&gt;"""",FILTER($G:$G,$C:$C=V168),0), 0)) + (X168 * IFERROR(IF(Y168&lt;&gt;"""",FILTER($G:$G,$C:$C=Y168),0), 0)) + (AA168 * IFERROR(IF(AB168&lt;&gt;"""",FILTER($G:$G,$C:$C=AB168),0)"&amp;", 0))"),96)</f>
        <v>96</v>
      </c>
      <c r="I168" s="27">
        <f t="shared" ca="1" si="0"/>
        <v>66</v>
      </c>
      <c r="J168" s="5">
        <v>390</v>
      </c>
      <c r="K168" s="5">
        <v>332</v>
      </c>
      <c r="L168" s="5">
        <f t="shared" si="6"/>
        <v>390</v>
      </c>
      <c r="M168" s="28">
        <f t="shared" si="1"/>
        <v>0.42</v>
      </c>
      <c r="N168" s="29">
        <f t="shared" ca="1" si="2"/>
        <v>0.17</v>
      </c>
      <c r="O168" s="5">
        <v>19</v>
      </c>
      <c r="P168" s="30">
        <f t="shared" si="3"/>
        <v>0.05</v>
      </c>
      <c r="Q168" s="31" t="s">
        <v>443</v>
      </c>
      <c r="R168" s="32">
        <v>3</v>
      </c>
      <c r="S168" s="33" t="s">
        <v>49</v>
      </c>
      <c r="T168" s="33"/>
      <c r="U168" s="33"/>
      <c r="V168" s="33"/>
      <c r="W168" s="33"/>
      <c r="X168" s="33"/>
      <c r="Y168" s="33"/>
      <c r="Z168" s="33"/>
      <c r="AA168" s="33"/>
      <c r="AB168" s="34"/>
      <c r="AC168" s="6"/>
      <c r="AD168" s="6"/>
      <c r="AE168" s="7"/>
    </row>
    <row r="169" spans="1:31" ht="12.75" x14ac:dyDescent="0.2">
      <c r="A169" s="22"/>
      <c r="B169" s="39" t="s">
        <v>216</v>
      </c>
      <c r="C169" s="40" t="s">
        <v>222</v>
      </c>
      <c r="D169" s="5">
        <v>94</v>
      </c>
      <c r="E169" s="5">
        <v>107</v>
      </c>
      <c r="F169" s="5">
        <v>385</v>
      </c>
      <c r="G169" s="25">
        <v>385</v>
      </c>
      <c r="H169" s="26">
        <f ca="1">IFERROR(__xludf.DUMMYFUNCTION("(R169 * IFERROR(IF(S169&lt;&gt;"""",FILTER($G:$G,$C:$C=S169),0), 0)) + (U169 * IFERROR(IF(V169&lt;&gt;"""",FILTER($G:$G,$C:$C=V169),0), 0)) + (X169 * IFERROR(IF(Y169&lt;&gt;"""",FILTER($G:$G,$C:$C=Y169),0), 0)) + (AA169 * IFERROR(IF(AB169&lt;&gt;"""",FILTER($G:$G,$C:$C=AB169),0)"&amp;", 0))"),246)</f>
        <v>246</v>
      </c>
      <c r="I169" s="27">
        <f t="shared" ca="1" si="0"/>
        <v>139</v>
      </c>
      <c r="J169" s="5">
        <v>300</v>
      </c>
      <c r="K169" s="5">
        <v>255</v>
      </c>
      <c r="L169" s="5">
        <f t="shared" si="6"/>
        <v>300</v>
      </c>
      <c r="M169" s="28">
        <f t="shared" si="1"/>
        <v>1.28</v>
      </c>
      <c r="N169" s="29">
        <f t="shared" ca="1" si="2"/>
        <v>0.46</v>
      </c>
      <c r="O169" s="5">
        <v>46</v>
      </c>
      <c r="P169" s="30">
        <f t="shared" si="3"/>
        <v>0.15</v>
      </c>
      <c r="Q169" s="31">
        <v>2</v>
      </c>
      <c r="R169" s="32">
        <v>3</v>
      </c>
      <c r="S169" s="33" t="s">
        <v>223</v>
      </c>
      <c r="T169" s="33"/>
      <c r="U169" s="33"/>
      <c r="V169" s="33"/>
      <c r="W169" s="33"/>
      <c r="X169" s="33"/>
      <c r="Y169" s="33"/>
      <c r="Z169" s="33"/>
      <c r="AA169" s="33"/>
      <c r="AB169" s="34"/>
      <c r="AC169" s="6"/>
      <c r="AD169" s="6"/>
      <c r="AE169" s="7"/>
    </row>
    <row r="170" spans="1:31" ht="12.75" x14ac:dyDescent="0.2">
      <c r="A170" s="22"/>
      <c r="B170" s="44" t="s">
        <v>216</v>
      </c>
      <c r="C170" s="45" t="s">
        <v>224</v>
      </c>
      <c r="D170" s="8">
        <v>96</v>
      </c>
      <c r="E170" s="8">
        <v>33</v>
      </c>
      <c r="F170" s="8">
        <v>118</v>
      </c>
      <c r="G170" s="37">
        <v>118</v>
      </c>
      <c r="H170" s="26">
        <f ca="1">IFERROR(__xludf.DUMMYFUNCTION("(R170 * IFERROR(IF(S170&lt;&gt;"""",FILTER($G:$G,$C:$C=S170),0), 0)) + (U170 * IFERROR(IF(V170&lt;&gt;"""",FILTER($G:$G,$C:$C=V170),0), 0)) + (X170 * IFERROR(IF(Y170&lt;&gt;"""",FILTER($G:$G,$C:$C=Y170),0), 0)) + (AA170 * IFERROR(IF(AB170&lt;&gt;"""",FILTER($G:$G,$C:$C=AB170),0)"&amp;", 0))"),54)</f>
        <v>54</v>
      </c>
      <c r="I170" s="27">
        <f t="shared" ca="1" si="0"/>
        <v>64</v>
      </c>
      <c r="J170" s="8">
        <v>200</v>
      </c>
      <c r="K170" s="8">
        <v>170</v>
      </c>
      <c r="L170" s="5">
        <f t="shared" si="6"/>
        <v>200</v>
      </c>
      <c r="M170" s="28">
        <f t="shared" si="1"/>
        <v>0.59</v>
      </c>
      <c r="N170" s="29">
        <f t="shared" ca="1" si="2"/>
        <v>0.32</v>
      </c>
      <c r="O170" s="8">
        <v>14</v>
      </c>
      <c r="P170" s="27">
        <f t="shared" si="3"/>
        <v>7.0000000000000007E-2</v>
      </c>
      <c r="Q170" s="38" t="s">
        <v>492</v>
      </c>
      <c r="R170" s="46">
        <v>3</v>
      </c>
      <c r="S170" s="34" t="s">
        <v>225</v>
      </c>
      <c r="T170" s="34"/>
      <c r="U170" s="34"/>
      <c r="V170" s="34"/>
      <c r="W170" s="34"/>
      <c r="X170" s="34"/>
      <c r="Y170" s="34"/>
      <c r="Z170" s="34"/>
      <c r="AA170" s="34"/>
      <c r="AB170" s="34"/>
      <c r="AC170" s="7"/>
      <c r="AD170" s="7"/>
      <c r="AE170" s="7"/>
    </row>
    <row r="171" spans="1:31" ht="12.75" x14ac:dyDescent="0.2">
      <c r="A171" s="22"/>
      <c r="B171" s="23" t="s">
        <v>493</v>
      </c>
      <c r="C171" s="24" t="s">
        <v>227</v>
      </c>
      <c r="D171" s="5">
        <v>38</v>
      </c>
      <c r="E171" s="5">
        <v>143</v>
      </c>
      <c r="F171" s="5">
        <v>514</v>
      </c>
      <c r="G171" s="25">
        <v>514</v>
      </c>
      <c r="H171" s="26">
        <f ca="1">IFERROR(__xludf.DUMMYFUNCTION("(R171 * IFERROR(IF(S171&lt;&gt;"""",FILTER($G:$G,$C:$C=S171),0), 0)) + (U171 * IFERROR(IF(V171&lt;&gt;"""",FILTER($G:$G,$C:$C=V171),0), 0)) + (X171 * IFERROR(IF(Y171&lt;&gt;"""",FILTER($G:$G,$C:$C=Y171),0), 0)) + (AA171 * IFERROR(IF(AB171&lt;&gt;"""",FILTER($G:$G,$C:$C=AB171),0)"&amp;", 0))"),474)</f>
        <v>474</v>
      </c>
      <c r="I171" s="27">
        <f t="shared" ca="1" si="0"/>
        <v>40</v>
      </c>
      <c r="J171" s="5">
        <v>120</v>
      </c>
      <c r="K171" s="5">
        <v>102</v>
      </c>
      <c r="L171" s="5">
        <f t="shared" si="6"/>
        <v>120</v>
      </c>
      <c r="M171" s="28">
        <f t="shared" si="1"/>
        <v>4.28</v>
      </c>
      <c r="N171" s="29">
        <f t="shared" ca="1" si="2"/>
        <v>0.33</v>
      </c>
      <c r="O171" s="5">
        <v>50</v>
      </c>
      <c r="P171" s="30">
        <f t="shared" si="3"/>
        <v>0.42</v>
      </c>
      <c r="Q171" s="31"/>
      <c r="R171" s="32">
        <v>2</v>
      </c>
      <c r="S171" s="33" t="s">
        <v>228</v>
      </c>
      <c r="T171" s="32"/>
      <c r="U171" s="32">
        <v>1</v>
      </c>
      <c r="V171" s="33" t="s">
        <v>229</v>
      </c>
      <c r="W171" s="33"/>
      <c r="X171" s="33"/>
      <c r="Y171" s="33"/>
      <c r="Z171" s="33"/>
      <c r="AA171" s="33"/>
      <c r="AB171" s="34"/>
      <c r="AC171" s="6"/>
      <c r="AD171" s="6"/>
      <c r="AE171" s="7"/>
    </row>
    <row r="172" spans="1:31" ht="12.75" x14ac:dyDescent="0.2">
      <c r="A172" s="22"/>
      <c r="B172" s="23" t="s">
        <v>493</v>
      </c>
      <c r="C172" s="24" t="s">
        <v>230</v>
      </c>
      <c r="D172" s="5">
        <v>39</v>
      </c>
      <c r="E172" s="5">
        <v>202</v>
      </c>
      <c r="F172" s="5">
        <v>727</v>
      </c>
      <c r="G172" s="25">
        <v>727</v>
      </c>
      <c r="H172" s="26">
        <f ca="1">IFERROR(__xludf.DUMMYFUNCTION("(R172 * IFERROR(IF(S172&lt;&gt;"""",FILTER($G:$G,$C:$C=S172),0), 0)) + (U172 * IFERROR(IF(V172&lt;&gt;"""",FILTER($G:$G,$C:$C=V172),0), 0)) + (X172 * IFERROR(IF(Y172&lt;&gt;"""",FILTER($G:$G,$C:$C=Y172),0), 0)) + (AA172 * IFERROR(IF(AB172&lt;&gt;"""",FILTER($G:$G,$C:$C=AB172),0)"&amp;", 0))"),679)</f>
        <v>679</v>
      </c>
      <c r="I172" s="27">
        <f t="shared" ca="1" si="0"/>
        <v>48</v>
      </c>
      <c r="J172" s="5">
        <v>180</v>
      </c>
      <c r="K172" s="5">
        <v>153</v>
      </c>
      <c r="L172" s="5">
        <f t="shared" si="6"/>
        <v>180</v>
      </c>
      <c r="M172" s="28">
        <f t="shared" si="1"/>
        <v>4.04</v>
      </c>
      <c r="N172" s="29">
        <f t="shared" ca="1" si="2"/>
        <v>0.27</v>
      </c>
      <c r="O172" s="5">
        <v>72</v>
      </c>
      <c r="P172" s="30">
        <f t="shared" si="3"/>
        <v>0.4</v>
      </c>
      <c r="Q172" s="31"/>
      <c r="R172" s="32">
        <v>2</v>
      </c>
      <c r="S172" s="33" t="s">
        <v>228</v>
      </c>
      <c r="T172" s="32"/>
      <c r="U172" s="32">
        <v>1</v>
      </c>
      <c r="V172" s="33" t="s">
        <v>229</v>
      </c>
      <c r="W172" s="32"/>
      <c r="X172" s="32">
        <v>1</v>
      </c>
      <c r="Y172" s="33" t="s">
        <v>231</v>
      </c>
      <c r="Z172" s="33"/>
      <c r="AA172" s="33"/>
      <c r="AB172" s="34"/>
      <c r="AC172" s="6"/>
      <c r="AD172" s="6"/>
      <c r="AE172" s="7"/>
    </row>
    <row r="173" spans="1:31" ht="12.75" x14ac:dyDescent="0.2">
      <c r="A173" s="22"/>
      <c r="B173" s="23" t="s">
        <v>493</v>
      </c>
      <c r="C173" s="24" t="s">
        <v>232</v>
      </c>
      <c r="D173" s="5">
        <v>40</v>
      </c>
      <c r="E173" s="5">
        <v>229</v>
      </c>
      <c r="F173" s="5">
        <v>824</v>
      </c>
      <c r="G173" s="25">
        <v>824</v>
      </c>
      <c r="H173" s="26">
        <f ca="1">IFERROR(__xludf.DUMMYFUNCTION("(R173 * IFERROR(IF(S173&lt;&gt;"""",FILTER($G:$G,$C:$C=S173),0), 0)) + (U173 * IFERROR(IF(V173&lt;&gt;"""",FILTER($G:$G,$C:$C=V173),0), 0)) + (X173 * IFERROR(IF(Y173&lt;&gt;"""",FILTER($G:$G,$C:$C=Y173),0), 0)) + (AA173 * IFERROR(IF(AB173&lt;&gt;"""",FILTER($G:$G,$C:$C=AB173),0)"&amp;", 0))"),770)</f>
        <v>770</v>
      </c>
      <c r="I173" s="27">
        <f t="shared" ca="1" si="0"/>
        <v>54</v>
      </c>
      <c r="J173" s="5">
        <v>240</v>
      </c>
      <c r="K173" s="5">
        <v>204</v>
      </c>
      <c r="L173" s="5">
        <f t="shared" si="6"/>
        <v>240</v>
      </c>
      <c r="M173" s="28">
        <f t="shared" si="1"/>
        <v>3.43</v>
      </c>
      <c r="N173" s="29">
        <f t="shared" ca="1" si="2"/>
        <v>0.23</v>
      </c>
      <c r="O173" s="5">
        <v>84</v>
      </c>
      <c r="P173" s="30">
        <f t="shared" si="3"/>
        <v>0.35</v>
      </c>
      <c r="Q173" s="31"/>
      <c r="R173" s="32">
        <v>2</v>
      </c>
      <c r="S173" s="33" t="s">
        <v>229</v>
      </c>
      <c r="T173" s="32"/>
      <c r="U173" s="32">
        <v>2</v>
      </c>
      <c r="V173" s="33" t="s">
        <v>231</v>
      </c>
      <c r="W173" s="32"/>
      <c r="X173" s="32">
        <v>1</v>
      </c>
      <c r="Y173" s="33" t="s">
        <v>176</v>
      </c>
      <c r="Z173" s="33"/>
      <c r="AA173" s="33"/>
      <c r="AB173" s="34"/>
      <c r="AC173" s="6"/>
      <c r="AD173" s="6"/>
      <c r="AE173" s="7"/>
    </row>
    <row r="174" spans="1:31" ht="12.75" x14ac:dyDescent="0.2">
      <c r="A174" s="22"/>
      <c r="B174" s="23" t="s">
        <v>493</v>
      </c>
      <c r="C174" s="24" t="s">
        <v>233</v>
      </c>
      <c r="D174" s="5">
        <v>41</v>
      </c>
      <c r="E174" s="5">
        <v>183</v>
      </c>
      <c r="F174" s="5">
        <v>658</v>
      </c>
      <c r="G174" s="25">
        <v>658</v>
      </c>
      <c r="H174" s="26">
        <f ca="1">IFERROR(__xludf.DUMMYFUNCTION("(R174 * IFERROR(IF(S174&lt;&gt;"""",FILTER($G:$G,$C:$C=S174),0), 0)) + (U174 * IFERROR(IF(V174&lt;&gt;"""",FILTER($G:$G,$C:$C=V174),0), 0)) + (X174 * IFERROR(IF(Y174&lt;&gt;"""",FILTER($G:$G,$C:$C=Y174),0), 0)) + (AA174 * IFERROR(IF(AB174&lt;&gt;"""",FILTER($G:$G,$C:$C=AB174),0)"&amp;", 0))"),621)</f>
        <v>621</v>
      </c>
      <c r="I174" s="27">
        <f t="shared" ca="1" si="0"/>
        <v>37</v>
      </c>
      <c r="J174" s="5">
        <v>90</v>
      </c>
      <c r="K174" s="5">
        <v>76</v>
      </c>
      <c r="L174" s="5">
        <f t="shared" si="6"/>
        <v>90</v>
      </c>
      <c r="M174" s="28">
        <f t="shared" si="1"/>
        <v>7.31</v>
      </c>
      <c r="N174" s="29">
        <f t="shared" ca="1" si="2"/>
        <v>0.41</v>
      </c>
      <c r="O174" s="5">
        <v>79</v>
      </c>
      <c r="P174" s="30">
        <f t="shared" si="3"/>
        <v>0.88</v>
      </c>
      <c r="Q174" s="31"/>
      <c r="R174" s="32">
        <v>2</v>
      </c>
      <c r="S174" s="33" t="s">
        <v>234</v>
      </c>
      <c r="T174" s="32"/>
      <c r="U174" s="32">
        <v>2</v>
      </c>
      <c r="V174" s="33" t="s">
        <v>191</v>
      </c>
      <c r="W174" s="32"/>
      <c r="X174" s="32">
        <v>1</v>
      </c>
      <c r="Y174" s="33" t="s">
        <v>228</v>
      </c>
      <c r="Z174" s="33"/>
      <c r="AA174" s="33"/>
      <c r="AB174" s="34"/>
      <c r="AC174" s="6"/>
      <c r="AD174" s="6"/>
      <c r="AE174" s="7"/>
    </row>
    <row r="175" spans="1:31" ht="12.75" x14ac:dyDescent="0.2">
      <c r="A175" s="22"/>
      <c r="B175" s="35" t="s">
        <v>493</v>
      </c>
      <c r="C175" s="36" t="s">
        <v>235</v>
      </c>
      <c r="D175" s="8">
        <v>94</v>
      </c>
      <c r="E175" s="8">
        <v>194</v>
      </c>
      <c r="F175" s="8">
        <v>698</v>
      </c>
      <c r="G175" s="37">
        <v>698</v>
      </c>
      <c r="H175" s="26">
        <f ca="1">IFERROR(__xludf.DUMMYFUNCTION("(R175 * IFERROR(IF(S175&lt;&gt;"""",FILTER($G:$G,$C:$C=S175),0), 0)) + (U175 * IFERROR(IF(V175&lt;&gt;"""",FILTER($G:$G,$C:$C=V175),0), 0)) + (X175 * IFERROR(IF(Y175&lt;&gt;"""",FILTER($G:$G,$C:$C=Y175),0), 0)) + (AA175 * IFERROR(IF(AB175&lt;&gt;"""",FILTER($G:$G,$C:$C=AB175),0)"&amp;", 0))"),673)</f>
        <v>673</v>
      </c>
      <c r="I175" s="27">
        <f t="shared" ca="1" si="0"/>
        <v>25</v>
      </c>
      <c r="J175" s="8">
        <v>60</v>
      </c>
      <c r="K175" s="8">
        <v>51</v>
      </c>
      <c r="L175" s="5">
        <f t="shared" si="6"/>
        <v>60</v>
      </c>
      <c r="M175" s="28">
        <f t="shared" si="1"/>
        <v>11.63</v>
      </c>
      <c r="N175" s="29">
        <f t="shared" ca="1" si="2"/>
        <v>0.42</v>
      </c>
      <c r="O175" s="8">
        <v>83</v>
      </c>
      <c r="P175" s="27">
        <f t="shared" si="3"/>
        <v>1.38</v>
      </c>
      <c r="Q175" s="38"/>
      <c r="R175" s="46">
        <v>3</v>
      </c>
      <c r="S175" s="34" t="s">
        <v>125</v>
      </c>
      <c r="T175" s="46"/>
      <c r="U175" s="46">
        <v>1</v>
      </c>
      <c r="V175" s="34" t="s">
        <v>231</v>
      </c>
      <c r="W175" s="46"/>
      <c r="X175" s="46">
        <v>2</v>
      </c>
      <c r="Y175" s="34" t="s">
        <v>229</v>
      </c>
      <c r="Z175" s="34"/>
      <c r="AA175" s="34"/>
      <c r="AB175" s="34"/>
      <c r="AC175" s="7"/>
      <c r="AD175" s="7"/>
      <c r="AE175" s="7"/>
    </row>
    <row r="176" spans="1:31" ht="12.75" x14ac:dyDescent="0.2">
      <c r="A176" s="22"/>
      <c r="B176" s="39" t="s">
        <v>236</v>
      </c>
      <c r="C176" s="40" t="s">
        <v>237</v>
      </c>
      <c r="D176" s="5">
        <v>26</v>
      </c>
      <c r="E176" s="5">
        <v>13</v>
      </c>
      <c r="F176" s="5">
        <v>46</v>
      </c>
      <c r="G176" s="25">
        <v>46</v>
      </c>
      <c r="H176" s="26">
        <f ca="1">IFERROR(__xludf.DUMMYFUNCTION("(R176 * IFERROR(IF(S176&lt;&gt;"""",FILTER($G:$G,$C:$C=S176),0), 0)) + (U176 * IFERROR(IF(V176&lt;&gt;"""",FILTER($G:$G,$C:$C=V176),0), 0)) + (X176 * IFERROR(IF(Y176&lt;&gt;"""",FILTER($G:$G,$C:$C=Y176),0), 0)) + (AA176 * IFERROR(IF(AB176&lt;&gt;"""",FILTER($G:$G,$C:$C=AB176),0)"&amp;", 0))"),21)</f>
        <v>21</v>
      </c>
      <c r="I176" s="27">
        <f t="shared" ca="1" si="0"/>
        <v>25</v>
      </c>
      <c r="J176" s="5">
        <v>30</v>
      </c>
      <c r="K176" s="5">
        <v>25</v>
      </c>
      <c r="L176" s="5">
        <f t="shared" si="6"/>
        <v>30</v>
      </c>
      <c r="M176" s="28">
        <f t="shared" si="1"/>
        <v>1.53</v>
      </c>
      <c r="N176" s="29">
        <f t="shared" ca="1" si="2"/>
        <v>0.83</v>
      </c>
      <c r="O176" s="5">
        <v>6</v>
      </c>
      <c r="P176" s="30">
        <f t="shared" si="3"/>
        <v>0.2</v>
      </c>
      <c r="Q176" s="31" t="s">
        <v>494</v>
      </c>
      <c r="R176" s="32">
        <v>3</v>
      </c>
      <c r="S176" s="33" t="s">
        <v>80</v>
      </c>
      <c r="T176" s="33"/>
      <c r="U176" s="33"/>
      <c r="V176" s="33"/>
      <c r="W176" s="33"/>
      <c r="X176" s="33"/>
      <c r="Y176" s="33"/>
      <c r="Z176" s="33"/>
      <c r="AA176" s="33"/>
      <c r="AB176" s="34"/>
      <c r="AC176" s="6"/>
      <c r="AD176" s="6"/>
      <c r="AE176" s="7"/>
    </row>
    <row r="177" spans="1:31" ht="12.75" x14ac:dyDescent="0.2">
      <c r="A177" s="22"/>
      <c r="B177" s="39" t="s">
        <v>236</v>
      </c>
      <c r="C177" s="40" t="s">
        <v>238</v>
      </c>
      <c r="D177" s="5">
        <v>28</v>
      </c>
      <c r="E177" s="5">
        <v>36</v>
      </c>
      <c r="F177" s="5">
        <v>129</v>
      </c>
      <c r="G177" s="25">
        <v>129</v>
      </c>
      <c r="H177" s="26">
        <f ca="1">IFERROR(__xludf.DUMMYFUNCTION("(R177 * IFERROR(IF(S177&lt;&gt;"""",FILTER($G:$G,$C:$C=S177),0), 0)) + (U177 * IFERROR(IF(V177&lt;&gt;"""",FILTER($G:$G,$C:$C=V177),0), 0)) + (X177 * IFERROR(IF(Y177&lt;&gt;"""",FILTER($G:$G,$C:$C=Y177),0), 0)) + (AA177 * IFERROR(IF(AB177&lt;&gt;"""",FILTER($G:$G,$C:$C=AB177),0)"&amp;", 0))"),78)</f>
        <v>78</v>
      </c>
      <c r="I177" s="27">
        <f t="shared" ca="1" si="0"/>
        <v>51</v>
      </c>
      <c r="J177" s="5">
        <v>120</v>
      </c>
      <c r="K177" s="5">
        <v>102</v>
      </c>
      <c r="L177" s="5">
        <f t="shared" si="6"/>
        <v>120</v>
      </c>
      <c r="M177" s="28">
        <f t="shared" si="1"/>
        <v>1.08</v>
      </c>
      <c r="N177" s="29">
        <f t="shared" ca="1" si="2"/>
        <v>0.43</v>
      </c>
      <c r="O177" s="5">
        <v>15</v>
      </c>
      <c r="P177" s="30">
        <f t="shared" si="3"/>
        <v>0.13</v>
      </c>
      <c r="Q177" s="31" t="s">
        <v>443</v>
      </c>
      <c r="R177" s="32">
        <v>2</v>
      </c>
      <c r="S177" s="33" t="s">
        <v>105</v>
      </c>
      <c r="T177" s="33"/>
      <c r="U177" s="33"/>
      <c r="V177" s="33"/>
      <c r="W177" s="33"/>
      <c r="X177" s="33"/>
      <c r="Y177" s="33"/>
      <c r="Z177" s="33"/>
      <c r="AA177" s="33"/>
      <c r="AB177" s="34"/>
      <c r="AC177" s="6"/>
      <c r="AD177" s="6"/>
      <c r="AE177" s="7"/>
    </row>
    <row r="178" spans="1:31" ht="12.75" x14ac:dyDescent="0.2">
      <c r="A178" s="22"/>
      <c r="B178" s="39" t="s">
        <v>236</v>
      </c>
      <c r="C178" s="40" t="s">
        <v>179</v>
      </c>
      <c r="D178" s="5">
        <v>30</v>
      </c>
      <c r="E178" s="5">
        <v>60</v>
      </c>
      <c r="F178" s="5">
        <v>216</v>
      </c>
      <c r="G178" s="25">
        <v>216</v>
      </c>
      <c r="H178" s="26">
        <f ca="1">IFERROR(__xludf.DUMMYFUNCTION("(R178 * IFERROR(IF(S178&lt;&gt;"""",FILTER($G:$G,$C:$C=S178),0), 0)) + (U178 * IFERROR(IF(V178&lt;&gt;"""",FILTER($G:$G,$C:$C=V178),0), 0)) + (X178 * IFERROR(IF(Y178&lt;&gt;"""",FILTER($G:$G,$C:$C=Y178),0), 0)) + (AA178 * IFERROR(IF(AB178&lt;&gt;"""",FILTER($G:$G,$C:$C=AB178),0)"&amp;", 0))"),136)</f>
        <v>136</v>
      </c>
      <c r="I178" s="27">
        <f t="shared" ca="1" si="0"/>
        <v>80</v>
      </c>
      <c r="J178" s="5">
        <v>150</v>
      </c>
      <c r="K178" s="5">
        <v>127</v>
      </c>
      <c r="L178" s="5">
        <f t="shared" si="6"/>
        <v>150</v>
      </c>
      <c r="M178" s="28">
        <f t="shared" si="1"/>
        <v>1.44</v>
      </c>
      <c r="N178" s="29">
        <f t="shared" ca="1" si="2"/>
        <v>0.53</v>
      </c>
      <c r="O178" s="5">
        <v>26</v>
      </c>
      <c r="P178" s="30">
        <f t="shared" si="3"/>
        <v>0.17</v>
      </c>
      <c r="Q178" s="31" t="s">
        <v>446</v>
      </c>
      <c r="R178" s="32">
        <v>2</v>
      </c>
      <c r="S178" s="33" t="s">
        <v>96</v>
      </c>
      <c r="T178" s="33"/>
      <c r="U178" s="33"/>
      <c r="V178" s="33"/>
      <c r="W178" s="33"/>
      <c r="X178" s="33"/>
      <c r="Y178" s="33"/>
      <c r="Z178" s="33"/>
      <c r="AA178" s="33"/>
      <c r="AB178" s="34"/>
      <c r="AC178" s="6"/>
      <c r="AD178" s="6"/>
      <c r="AE178" s="7"/>
    </row>
    <row r="179" spans="1:31" ht="12.75" x14ac:dyDescent="0.2">
      <c r="A179" s="22"/>
      <c r="B179" s="39" t="s">
        <v>236</v>
      </c>
      <c r="C179" s="40" t="s">
        <v>239</v>
      </c>
      <c r="D179" s="5">
        <v>32</v>
      </c>
      <c r="E179" s="5">
        <v>45</v>
      </c>
      <c r="F179" s="5">
        <v>162</v>
      </c>
      <c r="G179" s="25">
        <v>162</v>
      </c>
      <c r="H179" s="26">
        <f ca="1">IFERROR(__xludf.DUMMYFUNCTION("(R179 * IFERROR(IF(S179&lt;&gt;"""",FILTER($G:$G,$C:$C=S179),0), 0)) + (U179 * IFERROR(IF(V179&lt;&gt;"""",FILTER($G:$G,$C:$C=V179),0), 0)) + (X179 * IFERROR(IF(Y179&lt;&gt;"""",FILTER($G:$G,$C:$C=Y179),0), 0)) + (AA179 * IFERROR(IF(AB179&lt;&gt;"""",FILTER($G:$G,$C:$C=AB179),0)"&amp;", 0))"),129)</f>
        <v>129</v>
      </c>
      <c r="I179" s="27">
        <f t="shared" ca="1" si="0"/>
        <v>33</v>
      </c>
      <c r="J179" s="5">
        <v>90</v>
      </c>
      <c r="K179" s="5">
        <v>76</v>
      </c>
      <c r="L179" s="5">
        <f t="shared" si="6"/>
        <v>90</v>
      </c>
      <c r="M179" s="28">
        <f t="shared" si="1"/>
        <v>1.8</v>
      </c>
      <c r="N179" s="29">
        <f t="shared" ca="1" si="2"/>
        <v>0.37</v>
      </c>
      <c r="O179" s="5">
        <v>19</v>
      </c>
      <c r="P179" s="30">
        <f t="shared" si="3"/>
        <v>0.21</v>
      </c>
      <c r="Q179" s="31" t="s">
        <v>446</v>
      </c>
      <c r="R179" s="32">
        <v>3</v>
      </c>
      <c r="S179" s="33" t="s">
        <v>34</v>
      </c>
      <c r="T179" s="33"/>
      <c r="U179" s="33"/>
      <c r="V179" s="33"/>
      <c r="W179" s="33"/>
      <c r="X179" s="33"/>
      <c r="Y179" s="33"/>
      <c r="Z179" s="33"/>
      <c r="AA179" s="33"/>
      <c r="AB179" s="34"/>
      <c r="AC179" s="6"/>
      <c r="AD179" s="6"/>
      <c r="AE179" s="7"/>
    </row>
    <row r="180" spans="1:31" ht="12.75" x14ac:dyDescent="0.2">
      <c r="A180" s="22"/>
      <c r="B180" s="39" t="s">
        <v>236</v>
      </c>
      <c r="C180" s="40" t="s">
        <v>240</v>
      </c>
      <c r="D180" s="5">
        <v>34</v>
      </c>
      <c r="E180" s="5">
        <v>57</v>
      </c>
      <c r="F180" s="5">
        <v>205</v>
      </c>
      <c r="G180" s="25">
        <v>205</v>
      </c>
      <c r="H180" s="26">
        <f ca="1">IFERROR(__xludf.DUMMYFUNCTION("(R180 * IFERROR(IF(S180&lt;&gt;"""",FILTER($G:$G,$C:$C=S180),0), 0)) + (U180 * IFERROR(IF(V180&lt;&gt;"""",FILTER($G:$G,$C:$C=V180),0), 0)) + (X180 * IFERROR(IF(Y180&lt;&gt;"""",FILTER($G:$G,$C:$C=Y180),0), 0)) + (AA180 * IFERROR(IF(AB180&lt;&gt;"""",FILTER($G:$G,$C:$C=AB180),0)"&amp;", 0))"),128)</f>
        <v>128</v>
      </c>
      <c r="I180" s="27">
        <f t="shared" ca="1" si="0"/>
        <v>77</v>
      </c>
      <c r="J180" s="5">
        <v>180</v>
      </c>
      <c r="K180" s="5">
        <v>153</v>
      </c>
      <c r="L180" s="5">
        <f t="shared" si="6"/>
        <v>180</v>
      </c>
      <c r="M180" s="28">
        <f t="shared" si="1"/>
        <v>1.1399999999999999</v>
      </c>
      <c r="N180" s="29">
        <f t="shared" ca="1" si="2"/>
        <v>0.43</v>
      </c>
      <c r="O180" s="5">
        <v>24</v>
      </c>
      <c r="P180" s="30">
        <f t="shared" si="3"/>
        <v>0.13</v>
      </c>
      <c r="Q180" s="31" t="s">
        <v>446</v>
      </c>
      <c r="R180" s="32">
        <v>1</v>
      </c>
      <c r="S180" s="33" t="s">
        <v>32</v>
      </c>
      <c r="T180" s="32"/>
      <c r="U180" s="32">
        <v>1</v>
      </c>
      <c r="V180" s="33" t="s">
        <v>30</v>
      </c>
      <c r="W180" s="33"/>
      <c r="X180" s="33"/>
      <c r="Y180" s="33"/>
      <c r="Z180" s="33"/>
      <c r="AA180" s="33"/>
      <c r="AB180" s="34"/>
      <c r="AC180" s="6"/>
      <c r="AD180" s="6"/>
      <c r="AE180" s="6"/>
    </row>
    <row r="181" spans="1:31" ht="12.75" x14ac:dyDescent="0.2">
      <c r="A181" s="22"/>
      <c r="B181" s="39" t="s">
        <v>236</v>
      </c>
      <c r="C181" s="40" t="s">
        <v>241</v>
      </c>
      <c r="D181" s="5">
        <v>52</v>
      </c>
      <c r="E181" s="5">
        <v>19</v>
      </c>
      <c r="F181" s="5">
        <v>68</v>
      </c>
      <c r="G181" s="25">
        <v>68</v>
      </c>
      <c r="H181" s="26">
        <f ca="1">IFERROR(__xludf.DUMMYFUNCTION("(R181 * IFERROR(IF(S181&lt;&gt;"""",FILTER($G:$G,$C:$C=S181),0), 0)) + (U181 * IFERROR(IF(V181&lt;&gt;"""",FILTER($G:$G,$C:$C=V181),0), 0)) + (X181 * IFERROR(IF(Y181&lt;&gt;"""",FILTER($G:$G,$C:$C=Y181),0), 0)) + (AA181 * IFERROR(IF(AB181&lt;&gt;"""",FILTER($G:$G,$C:$C=AB181),0)"&amp;", 0))"),42)</f>
        <v>42</v>
      </c>
      <c r="I181" s="27">
        <f t="shared" ca="1" si="0"/>
        <v>26</v>
      </c>
      <c r="J181" s="5">
        <v>45</v>
      </c>
      <c r="K181" s="5">
        <v>38</v>
      </c>
      <c r="L181" s="5">
        <f t="shared" si="6"/>
        <v>45</v>
      </c>
      <c r="M181" s="28">
        <f t="shared" si="1"/>
        <v>1.51</v>
      </c>
      <c r="N181" s="29">
        <f t="shared" ca="1" si="2"/>
        <v>0.57999999999999996</v>
      </c>
      <c r="O181" s="5">
        <v>8</v>
      </c>
      <c r="P181" s="30">
        <f t="shared" si="3"/>
        <v>0.18</v>
      </c>
      <c r="Q181" s="31" t="s">
        <v>434</v>
      </c>
      <c r="R181" s="32">
        <v>3</v>
      </c>
      <c r="S181" s="33" t="s">
        <v>110</v>
      </c>
      <c r="T181" s="33"/>
      <c r="U181" s="33"/>
      <c r="V181" s="33"/>
      <c r="W181" s="33"/>
      <c r="X181" s="33"/>
      <c r="Y181" s="33"/>
      <c r="Z181" s="33"/>
      <c r="AA181" s="33"/>
      <c r="AB181" s="34"/>
      <c r="AC181" s="6"/>
      <c r="AD181" s="6"/>
      <c r="AE181" s="6"/>
    </row>
    <row r="182" spans="1:31" ht="12.75" x14ac:dyDescent="0.2">
      <c r="A182" s="22"/>
      <c r="B182" s="39" t="s">
        <v>236</v>
      </c>
      <c r="C182" s="40" t="s">
        <v>242</v>
      </c>
      <c r="D182" s="5">
        <v>71</v>
      </c>
      <c r="E182" s="5">
        <v>65</v>
      </c>
      <c r="F182" s="5">
        <v>234</v>
      </c>
      <c r="G182" s="25">
        <v>234</v>
      </c>
      <c r="H182" s="26">
        <f ca="1">IFERROR(__xludf.DUMMYFUNCTION("(R182 * IFERROR(IF(S182&lt;&gt;"""",FILTER($G:$G,$C:$C=S182),0), 0)) + (U182 * IFERROR(IF(V182&lt;&gt;"""",FILTER($G:$G,$C:$C=V182),0), 0)) + (X182 * IFERROR(IF(Y182&lt;&gt;"""",FILTER($G:$G,$C:$C=Y182),0), 0)) + (AA182 * IFERROR(IF(AB182&lt;&gt;"""",FILTER($G:$G,$C:$C=AB182),0)"&amp;", 0))"),194)</f>
        <v>194</v>
      </c>
      <c r="I182" s="27">
        <f t="shared" ca="1" si="0"/>
        <v>40</v>
      </c>
      <c r="J182" s="5">
        <v>120</v>
      </c>
      <c r="K182" s="5">
        <v>102</v>
      </c>
      <c r="L182" s="5">
        <f t="shared" si="6"/>
        <v>120</v>
      </c>
      <c r="M182" s="28">
        <f t="shared" si="1"/>
        <v>1.95</v>
      </c>
      <c r="N182" s="29">
        <f t="shared" ca="1" si="2"/>
        <v>0.33</v>
      </c>
      <c r="O182" s="5">
        <v>28</v>
      </c>
      <c r="P182" s="30">
        <f t="shared" si="3"/>
        <v>0.23</v>
      </c>
      <c r="Q182" s="31">
        <v>2</v>
      </c>
      <c r="R182" s="32">
        <v>2</v>
      </c>
      <c r="S182" s="33" t="s">
        <v>114</v>
      </c>
      <c r="T182" s="33"/>
      <c r="U182" s="33"/>
      <c r="V182" s="33"/>
      <c r="W182" s="33"/>
      <c r="X182" s="33"/>
      <c r="Y182" s="33"/>
      <c r="Z182" s="33"/>
      <c r="AA182" s="33"/>
      <c r="AB182" s="34"/>
      <c r="AC182" s="6"/>
      <c r="AD182" s="6"/>
      <c r="AE182" s="7"/>
    </row>
    <row r="183" spans="1:31" ht="12.75" x14ac:dyDescent="0.2">
      <c r="A183" s="22"/>
      <c r="B183" s="39" t="s">
        <v>236</v>
      </c>
      <c r="C183" s="40" t="s">
        <v>243</v>
      </c>
      <c r="D183" s="5">
        <v>84</v>
      </c>
      <c r="E183" s="5">
        <v>29</v>
      </c>
      <c r="F183" s="5">
        <v>104</v>
      </c>
      <c r="G183" s="25">
        <v>104</v>
      </c>
      <c r="H183" s="26">
        <f ca="1">IFERROR(__xludf.DUMMYFUNCTION("(R183 * IFERROR(IF(S183&lt;&gt;"""",FILTER($G:$G,$C:$C=S183),0), 0)) + (U183 * IFERROR(IF(V183&lt;&gt;"""",FILTER($G:$G,$C:$C=V183),0), 0)) + (X183 * IFERROR(IF(Y183&lt;&gt;"""",FILTER($G:$G,$C:$C=Y183),0), 0)) + (AA183 * IFERROR(IF(AB183&lt;&gt;"""",FILTER($G:$G,$C:$C=AB183),0)"&amp;", 0))"),64)</f>
        <v>64</v>
      </c>
      <c r="I183" s="27">
        <f t="shared" ca="1" si="0"/>
        <v>40</v>
      </c>
      <c r="J183" s="5">
        <v>150</v>
      </c>
      <c r="K183" s="5">
        <v>127</v>
      </c>
      <c r="L183" s="5">
        <f t="shared" si="6"/>
        <v>150</v>
      </c>
      <c r="M183" s="28">
        <f t="shared" si="1"/>
        <v>0.69</v>
      </c>
      <c r="N183" s="29">
        <f t="shared" ca="1" si="2"/>
        <v>0.27</v>
      </c>
      <c r="O183" s="5">
        <v>13</v>
      </c>
      <c r="P183" s="30">
        <f t="shared" si="3"/>
        <v>0.09</v>
      </c>
      <c r="Q183" s="31" t="s">
        <v>495</v>
      </c>
      <c r="R183" s="32">
        <v>2</v>
      </c>
      <c r="S183" s="33" t="s">
        <v>49</v>
      </c>
      <c r="T183" s="33"/>
      <c r="U183" s="33"/>
      <c r="V183" s="33"/>
      <c r="W183" s="33"/>
      <c r="X183" s="33"/>
      <c r="Y183" s="33"/>
      <c r="Z183" s="33"/>
      <c r="AA183" s="33"/>
      <c r="AB183" s="34"/>
      <c r="AC183" s="6"/>
      <c r="AD183" s="6"/>
      <c r="AE183" s="7"/>
    </row>
    <row r="184" spans="1:31" ht="12.75" x14ac:dyDescent="0.2">
      <c r="A184" s="22"/>
      <c r="B184" s="39" t="s">
        <v>236</v>
      </c>
      <c r="C184" s="40" t="s">
        <v>244</v>
      </c>
      <c r="D184" s="5">
        <v>88</v>
      </c>
      <c r="E184" s="5">
        <v>18</v>
      </c>
      <c r="F184" s="5">
        <v>64</v>
      </c>
      <c r="G184" s="25">
        <v>64</v>
      </c>
      <c r="H184" s="26">
        <f ca="1">IFERROR(__xludf.DUMMYFUNCTION("(R184 * IFERROR(IF(S184&lt;&gt;"""",FILTER($G:$G,$C:$C=S184),0), 0)) + (U184 * IFERROR(IF(V184&lt;&gt;"""",FILTER($G:$G,$C:$C=V184),0), 0)) + (X184 * IFERROR(IF(Y184&lt;&gt;"""",FILTER($G:$G,$C:$C=Y184),0), 0)) + (AA184 * IFERROR(IF(AB184&lt;&gt;"""",FILTER($G:$G,$C:$C=AB184),0)"&amp;", 0))"),36)</f>
        <v>36</v>
      </c>
      <c r="I184" s="27">
        <f t="shared" ca="1" si="0"/>
        <v>28</v>
      </c>
      <c r="J184" s="5">
        <v>45</v>
      </c>
      <c r="K184" s="5">
        <v>38</v>
      </c>
      <c r="L184" s="5">
        <f t="shared" si="6"/>
        <v>45</v>
      </c>
      <c r="M184" s="28">
        <f t="shared" si="1"/>
        <v>1.42</v>
      </c>
      <c r="N184" s="29">
        <f t="shared" ca="1" si="2"/>
        <v>0.62</v>
      </c>
      <c r="O184" s="5">
        <v>8</v>
      </c>
      <c r="P184" s="30">
        <f t="shared" si="3"/>
        <v>0.18</v>
      </c>
      <c r="Q184" s="31" t="s">
        <v>496</v>
      </c>
      <c r="R184" s="32">
        <v>2</v>
      </c>
      <c r="S184" s="33" t="s">
        <v>225</v>
      </c>
      <c r="T184" s="33"/>
      <c r="U184" s="33"/>
      <c r="V184" s="33"/>
      <c r="W184" s="33"/>
      <c r="X184" s="33"/>
      <c r="Y184" s="33"/>
      <c r="Z184" s="33"/>
      <c r="AA184" s="33"/>
      <c r="AB184" s="34"/>
      <c r="AC184" s="6"/>
      <c r="AD184" s="6"/>
      <c r="AE184" s="7"/>
    </row>
    <row r="185" spans="1:31" ht="12.75" x14ac:dyDescent="0.2">
      <c r="A185" s="22"/>
      <c r="B185" s="44" t="s">
        <v>236</v>
      </c>
      <c r="C185" s="45" t="s">
        <v>245</v>
      </c>
      <c r="D185" s="8">
        <v>92</v>
      </c>
      <c r="E185" s="8">
        <v>30</v>
      </c>
      <c r="F185" s="8">
        <v>108</v>
      </c>
      <c r="G185" s="49">
        <v>108</v>
      </c>
      <c r="H185" s="26">
        <f ca="1">IFERROR(__xludf.DUMMYFUNCTION("(R185 * IFERROR(IF(S185&lt;&gt;"""",FILTER($G:$G,$C:$C=S185),0), 0)) + (U185 * IFERROR(IF(V185&lt;&gt;"""",FILTER($G:$G,$C:$C=V185),0), 0)) + (X185 * IFERROR(IF(Y185&lt;&gt;"""",FILTER($G:$G,$C:$C=Y185),0), 0)) + (AA185 * IFERROR(IF(AB185&lt;&gt;"""",FILTER($G:$G,$C:$C=AB185),0)"&amp;", 0))"),78)</f>
        <v>78</v>
      </c>
      <c r="I185" s="27">
        <f t="shared" ca="1" si="0"/>
        <v>30</v>
      </c>
      <c r="J185" s="8">
        <v>60</v>
      </c>
      <c r="K185" s="8">
        <v>51</v>
      </c>
      <c r="L185" s="5">
        <f t="shared" si="6"/>
        <v>60</v>
      </c>
      <c r="M185" s="28">
        <f t="shared" si="1"/>
        <v>1.8</v>
      </c>
      <c r="N185" s="29">
        <f t="shared" ca="1" si="2"/>
        <v>0.5</v>
      </c>
      <c r="O185" s="8">
        <v>13</v>
      </c>
      <c r="P185" s="27">
        <f t="shared" si="3"/>
        <v>0.22</v>
      </c>
      <c r="Q185" s="50">
        <v>43195</v>
      </c>
      <c r="R185" s="46">
        <v>2</v>
      </c>
      <c r="S185" s="34" t="s">
        <v>246</v>
      </c>
      <c r="T185" s="34"/>
      <c r="U185" s="34"/>
      <c r="V185" s="34"/>
      <c r="W185" s="34"/>
      <c r="X185" s="34"/>
      <c r="Y185" s="34"/>
      <c r="Z185" s="34"/>
      <c r="AA185" s="34"/>
      <c r="AB185" s="34"/>
      <c r="AC185" s="7"/>
      <c r="AD185" s="7"/>
      <c r="AE185" s="7"/>
    </row>
    <row r="186" spans="1:31" ht="12.75" x14ac:dyDescent="0.2">
      <c r="A186" s="22"/>
      <c r="B186" s="23" t="s">
        <v>247</v>
      </c>
      <c r="C186" s="24" t="s">
        <v>248</v>
      </c>
      <c r="D186" s="5">
        <v>17</v>
      </c>
      <c r="E186" s="5">
        <v>42</v>
      </c>
      <c r="F186" s="5">
        <v>151</v>
      </c>
      <c r="G186" s="25">
        <v>151</v>
      </c>
      <c r="H186" s="26">
        <f ca="1">IFERROR(__xludf.DUMMYFUNCTION("(R186 * IFERROR(IF(S186&lt;&gt;"""",FILTER($G:$G,$C:$C=S186),0), 0)) + (U186 * IFERROR(IF(V186&lt;&gt;"""",FILTER($G:$G,$C:$C=V186),0), 0)) + (X186 * IFERROR(IF(Y186&lt;&gt;"""",FILTER($G:$G,$C:$C=Y186),0), 0)) + (AA186 * IFERROR(IF(AB186&lt;&gt;"""",FILTER($G:$G,$C:$C=AB186),0)"&amp;", 0))"),108)</f>
        <v>108</v>
      </c>
      <c r="I186" s="27">
        <f t="shared" ca="1" si="0"/>
        <v>43</v>
      </c>
      <c r="J186" s="5">
        <v>120</v>
      </c>
      <c r="K186" s="5">
        <v>102</v>
      </c>
      <c r="L186" s="5">
        <f t="shared" si="6"/>
        <v>120</v>
      </c>
      <c r="M186" s="28">
        <f t="shared" si="1"/>
        <v>1.26</v>
      </c>
      <c r="N186" s="29">
        <f t="shared" ca="1" si="2"/>
        <v>0.36</v>
      </c>
      <c r="O186" s="5">
        <v>18</v>
      </c>
      <c r="P186" s="30">
        <f t="shared" si="3"/>
        <v>0.15</v>
      </c>
      <c r="Q186" s="31" t="s">
        <v>438</v>
      </c>
      <c r="R186" s="32">
        <v>2</v>
      </c>
      <c r="S186" s="33" t="s">
        <v>189</v>
      </c>
      <c r="T186" s="33"/>
      <c r="U186" s="33"/>
      <c r="V186" s="33"/>
      <c r="W186" s="33"/>
      <c r="X186" s="33"/>
      <c r="Y186" s="33"/>
      <c r="Z186" s="33"/>
      <c r="AA186" s="33"/>
      <c r="AB186" s="34"/>
      <c r="AC186" s="6"/>
      <c r="AD186" s="6"/>
      <c r="AE186" s="7"/>
    </row>
    <row r="187" spans="1:31" ht="12.75" x14ac:dyDescent="0.2">
      <c r="A187" s="22"/>
      <c r="B187" s="23" t="s">
        <v>247</v>
      </c>
      <c r="C187" s="24" t="s">
        <v>175</v>
      </c>
      <c r="D187" s="5">
        <v>18</v>
      </c>
      <c r="E187" s="5">
        <v>30</v>
      </c>
      <c r="F187" s="5">
        <v>108</v>
      </c>
      <c r="G187" s="25">
        <v>108</v>
      </c>
      <c r="H187" s="26">
        <f ca="1">IFERROR(__xludf.DUMMYFUNCTION("(R187 * IFERROR(IF(S187&lt;&gt;"""",FILTER($G:$G,$C:$C=S187),0), 0)) + (U187 * IFERROR(IF(V187&lt;&gt;"""",FILTER($G:$G,$C:$C=V187),0), 0)) + (X187 * IFERROR(IF(Y187&lt;&gt;"""",FILTER($G:$G,$C:$C=Y187),0), 0)) + (AA187 * IFERROR(IF(AB187&lt;&gt;"""",FILTER($G:$G,$C:$C=AB187),0)"&amp;", 0))"),84)</f>
        <v>84</v>
      </c>
      <c r="I187" s="27">
        <f t="shared" ca="1" si="0"/>
        <v>24</v>
      </c>
      <c r="J187" s="5">
        <v>30</v>
      </c>
      <c r="K187" s="5">
        <v>25</v>
      </c>
      <c r="L187" s="5">
        <f t="shared" si="6"/>
        <v>30</v>
      </c>
      <c r="M187" s="28">
        <f t="shared" si="1"/>
        <v>3.6</v>
      </c>
      <c r="N187" s="29">
        <f t="shared" ca="1" si="2"/>
        <v>0.8</v>
      </c>
      <c r="O187" s="5">
        <v>13</v>
      </c>
      <c r="P187" s="30">
        <f t="shared" si="3"/>
        <v>0.43</v>
      </c>
      <c r="Q187" s="31" t="s">
        <v>442</v>
      </c>
      <c r="R187" s="32">
        <v>3</v>
      </c>
      <c r="S187" s="33" t="s">
        <v>171</v>
      </c>
      <c r="T187" s="33"/>
      <c r="U187" s="33"/>
      <c r="V187" s="33"/>
      <c r="W187" s="33"/>
      <c r="X187" s="33"/>
      <c r="Y187" s="33"/>
      <c r="Z187" s="33"/>
      <c r="AA187" s="33"/>
      <c r="AB187" s="34"/>
      <c r="AC187" s="6"/>
      <c r="AD187" s="6"/>
      <c r="AE187" s="7"/>
    </row>
    <row r="188" spans="1:31" ht="12.75" x14ac:dyDescent="0.2">
      <c r="A188" s="22"/>
      <c r="B188" s="23" t="s">
        <v>247</v>
      </c>
      <c r="C188" s="24" t="s">
        <v>249</v>
      </c>
      <c r="D188" s="5">
        <v>19</v>
      </c>
      <c r="E188" s="5">
        <v>31</v>
      </c>
      <c r="F188" s="5">
        <v>111</v>
      </c>
      <c r="G188" s="25">
        <v>111</v>
      </c>
      <c r="H188" s="26">
        <f ca="1">IFERROR(__xludf.DUMMYFUNCTION("(R188 * IFERROR(IF(S188&lt;&gt;"""",FILTER($G:$G,$C:$C=S188),0), 0)) + (U188 * IFERROR(IF(V188&lt;&gt;"""",FILTER($G:$G,$C:$C=V188),0), 0)) + (X188 * IFERROR(IF(Y188&lt;&gt;"""",FILTER($G:$G,$C:$C=Y188),0), 0)) + (AA188 * IFERROR(IF(AB188&lt;&gt;"""",FILTER($G:$G,$C:$C=AB188),0)"&amp;", 0))"),79)</f>
        <v>79</v>
      </c>
      <c r="I188" s="27">
        <f t="shared" ca="1" si="0"/>
        <v>32</v>
      </c>
      <c r="J188" s="5">
        <v>60</v>
      </c>
      <c r="K188" s="5">
        <v>51</v>
      </c>
      <c r="L188" s="5">
        <f t="shared" si="6"/>
        <v>60</v>
      </c>
      <c r="M188" s="28">
        <f t="shared" si="1"/>
        <v>1.85</v>
      </c>
      <c r="N188" s="29">
        <f t="shared" ca="1" si="2"/>
        <v>0.53</v>
      </c>
      <c r="O188" s="5">
        <v>13</v>
      </c>
      <c r="P188" s="30">
        <f t="shared" si="3"/>
        <v>0.22</v>
      </c>
      <c r="Q188" s="31" t="s">
        <v>442</v>
      </c>
      <c r="R188" s="32">
        <v>1</v>
      </c>
      <c r="S188" s="33" t="s">
        <v>189</v>
      </c>
      <c r="T188" s="32"/>
      <c r="U188" s="32">
        <v>1</v>
      </c>
      <c r="V188" s="33" t="s">
        <v>124</v>
      </c>
      <c r="W188" s="33"/>
      <c r="X188" s="33"/>
      <c r="Y188" s="33"/>
      <c r="Z188" s="33"/>
      <c r="AA188" s="33"/>
      <c r="AB188" s="34"/>
      <c r="AC188" s="6"/>
      <c r="AD188" s="6"/>
      <c r="AE188" s="7"/>
    </row>
    <row r="189" spans="1:31" ht="12.75" x14ac:dyDescent="0.2">
      <c r="A189" s="22"/>
      <c r="B189" s="23" t="s">
        <v>247</v>
      </c>
      <c r="C189" s="24" t="s">
        <v>250</v>
      </c>
      <c r="D189" s="5">
        <v>20</v>
      </c>
      <c r="E189" s="5">
        <v>58</v>
      </c>
      <c r="F189" s="5">
        <v>208</v>
      </c>
      <c r="G189" s="25">
        <v>208</v>
      </c>
      <c r="H189" s="26">
        <f ca="1">IFERROR(__xludf.DUMMYFUNCTION("(R189 * IFERROR(IF(S189&lt;&gt;"""",FILTER($G:$G,$C:$C=S189),0), 0)) + (U189 * IFERROR(IF(V189&lt;&gt;"""",FILTER($G:$G,$C:$C=V189),0), 0)) + (X189 * IFERROR(IF(Y189&lt;&gt;"""",FILTER($G:$G,$C:$C=Y189),0), 0)) + (AA189 * IFERROR(IF(AB189&lt;&gt;"""",FILTER($G:$G,$C:$C=AB189),0)"&amp;", 0))"),158)</f>
        <v>158</v>
      </c>
      <c r="I189" s="27">
        <f t="shared" ca="1" si="0"/>
        <v>50</v>
      </c>
      <c r="J189" s="5">
        <v>180</v>
      </c>
      <c r="K189" s="5">
        <v>153</v>
      </c>
      <c r="L189" s="5">
        <f t="shared" si="6"/>
        <v>180</v>
      </c>
      <c r="M189" s="28">
        <f t="shared" si="1"/>
        <v>1.1599999999999999</v>
      </c>
      <c r="N189" s="29">
        <f t="shared" ca="1" si="2"/>
        <v>0.28000000000000003</v>
      </c>
      <c r="O189" s="5">
        <v>25</v>
      </c>
      <c r="P189" s="30">
        <f t="shared" si="3"/>
        <v>0.14000000000000001</v>
      </c>
      <c r="Q189" s="31" t="s">
        <v>446</v>
      </c>
      <c r="R189" s="32">
        <v>2</v>
      </c>
      <c r="S189" s="33" t="s">
        <v>189</v>
      </c>
      <c r="T189" s="32"/>
      <c r="U189" s="32">
        <v>2</v>
      </c>
      <c r="V189" s="33" t="s">
        <v>124</v>
      </c>
      <c r="W189" s="33"/>
      <c r="X189" s="33"/>
      <c r="Y189" s="33"/>
      <c r="Z189" s="33"/>
      <c r="AA189" s="33"/>
      <c r="AB189" s="34"/>
      <c r="AC189" s="6"/>
      <c r="AD189" s="6"/>
      <c r="AE189" s="7"/>
    </row>
    <row r="190" spans="1:31" ht="12.75" x14ac:dyDescent="0.2">
      <c r="A190" s="22"/>
      <c r="B190" s="23" t="s">
        <v>247</v>
      </c>
      <c r="C190" s="24" t="s">
        <v>251</v>
      </c>
      <c r="D190" s="5">
        <v>48</v>
      </c>
      <c r="E190" s="5">
        <v>80</v>
      </c>
      <c r="F190" s="5">
        <v>288</v>
      </c>
      <c r="G190" s="25">
        <v>288</v>
      </c>
      <c r="H190" s="41">
        <f ca="1">IFERROR(__xludf.DUMMYFUNCTION("(R190 * IFERROR(IF(S190&lt;&gt;"""",FILTER($G:$G,$C:$C=S190),0), 0)) + (U190 * IFERROR(IF(V190&lt;&gt;"""",FILTER($G:$G,$C:$C=V190),0), 0)) + (X190 * IFERROR(IF(Y190&lt;&gt;"""",FILTER($G:$G,$C:$C=Y190),0), 0)) + (AA190 * IFERROR(IF(AB190&lt;&gt;"""",FILTER($G:$G,$C:$C=AB190),0)"&amp;", 0))"),208)</f>
        <v>208</v>
      </c>
      <c r="I190" s="30">
        <f t="shared" ca="1" si="0"/>
        <v>80</v>
      </c>
      <c r="J190" s="5">
        <v>150</v>
      </c>
      <c r="K190" s="5">
        <v>127</v>
      </c>
      <c r="L190" s="5">
        <f t="shared" si="6"/>
        <v>150</v>
      </c>
      <c r="M190" s="42">
        <f t="shared" si="1"/>
        <v>1.92</v>
      </c>
      <c r="N190" s="43">
        <f t="shared" ca="1" si="2"/>
        <v>0.53</v>
      </c>
      <c r="O190" s="5">
        <v>34</v>
      </c>
      <c r="P190" s="30">
        <f t="shared" si="3"/>
        <v>0.23</v>
      </c>
      <c r="Q190" s="31" t="s">
        <v>444</v>
      </c>
      <c r="R190" s="32">
        <v>2</v>
      </c>
      <c r="S190" s="33" t="s">
        <v>189</v>
      </c>
      <c r="T190" s="32"/>
      <c r="U190" s="32">
        <v>2</v>
      </c>
      <c r="V190" s="33" t="s">
        <v>100</v>
      </c>
      <c r="W190" s="33"/>
      <c r="X190" s="33"/>
      <c r="Y190" s="33"/>
      <c r="Z190" s="33"/>
      <c r="AA190" s="33"/>
      <c r="AB190" s="34"/>
      <c r="AC190" s="6"/>
      <c r="AD190" s="6"/>
      <c r="AE190" s="6"/>
    </row>
    <row r="191" spans="1:31" ht="12.75" x14ac:dyDescent="0.2">
      <c r="A191" s="22"/>
      <c r="B191" s="35" t="s">
        <v>247</v>
      </c>
      <c r="C191" s="36" t="s">
        <v>252</v>
      </c>
      <c r="D191" s="8">
        <v>71</v>
      </c>
      <c r="E191" s="8">
        <v>82</v>
      </c>
      <c r="F191" s="8">
        <v>295</v>
      </c>
      <c r="G191" s="37">
        <v>295</v>
      </c>
      <c r="H191" s="26">
        <f ca="1">IFERROR(__xludf.DUMMYFUNCTION("(R191 * IFERROR(IF(S191&lt;&gt;"""",FILTER($G:$G,$C:$C=S191),0), 0)) + (U191 * IFERROR(IF(V191&lt;&gt;"""",FILTER($G:$G,$C:$C=V191),0), 0)) + (X191 * IFERROR(IF(Y191&lt;&gt;"""",FILTER($G:$G,$C:$C=Y191),0), 0)) + (AA191 * IFERROR(IF(AB191&lt;&gt;"""",FILTER($G:$G,$C:$C=AB191),0)"&amp;", 0))"),253)</f>
        <v>253</v>
      </c>
      <c r="I191" s="27">
        <f t="shared" ca="1" si="0"/>
        <v>42</v>
      </c>
      <c r="J191" s="8">
        <v>90</v>
      </c>
      <c r="K191" s="8">
        <v>76</v>
      </c>
      <c r="L191" s="5">
        <f t="shared" si="6"/>
        <v>90</v>
      </c>
      <c r="M191" s="28">
        <f t="shared" si="1"/>
        <v>3.28</v>
      </c>
      <c r="N191" s="29">
        <f t="shared" ca="1" si="2"/>
        <v>0.47</v>
      </c>
      <c r="O191" s="8">
        <v>35</v>
      </c>
      <c r="P191" s="27">
        <f t="shared" si="3"/>
        <v>0.39</v>
      </c>
      <c r="Q191" s="38">
        <v>2</v>
      </c>
      <c r="R191" s="46">
        <v>2</v>
      </c>
      <c r="S191" s="34" t="s">
        <v>189</v>
      </c>
      <c r="T191" s="46"/>
      <c r="U191" s="46">
        <v>3</v>
      </c>
      <c r="V191" s="34" t="s">
        <v>126</v>
      </c>
      <c r="W191" s="46"/>
      <c r="X191" s="46">
        <v>1</v>
      </c>
      <c r="Y191" s="34" t="s">
        <v>32</v>
      </c>
      <c r="Z191" s="34"/>
      <c r="AA191" s="34"/>
      <c r="AB191" s="34"/>
      <c r="AC191" s="7"/>
      <c r="AD191" s="7"/>
      <c r="AE191" s="7"/>
    </row>
    <row r="192" spans="1:31" ht="12.75" x14ac:dyDescent="0.2">
      <c r="A192" s="22"/>
      <c r="B192" s="51" t="s">
        <v>497</v>
      </c>
      <c r="C192" s="52" t="s">
        <v>436</v>
      </c>
      <c r="D192" s="5">
        <v>1</v>
      </c>
      <c r="E192" s="5">
        <v>10</v>
      </c>
      <c r="F192" s="5">
        <v>36</v>
      </c>
      <c r="G192" s="25">
        <v>36</v>
      </c>
      <c r="H192" s="26">
        <f ca="1">IFERROR(__xludf.DUMMYFUNCTION("(R192 * IFERROR(IF(S192&lt;&gt;"""",FILTER($G:$G,$C:$C=S192),0), 0)) + (U192 * IFERROR(IF(V192&lt;&gt;"""",FILTER($G:$G,$C:$C=V192),0), 0)) + (X192 * IFERROR(IF(Y192&lt;&gt;"""",FILTER($G:$G,$C:$C=Y192),0), 0)) + (AA192 * IFERROR(IF(AB192&lt;&gt;"""",FILTER($G:$G,$C:$C=AB192),0)"&amp;", 0))"),0)</f>
        <v>0</v>
      </c>
      <c r="I192" s="27">
        <f t="shared" ca="1" si="0"/>
        <v>36</v>
      </c>
      <c r="J192" s="5">
        <v>0</v>
      </c>
      <c r="K192" s="5">
        <v>0</v>
      </c>
      <c r="L192" s="5">
        <f t="shared" si="6"/>
        <v>0</v>
      </c>
      <c r="M192" s="28" t="str">
        <f t="shared" si="1"/>
        <v>?</v>
      </c>
      <c r="N192" s="29" t="str">
        <f t="shared" ca="1" si="2"/>
        <v>?</v>
      </c>
      <c r="O192" s="6"/>
      <c r="P192" s="53" t="str">
        <f t="shared" si="3"/>
        <v>?</v>
      </c>
      <c r="Q192" s="31" t="s">
        <v>498</v>
      </c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4"/>
      <c r="AC192" s="6"/>
      <c r="AD192" s="6"/>
      <c r="AE192" s="7"/>
    </row>
    <row r="193" spans="1:31" ht="12.75" x14ac:dyDescent="0.2">
      <c r="A193" s="22"/>
      <c r="B193" s="54" t="s">
        <v>497</v>
      </c>
      <c r="C193" s="55" t="s">
        <v>499</v>
      </c>
      <c r="D193" s="8">
        <v>1</v>
      </c>
      <c r="E193" s="8">
        <v>15</v>
      </c>
      <c r="F193" s="8">
        <v>54</v>
      </c>
      <c r="G193" s="37">
        <v>54</v>
      </c>
      <c r="H193" s="26">
        <f ca="1">IFERROR(__xludf.DUMMYFUNCTION("(R193 * IFERROR(IF(S193&lt;&gt;"""",FILTER($G:$G,$C:$C=S193),0), 0)) + (U193 * IFERROR(IF(V193&lt;&gt;"""",FILTER($G:$G,$C:$C=V193),0), 0)) + (X193 * IFERROR(IF(Y193&lt;&gt;"""",FILTER($G:$G,$C:$C=Y193),0), 0)) + (AA193 * IFERROR(IF(AB193&lt;&gt;"""",FILTER($G:$G,$C:$C=AB193),0)"&amp;", 0))"),0)</f>
        <v>0</v>
      </c>
      <c r="I193" s="27">
        <f t="shared" ca="1" si="0"/>
        <v>54</v>
      </c>
      <c r="J193" s="8">
        <v>0</v>
      </c>
      <c r="K193" s="8">
        <v>0</v>
      </c>
      <c r="L193" s="5">
        <f t="shared" si="6"/>
        <v>0</v>
      </c>
      <c r="M193" s="28" t="str">
        <f t="shared" si="1"/>
        <v>?</v>
      </c>
      <c r="N193" s="29" t="str">
        <f t="shared" ca="1" si="2"/>
        <v>?</v>
      </c>
      <c r="O193" s="7"/>
      <c r="P193" s="56" t="str">
        <f t="shared" si="3"/>
        <v>?</v>
      </c>
      <c r="Q193" s="38" t="s">
        <v>498</v>
      </c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7"/>
      <c r="AD193" s="7"/>
      <c r="AE193" s="7"/>
    </row>
    <row r="194" spans="1:31" ht="12.75" x14ac:dyDescent="0.2">
      <c r="A194" s="22"/>
      <c r="B194" s="23" t="s">
        <v>259</v>
      </c>
      <c r="C194" s="24" t="s">
        <v>260</v>
      </c>
      <c r="D194" s="5">
        <v>24</v>
      </c>
      <c r="E194" s="5">
        <v>5</v>
      </c>
      <c r="F194" s="5">
        <v>18</v>
      </c>
      <c r="G194" s="25">
        <v>18</v>
      </c>
      <c r="H194" s="26">
        <f ca="1">IFERROR(__xludf.DUMMYFUNCTION("(R194 * IFERROR(IF(S194&lt;&gt;"""",FILTER($G:$G,$C:$C=S194),0), 0)) + (U194 * IFERROR(IF(V194&lt;&gt;"""",FILTER($G:$G,$C:$C=V194),0), 0)) + (X194 * IFERROR(IF(Y194&lt;&gt;"""",FILTER($G:$G,$C:$C=Y194),0), 0)) + (AA194 * IFERROR(IF(AB194&lt;&gt;"""",FILTER($G:$G,$C:$C=AB194),0)"&amp;", 0))"),0)</f>
        <v>0</v>
      </c>
      <c r="I194" s="27">
        <f t="shared" ca="1" si="0"/>
        <v>18</v>
      </c>
      <c r="J194" s="5">
        <v>1</v>
      </c>
      <c r="K194" s="5">
        <v>1</v>
      </c>
      <c r="L194" s="5">
        <f t="shared" si="6"/>
        <v>1</v>
      </c>
      <c r="M194" s="28">
        <f t="shared" si="1"/>
        <v>18</v>
      </c>
      <c r="N194" s="29">
        <f t="shared" ca="1" si="2"/>
        <v>18</v>
      </c>
      <c r="O194" s="5">
        <v>5</v>
      </c>
      <c r="P194" s="30">
        <f t="shared" si="3"/>
        <v>5</v>
      </c>
      <c r="Q194" s="31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4"/>
      <c r="AC194" s="6"/>
      <c r="AD194" s="6"/>
      <c r="AE194" s="7"/>
    </row>
    <row r="195" spans="1:31" ht="12.75" x14ac:dyDescent="0.2">
      <c r="A195" s="22"/>
      <c r="B195" s="23" t="s">
        <v>259</v>
      </c>
      <c r="C195" s="24" t="s">
        <v>108</v>
      </c>
      <c r="D195" s="5">
        <v>24</v>
      </c>
      <c r="E195" s="5">
        <v>6</v>
      </c>
      <c r="F195" s="5">
        <v>21</v>
      </c>
      <c r="G195" s="25">
        <v>21</v>
      </c>
      <c r="H195" s="26">
        <f ca="1">IFERROR(__xludf.DUMMYFUNCTION("(R195 * IFERROR(IF(S195&lt;&gt;"""",FILTER($G:$G,$C:$C=S195),0), 0)) + (U195 * IFERROR(IF(V195&lt;&gt;"""",FILTER($G:$G,$C:$C=V195),0), 0)) + (X195 * IFERROR(IF(Y195&lt;&gt;"""",FILTER($G:$G,$C:$C=Y195),0), 0)) + (AA195 * IFERROR(IF(AB195&lt;&gt;"""",FILTER($G:$G,$C:$C=AB195),0)"&amp;", 0))"),0)</f>
        <v>0</v>
      </c>
      <c r="I195" s="27">
        <f t="shared" ca="1" si="0"/>
        <v>21</v>
      </c>
      <c r="J195" s="5">
        <v>1</v>
      </c>
      <c r="K195" s="5">
        <v>1</v>
      </c>
      <c r="L195" s="5">
        <f t="shared" ref="L195:L258" si="7">J195</f>
        <v>1</v>
      </c>
      <c r="M195" s="28">
        <f t="shared" si="1"/>
        <v>21</v>
      </c>
      <c r="N195" s="29">
        <f t="shared" ca="1" si="2"/>
        <v>21</v>
      </c>
      <c r="O195" s="5">
        <v>6</v>
      </c>
      <c r="P195" s="30">
        <f t="shared" si="3"/>
        <v>6</v>
      </c>
      <c r="Q195" s="31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4"/>
      <c r="AC195" s="6"/>
      <c r="AD195" s="6"/>
      <c r="AE195" s="7"/>
    </row>
    <row r="196" spans="1:31" ht="12.75" x14ac:dyDescent="0.2">
      <c r="A196" s="22"/>
      <c r="B196" s="23" t="s">
        <v>259</v>
      </c>
      <c r="C196" s="24" t="s">
        <v>261</v>
      </c>
      <c r="D196" s="5">
        <v>24</v>
      </c>
      <c r="E196" s="5">
        <v>9</v>
      </c>
      <c r="F196" s="5">
        <v>32</v>
      </c>
      <c r="G196" s="25">
        <v>32</v>
      </c>
      <c r="H196" s="26">
        <f ca="1">IFERROR(__xludf.DUMMYFUNCTION("(R196 * IFERROR(IF(S196&lt;&gt;"""",FILTER($G:$G,$C:$C=S196),0), 0)) + (U196 * IFERROR(IF(V196&lt;&gt;"""",FILTER($G:$G,$C:$C=V196),0), 0)) + (X196 * IFERROR(IF(Y196&lt;&gt;"""",FILTER($G:$G,$C:$C=Y196),0), 0)) + (AA196 * IFERROR(IF(AB196&lt;&gt;"""",FILTER($G:$G,$C:$C=AB196),0)"&amp;", 0))"),0)</f>
        <v>0</v>
      </c>
      <c r="I196" s="27">
        <f t="shared" ca="1" si="0"/>
        <v>32</v>
      </c>
      <c r="J196" s="5">
        <v>1</v>
      </c>
      <c r="K196" s="5">
        <v>1</v>
      </c>
      <c r="L196" s="5">
        <f t="shared" si="7"/>
        <v>1</v>
      </c>
      <c r="M196" s="28">
        <f t="shared" si="1"/>
        <v>32</v>
      </c>
      <c r="N196" s="29">
        <f t="shared" ca="1" si="2"/>
        <v>32</v>
      </c>
      <c r="O196" s="5">
        <v>7</v>
      </c>
      <c r="P196" s="30">
        <f t="shared" si="3"/>
        <v>7</v>
      </c>
      <c r="Q196" s="31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4"/>
      <c r="AC196" s="6"/>
      <c r="AD196" s="6"/>
      <c r="AE196" s="7"/>
    </row>
    <row r="197" spans="1:31" ht="12.75" x14ac:dyDescent="0.2">
      <c r="A197" s="22"/>
      <c r="B197" s="23" t="s">
        <v>259</v>
      </c>
      <c r="C197" s="24" t="s">
        <v>262</v>
      </c>
      <c r="D197" s="5">
        <v>33</v>
      </c>
      <c r="E197" s="5">
        <v>3</v>
      </c>
      <c r="F197" s="5">
        <v>10</v>
      </c>
      <c r="G197" s="25">
        <v>10</v>
      </c>
      <c r="H197" s="26">
        <f ca="1">IFERROR(__xludf.DUMMYFUNCTION("(R197 * IFERROR(IF(S197&lt;&gt;"""",FILTER($G:$G,$C:$C=S197),0), 0)) + (U197 * IFERROR(IF(V197&lt;&gt;"""",FILTER($G:$G,$C:$C=V197),0), 0)) + (X197 * IFERROR(IF(Y197&lt;&gt;"""",FILTER($G:$G,$C:$C=Y197),0), 0)) + (AA197 * IFERROR(IF(AB197&lt;&gt;"""",FILTER($G:$G,$C:$C=AB197),0)"&amp;", 0))"),0)</f>
        <v>0</v>
      </c>
      <c r="I197" s="27">
        <f t="shared" ca="1" si="0"/>
        <v>10</v>
      </c>
      <c r="J197" s="5">
        <v>1</v>
      </c>
      <c r="K197" s="5">
        <v>1</v>
      </c>
      <c r="L197" s="5">
        <f t="shared" si="7"/>
        <v>1</v>
      </c>
      <c r="M197" s="28">
        <f t="shared" si="1"/>
        <v>10</v>
      </c>
      <c r="N197" s="29">
        <f t="shared" ca="1" si="2"/>
        <v>10</v>
      </c>
      <c r="O197" s="5">
        <v>3</v>
      </c>
      <c r="P197" s="30">
        <f t="shared" si="3"/>
        <v>3</v>
      </c>
      <c r="Q197" s="31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4"/>
      <c r="AC197" s="6"/>
      <c r="AD197" s="6"/>
      <c r="AE197" s="7"/>
    </row>
    <row r="198" spans="1:31" ht="12.75" x14ac:dyDescent="0.2">
      <c r="A198" s="22"/>
      <c r="B198" s="23" t="s">
        <v>259</v>
      </c>
      <c r="C198" s="24" t="s">
        <v>173</v>
      </c>
      <c r="D198" s="5">
        <v>34</v>
      </c>
      <c r="E198" s="5">
        <v>4</v>
      </c>
      <c r="F198" s="5">
        <v>14</v>
      </c>
      <c r="G198" s="25">
        <v>14</v>
      </c>
      <c r="H198" s="26">
        <f ca="1">IFERROR(__xludf.DUMMYFUNCTION("(R198 * IFERROR(IF(S198&lt;&gt;"""",FILTER($G:$G,$C:$C=S198),0), 0)) + (U198 * IFERROR(IF(V198&lt;&gt;"""",FILTER($G:$G,$C:$C=V198),0), 0)) + (X198 * IFERROR(IF(Y198&lt;&gt;"""",FILTER($G:$G,$C:$C=Y198),0), 0)) + (AA198 * IFERROR(IF(AB198&lt;&gt;"""",FILTER($G:$G,$C:$C=AB198),0)"&amp;", 0))"),0)</f>
        <v>0</v>
      </c>
      <c r="I198" s="27">
        <f t="shared" ca="1" si="0"/>
        <v>14</v>
      </c>
      <c r="J198" s="5">
        <v>1</v>
      </c>
      <c r="K198" s="5">
        <v>1</v>
      </c>
      <c r="L198" s="5">
        <f t="shared" si="7"/>
        <v>1</v>
      </c>
      <c r="M198" s="28">
        <f t="shared" si="1"/>
        <v>14</v>
      </c>
      <c r="N198" s="29">
        <f t="shared" ca="1" si="2"/>
        <v>14</v>
      </c>
      <c r="O198" s="5">
        <v>4</v>
      </c>
      <c r="P198" s="30">
        <f t="shared" si="3"/>
        <v>4</v>
      </c>
      <c r="Q198" s="31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4"/>
      <c r="AC198" s="6"/>
      <c r="AD198" s="6"/>
      <c r="AE198" s="7"/>
    </row>
    <row r="199" spans="1:31" ht="12.75" x14ac:dyDescent="0.2">
      <c r="A199" s="22"/>
      <c r="B199" s="35" t="s">
        <v>259</v>
      </c>
      <c r="C199" s="36" t="s">
        <v>176</v>
      </c>
      <c r="D199" s="8">
        <v>1</v>
      </c>
      <c r="E199" s="8">
        <v>0</v>
      </c>
      <c r="F199" s="8">
        <v>0</v>
      </c>
      <c r="G199" s="37">
        <v>0</v>
      </c>
      <c r="H199" s="26">
        <f ca="1">IFERROR(__xludf.DUMMYFUNCTION("(R199 * IFERROR(IF(S199&lt;&gt;"""",FILTER($G:$G,$C:$C=S199),0), 0)) + (U199 * IFERROR(IF(V199&lt;&gt;"""",FILTER($G:$G,$C:$C=V199),0), 0)) + (X199 * IFERROR(IF(Y199&lt;&gt;"""",FILTER($G:$G,$C:$C=Y199),0), 0)) + (AA199 * IFERROR(IF(AB199&lt;&gt;"""",FILTER($G:$G,$C:$C=AB199),0)"&amp;", 0))"),0)</f>
        <v>0</v>
      </c>
      <c r="I199" s="27">
        <f t="shared" ca="1" si="0"/>
        <v>0</v>
      </c>
      <c r="J199" s="8">
        <v>1</v>
      </c>
      <c r="K199" s="8">
        <v>1</v>
      </c>
      <c r="L199" s="5">
        <f t="shared" si="7"/>
        <v>1</v>
      </c>
      <c r="M199" s="28">
        <f t="shared" si="1"/>
        <v>0</v>
      </c>
      <c r="N199" s="29">
        <f t="shared" ca="1" si="2"/>
        <v>0</v>
      </c>
      <c r="O199" s="8">
        <v>0</v>
      </c>
      <c r="P199" s="27">
        <f t="shared" si="3"/>
        <v>0</v>
      </c>
      <c r="Q199" s="38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7"/>
      <c r="AD199" s="7"/>
      <c r="AE199" s="7"/>
    </row>
    <row r="200" spans="1:31" ht="12.75" x14ac:dyDescent="0.2">
      <c r="A200" s="22"/>
      <c r="B200" s="39" t="s">
        <v>268</v>
      </c>
      <c r="C200" s="40" t="s">
        <v>269</v>
      </c>
      <c r="D200" s="5">
        <v>72</v>
      </c>
      <c r="E200" s="5">
        <v>100</v>
      </c>
      <c r="F200" s="5">
        <v>475</v>
      </c>
      <c r="G200" s="25">
        <v>475</v>
      </c>
      <c r="H200" s="26">
        <f ca="1">IFERROR(__xludf.DUMMYFUNCTION("(R200 * IFERROR(IF(S200&lt;&gt;"""",FILTER($G:$G,$C:$C=S200),0), 0)) + (U200 * IFERROR(IF(V200&lt;&gt;"""",FILTER($G:$G,$C:$C=V200),0), 0)) + (X200 * IFERROR(IF(Y200&lt;&gt;"""",FILTER($G:$G,$C:$C=Y200),0), 0)) + (AA200 * IFERROR(IF(AB200&lt;&gt;"""",FILTER($G:$G,$C:$C=AB200),0)"&amp;", 0))"),443)</f>
        <v>443</v>
      </c>
      <c r="I200" s="27">
        <f t="shared" ca="1" si="0"/>
        <v>32</v>
      </c>
      <c r="J200" s="5">
        <v>80</v>
      </c>
      <c r="K200" s="5">
        <v>68</v>
      </c>
      <c r="L200" s="5">
        <f t="shared" si="7"/>
        <v>80</v>
      </c>
      <c r="M200" s="28">
        <f t="shared" si="1"/>
        <v>5.94</v>
      </c>
      <c r="N200" s="29">
        <f t="shared" ca="1" si="2"/>
        <v>0.4</v>
      </c>
      <c r="O200" s="5">
        <v>57</v>
      </c>
      <c r="P200" s="30">
        <f t="shared" si="3"/>
        <v>0.71</v>
      </c>
      <c r="Q200" s="31">
        <v>2</v>
      </c>
      <c r="R200" s="32">
        <v>4</v>
      </c>
      <c r="S200" s="33" t="s">
        <v>39</v>
      </c>
      <c r="T200" s="32"/>
      <c r="U200" s="32">
        <v>3</v>
      </c>
      <c r="V200" s="33" t="s">
        <v>34</v>
      </c>
      <c r="W200" s="32"/>
      <c r="X200" s="32">
        <v>2</v>
      </c>
      <c r="Y200" s="33" t="s">
        <v>22</v>
      </c>
      <c r="Z200" s="32"/>
      <c r="AA200" s="32">
        <v>2</v>
      </c>
      <c r="AB200" s="34" t="s">
        <v>41</v>
      </c>
      <c r="AC200" s="6"/>
      <c r="AD200" s="6"/>
      <c r="AE200" s="7"/>
    </row>
    <row r="201" spans="1:31" ht="12.75" x14ac:dyDescent="0.2">
      <c r="A201" s="22"/>
      <c r="B201" s="39" t="s">
        <v>268</v>
      </c>
      <c r="C201" s="40" t="s">
        <v>270</v>
      </c>
      <c r="D201" s="5">
        <v>74</v>
      </c>
      <c r="E201" s="5">
        <v>150</v>
      </c>
      <c r="F201" s="5">
        <v>532</v>
      </c>
      <c r="G201" s="25">
        <v>532</v>
      </c>
      <c r="H201" s="26">
        <f ca="1">IFERROR(__xludf.DUMMYFUNCTION("(R201 * IFERROR(IF(S201&lt;&gt;"""",FILTER($G:$G,$C:$C=S201),0), 0)) + (U201 * IFERROR(IF(V201&lt;&gt;"""",FILTER($G:$G,$C:$C=V201),0), 0)) + (X201 * IFERROR(IF(Y201&lt;&gt;"""",FILTER($G:$G,$C:$C=Y201),0), 0)) + (AA201 * IFERROR(IF(AB201&lt;&gt;"""",FILTER($G:$G,$C:$C=AB201),0)"&amp;", 0))"),488)</f>
        <v>488</v>
      </c>
      <c r="I201" s="27">
        <f t="shared" ca="1" si="0"/>
        <v>44</v>
      </c>
      <c r="J201" s="5">
        <v>100</v>
      </c>
      <c r="K201" s="5">
        <v>85</v>
      </c>
      <c r="L201" s="5">
        <f t="shared" si="7"/>
        <v>100</v>
      </c>
      <c r="M201" s="28">
        <f t="shared" si="1"/>
        <v>5.32</v>
      </c>
      <c r="N201" s="29">
        <f t="shared" ca="1" si="2"/>
        <v>0.44</v>
      </c>
      <c r="O201" s="5">
        <v>63</v>
      </c>
      <c r="P201" s="30">
        <f t="shared" si="3"/>
        <v>0.63</v>
      </c>
      <c r="Q201" s="31">
        <v>1</v>
      </c>
      <c r="R201" s="32">
        <v>1</v>
      </c>
      <c r="S201" s="33" t="s">
        <v>198</v>
      </c>
      <c r="T201" s="32"/>
      <c r="U201" s="32">
        <v>3</v>
      </c>
      <c r="V201" s="33" t="s">
        <v>271</v>
      </c>
      <c r="W201" s="32"/>
      <c r="X201" s="32">
        <v>1</v>
      </c>
      <c r="Y201" s="33" t="s">
        <v>35</v>
      </c>
      <c r="Z201" s="32"/>
      <c r="AA201" s="32">
        <v>1</v>
      </c>
      <c r="AB201" s="34" t="s">
        <v>80</v>
      </c>
      <c r="AC201" s="6"/>
      <c r="AD201" s="6"/>
      <c r="AE201" s="7"/>
    </row>
    <row r="202" spans="1:31" ht="12.75" x14ac:dyDescent="0.2">
      <c r="A202" s="22"/>
      <c r="B202" s="39" t="s">
        <v>268</v>
      </c>
      <c r="C202" s="40" t="s">
        <v>272</v>
      </c>
      <c r="D202" s="5">
        <v>79</v>
      </c>
      <c r="E202" s="5">
        <v>200</v>
      </c>
      <c r="F202" s="5">
        <v>637</v>
      </c>
      <c r="G202" s="25">
        <v>637</v>
      </c>
      <c r="H202" s="26">
        <f ca="1">IFERROR(__xludf.DUMMYFUNCTION("(R202 * IFERROR(IF(S202&lt;&gt;"""",FILTER($G:$G,$C:$C=S202),0), 0)) + (U202 * IFERROR(IF(V202&lt;&gt;"""",FILTER($G:$G,$C:$C=V202),0), 0)) + (X202 * IFERROR(IF(Y202&lt;&gt;"""",FILTER($G:$G,$C:$C=Y202),0), 0)) + (AA202 * IFERROR(IF(AB202&lt;&gt;"""",FILTER($G:$G,$C:$C=AB202),0)"&amp;", 0))"),602)</f>
        <v>602</v>
      </c>
      <c r="I202" s="27">
        <f t="shared" ca="1" si="0"/>
        <v>35</v>
      </c>
      <c r="J202" s="5">
        <v>120</v>
      </c>
      <c r="K202" s="5">
        <v>102</v>
      </c>
      <c r="L202" s="5">
        <f t="shared" si="7"/>
        <v>120</v>
      </c>
      <c r="M202" s="28">
        <f t="shared" si="1"/>
        <v>5.31</v>
      </c>
      <c r="N202" s="29">
        <f t="shared" ca="1" si="2"/>
        <v>0.28999999999999998</v>
      </c>
      <c r="O202" s="5">
        <v>76</v>
      </c>
      <c r="P202" s="30">
        <f t="shared" si="3"/>
        <v>0.63</v>
      </c>
      <c r="Q202" s="31">
        <v>1</v>
      </c>
      <c r="R202" s="32">
        <v>1</v>
      </c>
      <c r="S202" s="33" t="s">
        <v>44</v>
      </c>
      <c r="T202" s="32"/>
      <c r="U202" s="32">
        <v>3</v>
      </c>
      <c r="V202" s="33" t="s">
        <v>271</v>
      </c>
      <c r="W202" s="32"/>
      <c r="X202" s="32">
        <v>2</v>
      </c>
      <c r="Y202" s="33" t="s">
        <v>71</v>
      </c>
      <c r="Z202" s="32"/>
      <c r="AA202" s="32">
        <v>4</v>
      </c>
      <c r="AB202" s="34" t="s">
        <v>34</v>
      </c>
      <c r="AC202" s="6"/>
      <c r="AD202" s="6"/>
      <c r="AE202" s="7"/>
    </row>
    <row r="203" spans="1:31" ht="12.75" x14ac:dyDescent="0.2">
      <c r="A203" s="22"/>
      <c r="B203" s="39" t="s">
        <v>268</v>
      </c>
      <c r="C203" s="40" t="s">
        <v>274</v>
      </c>
      <c r="D203" s="5">
        <v>83</v>
      </c>
      <c r="E203" s="5">
        <v>96</v>
      </c>
      <c r="F203" s="5">
        <v>345</v>
      </c>
      <c r="G203" s="25">
        <v>345</v>
      </c>
      <c r="H203" s="26">
        <f ca="1">IFERROR(__xludf.DUMMYFUNCTION("(R203 * IFERROR(IF(S203&lt;&gt;"""",FILTER($G:$G,$C:$C=S203),0), 0)) + (U203 * IFERROR(IF(V203&lt;&gt;"""",FILTER($G:$G,$C:$C=V203),0), 0)) + (X203 * IFERROR(IF(Y203&lt;&gt;"""",FILTER($G:$G,$C:$C=Y203),0), 0)) + (AA203 * IFERROR(IF(AB203&lt;&gt;"""",FILTER($G:$G,$C:$C=AB203),0)"&amp;", 0))"),314)</f>
        <v>314</v>
      </c>
      <c r="I203" s="27">
        <f t="shared" ca="1" si="0"/>
        <v>31</v>
      </c>
      <c r="J203" s="5">
        <v>60</v>
      </c>
      <c r="K203" s="5">
        <v>51</v>
      </c>
      <c r="L203" s="5">
        <f t="shared" si="7"/>
        <v>60</v>
      </c>
      <c r="M203" s="28">
        <f t="shared" si="1"/>
        <v>5.75</v>
      </c>
      <c r="N203" s="29">
        <f t="shared" ca="1" si="2"/>
        <v>0.52</v>
      </c>
      <c r="O203" s="5">
        <v>41</v>
      </c>
      <c r="P203" s="30">
        <f t="shared" si="3"/>
        <v>0.68</v>
      </c>
      <c r="Q203" s="31">
        <v>2</v>
      </c>
      <c r="R203" s="32">
        <v>3</v>
      </c>
      <c r="S203" s="33" t="s">
        <v>182</v>
      </c>
      <c r="T203" s="32"/>
      <c r="U203" s="32">
        <v>3</v>
      </c>
      <c r="V203" s="33" t="s">
        <v>271</v>
      </c>
      <c r="W203" s="32"/>
      <c r="X203" s="32">
        <v>1</v>
      </c>
      <c r="Y203" s="33" t="s">
        <v>35</v>
      </c>
      <c r="Z203" s="33"/>
      <c r="AA203" s="33"/>
      <c r="AB203" s="34"/>
      <c r="AC203" s="6"/>
      <c r="AD203" s="6"/>
      <c r="AE203" s="7"/>
    </row>
    <row r="204" spans="1:31" ht="12.75" x14ac:dyDescent="0.2">
      <c r="A204" s="22"/>
      <c r="B204" s="39" t="s">
        <v>268</v>
      </c>
      <c r="C204" s="40" t="s">
        <v>273</v>
      </c>
      <c r="D204" s="5">
        <v>83</v>
      </c>
      <c r="E204" s="5">
        <v>114</v>
      </c>
      <c r="F204" s="5">
        <v>410</v>
      </c>
      <c r="G204" s="25">
        <v>410</v>
      </c>
      <c r="H204" s="26">
        <f ca="1">IFERROR(__xludf.DUMMYFUNCTION("(R204 * IFERROR(IF(S204&lt;&gt;"""",FILTER($G:$G,$C:$C=S204),0), 0)) + (U204 * IFERROR(IF(V204&lt;&gt;"""",FILTER($G:$G,$C:$C=V204),0), 0)) + (X204 * IFERROR(IF(Y204&lt;&gt;"""",FILTER($G:$G,$C:$C=Y204),0), 0)) + (AA204 * IFERROR(IF(AB204&lt;&gt;"""",FILTER($G:$G,$C:$C=AB204),0)"&amp;", 0))"),369)</f>
        <v>369</v>
      </c>
      <c r="I204" s="27">
        <f t="shared" ca="1" si="0"/>
        <v>41</v>
      </c>
      <c r="J204" s="5">
        <v>150</v>
      </c>
      <c r="K204" s="5">
        <v>127</v>
      </c>
      <c r="L204" s="5">
        <f t="shared" si="7"/>
        <v>150</v>
      </c>
      <c r="M204" s="28">
        <f t="shared" si="1"/>
        <v>2.73</v>
      </c>
      <c r="N204" s="29">
        <f t="shared" ca="1" si="2"/>
        <v>0.27</v>
      </c>
      <c r="O204" s="5">
        <v>49</v>
      </c>
      <c r="P204" s="30">
        <f t="shared" si="3"/>
        <v>0.33</v>
      </c>
      <c r="Q204" s="31">
        <v>1</v>
      </c>
      <c r="R204" s="32">
        <v>1</v>
      </c>
      <c r="S204" s="33" t="s">
        <v>26</v>
      </c>
      <c r="T204" s="32"/>
      <c r="U204" s="32">
        <v>3</v>
      </c>
      <c r="V204" s="33" t="s">
        <v>271</v>
      </c>
      <c r="W204" s="32"/>
      <c r="X204" s="32">
        <v>2</v>
      </c>
      <c r="Y204" s="33" t="s">
        <v>66</v>
      </c>
      <c r="Z204" s="32"/>
      <c r="AA204" s="32">
        <v>1</v>
      </c>
      <c r="AB204" s="34" t="s">
        <v>35</v>
      </c>
      <c r="AC204" s="6"/>
      <c r="AD204" s="6"/>
      <c r="AE204" s="7"/>
    </row>
    <row r="205" spans="1:31" ht="12.75" x14ac:dyDescent="0.2">
      <c r="A205" s="22"/>
      <c r="B205" s="39" t="s">
        <v>268</v>
      </c>
      <c r="C205" s="40" t="s">
        <v>275</v>
      </c>
      <c r="D205" s="5">
        <v>87</v>
      </c>
      <c r="E205" s="5">
        <v>160</v>
      </c>
      <c r="F205" s="5">
        <v>576</v>
      </c>
      <c r="G205" s="25">
        <v>576</v>
      </c>
      <c r="H205" s="26">
        <f ca="1">IFERROR(__xludf.DUMMYFUNCTION("(R205 * IFERROR(IF(S205&lt;&gt;"""",FILTER($G:$G,$C:$C=S205),0), 0)) + (U205 * IFERROR(IF(V205&lt;&gt;"""",FILTER($G:$G,$C:$C=V205),0), 0)) + (X205 * IFERROR(IF(Y205&lt;&gt;"""",FILTER($G:$G,$C:$C=Y205),0), 0)) + (AA205 * IFERROR(IF(AB205&lt;&gt;"""",FILTER($G:$G,$C:$C=AB205),0)"&amp;", 0))"),545)</f>
        <v>545</v>
      </c>
      <c r="I205" s="27">
        <f t="shared" ca="1" si="0"/>
        <v>31</v>
      </c>
      <c r="J205" s="5">
        <v>90</v>
      </c>
      <c r="K205" s="5">
        <v>76</v>
      </c>
      <c r="L205" s="5">
        <f t="shared" si="7"/>
        <v>90</v>
      </c>
      <c r="M205" s="28">
        <f t="shared" si="1"/>
        <v>6.4</v>
      </c>
      <c r="N205" s="29">
        <f t="shared" ca="1" si="2"/>
        <v>0.34</v>
      </c>
      <c r="O205" s="5">
        <v>69</v>
      </c>
      <c r="P205" s="30">
        <f t="shared" si="3"/>
        <v>0.77</v>
      </c>
      <c r="Q205" s="31">
        <v>1</v>
      </c>
      <c r="R205" s="32">
        <v>1</v>
      </c>
      <c r="S205" s="33" t="s">
        <v>198</v>
      </c>
      <c r="T205" s="32"/>
      <c r="U205" s="32">
        <v>3</v>
      </c>
      <c r="V205" s="33" t="s">
        <v>271</v>
      </c>
      <c r="W205" s="32"/>
      <c r="X205" s="32">
        <v>3</v>
      </c>
      <c r="Y205" s="33" t="s">
        <v>37</v>
      </c>
      <c r="Z205" s="32"/>
      <c r="AA205" s="32">
        <v>2</v>
      </c>
      <c r="AB205" s="34" t="s">
        <v>77</v>
      </c>
      <c r="AC205" s="6"/>
      <c r="AD205" s="6"/>
      <c r="AE205" s="7"/>
    </row>
    <row r="206" spans="1:31" ht="12.75" x14ac:dyDescent="0.2">
      <c r="A206" s="22"/>
      <c r="B206" s="44" t="s">
        <v>268</v>
      </c>
      <c r="C206" s="45" t="s">
        <v>276</v>
      </c>
      <c r="D206" s="8">
        <v>101</v>
      </c>
      <c r="E206" s="8">
        <v>78</v>
      </c>
      <c r="F206" s="8">
        <v>280</v>
      </c>
      <c r="G206" s="37">
        <v>280</v>
      </c>
      <c r="H206" s="26">
        <f ca="1">IFERROR(__xludf.DUMMYFUNCTION("(R206 * IFERROR(IF(S206&lt;&gt;"""",FILTER($G:$G,$C:$C=S206),0), 0)) + (U206 * IFERROR(IF(V206&lt;&gt;"""",FILTER($G:$G,$C:$C=V206),0), 0)) + (X206 * IFERROR(IF(Y206&lt;&gt;"""",FILTER($G:$G,$C:$C=Y206),0), 0)) + (AA206 * IFERROR(IF(AB206&lt;&gt;"""",FILTER($G:$G,$C:$C=AB206),0)"&amp;", 0))"),243)</f>
        <v>243</v>
      </c>
      <c r="I206" s="27">
        <f t="shared" ca="1" si="0"/>
        <v>37</v>
      </c>
      <c r="J206" s="8">
        <v>75</v>
      </c>
      <c r="K206" s="8">
        <v>63</v>
      </c>
      <c r="L206" s="5">
        <f t="shared" si="7"/>
        <v>75</v>
      </c>
      <c r="M206" s="28">
        <f t="shared" si="1"/>
        <v>3.73</v>
      </c>
      <c r="N206" s="29">
        <f t="shared" ca="1" si="2"/>
        <v>0.49</v>
      </c>
      <c r="O206" s="8">
        <v>33</v>
      </c>
      <c r="P206" s="27">
        <f t="shared" si="3"/>
        <v>0.44</v>
      </c>
      <c r="Q206" s="38">
        <v>1</v>
      </c>
      <c r="R206" s="46">
        <v>5</v>
      </c>
      <c r="S206" s="34" t="s">
        <v>90</v>
      </c>
      <c r="T206" s="46"/>
      <c r="U206" s="46">
        <v>3</v>
      </c>
      <c r="V206" s="34" t="s">
        <v>271</v>
      </c>
      <c r="W206" s="46"/>
      <c r="X206" s="46">
        <v>1</v>
      </c>
      <c r="Y206" s="34" t="s">
        <v>53</v>
      </c>
      <c r="Z206" s="34"/>
      <c r="AA206" s="34"/>
      <c r="AB206" s="34"/>
      <c r="AC206" s="7"/>
      <c r="AD206" s="7"/>
      <c r="AE206" s="7"/>
    </row>
    <row r="207" spans="1:31" ht="12.75" x14ac:dyDescent="0.2">
      <c r="A207" s="22"/>
      <c r="B207" s="23" t="s">
        <v>277</v>
      </c>
      <c r="C207" s="24" t="s">
        <v>271</v>
      </c>
      <c r="D207" s="5">
        <v>67</v>
      </c>
      <c r="E207" s="5">
        <v>12</v>
      </c>
      <c r="F207" s="5">
        <v>43</v>
      </c>
      <c r="G207" s="25">
        <v>43</v>
      </c>
      <c r="H207" s="26">
        <f ca="1">IFERROR(__xludf.DUMMYFUNCTION("(R207 * IFERROR(IF(S207&lt;&gt;"""",FILTER($G:$G,$C:$C=S207),0), 0)) + (U207 * IFERROR(IF(V207&lt;&gt;"""",FILTER($G:$G,$C:$C=V207),0), 0)) + (X207 * IFERROR(IF(Y207&lt;&gt;"""",FILTER($G:$G,$C:$C=Y207),0), 0)) + (AA207 * IFERROR(IF(AB207&lt;&gt;"""",FILTER($G:$G,$C:$C=AB207),0)"&amp;", 0))"),24)</f>
        <v>24</v>
      </c>
      <c r="I207" s="27">
        <f t="shared" ca="1" si="0"/>
        <v>19</v>
      </c>
      <c r="J207" s="5">
        <v>15</v>
      </c>
      <c r="K207" s="5">
        <v>12</v>
      </c>
      <c r="L207" s="5">
        <f t="shared" si="7"/>
        <v>15</v>
      </c>
      <c r="M207" s="28">
        <f t="shared" si="1"/>
        <v>2.87</v>
      </c>
      <c r="N207" s="29">
        <f t="shared" ca="1" si="2"/>
        <v>1.27</v>
      </c>
      <c r="O207" s="5">
        <v>5</v>
      </c>
      <c r="P207" s="30">
        <f t="shared" si="3"/>
        <v>0.33</v>
      </c>
      <c r="Q207" s="31" t="s">
        <v>455</v>
      </c>
      <c r="R207" s="32">
        <v>1</v>
      </c>
      <c r="S207" s="33" t="s">
        <v>26</v>
      </c>
      <c r="T207" s="32"/>
      <c r="U207" s="32">
        <v>2</v>
      </c>
      <c r="V207" s="33" t="s">
        <v>22</v>
      </c>
      <c r="W207" s="33"/>
      <c r="X207" s="33"/>
      <c r="Y207" s="33"/>
      <c r="Z207" s="33"/>
      <c r="AA207" s="33"/>
      <c r="AB207" s="34"/>
      <c r="AC207" s="6"/>
      <c r="AD207" s="6"/>
      <c r="AE207" s="7"/>
    </row>
    <row r="208" spans="1:31" ht="12.75" x14ac:dyDescent="0.2">
      <c r="A208" s="22"/>
      <c r="B208" s="35" t="s">
        <v>277</v>
      </c>
      <c r="C208" s="36" t="s">
        <v>500</v>
      </c>
      <c r="D208" s="8">
        <v>73</v>
      </c>
      <c r="E208" s="8">
        <v>28</v>
      </c>
      <c r="F208" s="8">
        <v>100</v>
      </c>
      <c r="G208" s="37">
        <v>100</v>
      </c>
      <c r="H208" s="26">
        <f ca="1">IFERROR(__xludf.DUMMYFUNCTION("(R208 * IFERROR(IF(S208&lt;&gt;"""",FILTER($G:$G,$C:$C=S208),0), 0)) + (U208 * IFERROR(IF(V208&lt;&gt;"""",FILTER($G:$G,$C:$C=V208),0), 0)) + (X208 * IFERROR(IF(Y208&lt;&gt;"""",FILTER($G:$G,$C:$C=Y208),0), 0)) + (AA208 * IFERROR(IF(AB208&lt;&gt;"""",FILTER($G:$G,$C:$C=AB208),0)"&amp;", 0))"),90)</f>
        <v>90</v>
      </c>
      <c r="I208" s="27">
        <f t="shared" ca="1" si="0"/>
        <v>10</v>
      </c>
      <c r="J208" s="8">
        <v>20</v>
      </c>
      <c r="K208" s="8">
        <v>17</v>
      </c>
      <c r="L208" s="5">
        <f t="shared" si="7"/>
        <v>20</v>
      </c>
      <c r="M208" s="28">
        <f t="shared" si="1"/>
        <v>5</v>
      </c>
      <c r="N208" s="29">
        <f t="shared" ca="1" si="2"/>
        <v>0.5</v>
      </c>
      <c r="O208" s="8">
        <v>12</v>
      </c>
      <c r="P208" s="27">
        <f t="shared" si="3"/>
        <v>0.6</v>
      </c>
      <c r="Q208" s="38">
        <v>5</v>
      </c>
      <c r="R208" s="46">
        <v>5</v>
      </c>
      <c r="S208" s="34" t="s">
        <v>84</v>
      </c>
      <c r="T208" s="34"/>
      <c r="U208" s="34"/>
      <c r="V208" s="34"/>
      <c r="W208" s="34"/>
      <c r="X208" s="34"/>
      <c r="Y208" s="34"/>
      <c r="Z208" s="34"/>
      <c r="AA208" s="34"/>
      <c r="AB208" s="34"/>
      <c r="AC208" s="7"/>
      <c r="AD208" s="7"/>
      <c r="AE208" s="7"/>
    </row>
    <row r="209" spans="1:31" ht="12.75" x14ac:dyDescent="0.2">
      <c r="A209" s="22"/>
      <c r="B209" s="39" t="s">
        <v>279</v>
      </c>
      <c r="C209" s="40" t="s">
        <v>280</v>
      </c>
      <c r="D209" s="5">
        <v>14</v>
      </c>
      <c r="E209" s="5">
        <v>23</v>
      </c>
      <c r="F209" s="5">
        <v>82</v>
      </c>
      <c r="G209" s="25">
        <v>82</v>
      </c>
      <c r="H209" s="26">
        <f ca="1">IFERROR(__xludf.DUMMYFUNCTION("(R209 * IFERROR(IF(S209&lt;&gt;"""",FILTER($G:$G,$C:$C=S209),0), 0)) + (U209 * IFERROR(IF(V209&lt;&gt;"""",FILTER($G:$G,$C:$C=V209),0), 0)) + (X209 * IFERROR(IF(Y209&lt;&gt;"""",FILTER($G:$G,$C:$C=Y209),0), 0)) + (AA209 * IFERROR(IF(AB209&lt;&gt;"""",FILTER($G:$G,$C:$C=AB209),0)"&amp;", 0))"),45)</f>
        <v>45</v>
      </c>
      <c r="I209" s="27">
        <f t="shared" ca="1" si="0"/>
        <v>37</v>
      </c>
      <c r="J209" s="5">
        <v>60</v>
      </c>
      <c r="K209" s="5">
        <v>51</v>
      </c>
      <c r="L209" s="5">
        <f t="shared" si="7"/>
        <v>60</v>
      </c>
      <c r="M209" s="28">
        <f t="shared" si="1"/>
        <v>1.37</v>
      </c>
      <c r="N209" s="29">
        <f t="shared" ca="1" si="2"/>
        <v>0.62</v>
      </c>
      <c r="O209" s="5">
        <v>10</v>
      </c>
      <c r="P209" s="30">
        <f t="shared" si="3"/>
        <v>0.17</v>
      </c>
      <c r="Q209" s="31" t="s">
        <v>441</v>
      </c>
      <c r="R209" s="32">
        <v>3</v>
      </c>
      <c r="S209" s="33" t="s">
        <v>80</v>
      </c>
      <c r="T209" s="32"/>
      <c r="U209" s="32">
        <v>1</v>
      </c>
      <c r="V209" s="33" t="s">
        <v>26</v>
      </c>
      <c r="W209" s="32"/>
      <c r="X209" s="32">
        <v>2</v>
      </c>
      <c r="Y209" s="33" t="s">
        <v>22</v>
      </c>
      <c r="Z209" s="33"/>
      <c r="AA209" s="33"/>
      <c r="AB209" s="34"/>
      <c r="AC209" s="6"/>
      <c r="AD209" s="6"/>
      <c r="AE209" s="7"/>
    </row>
    <row r="210" spans="1:31" ht="12.75" x14ac:dyDescent="0.2">
      <c r="A210" s="22"/>
      <c r="B210" s="39" t="s">
        <v>279</v>
      </c>
      <c r="C210" s="40" t="s">
        <v>281</v>
      </c>
      <c r="D210" s="5">
        <v>15</v>
      </c>
      <c r="E210" s="5">
        <v>44</v>
      </c>
      <c r="F210" s="5">
        <v>158</v>
      </c>
      <c r="G210" s="25">
        <v>158</v>
      </c>
      <c r="H210" s="26">
        <f ca="1">IFERROR(__xludf.DUMMYFUNCTION("(R210 * IFERROR(IF(S210&lt;&gt;"""",FILTER($G:$G,$C:$C=S210),0), 0)) + (U210 * IFERROR(IF(V210&lt;&gt;"""",FILTER($G:$G,$C:$C=V210),0), 0)) + (X210 * IFERROR(IF(Y210&lt;&gt;"""",FILTER($G:$G,$C:$C=Y210),0), 0)) + (AA210 * IFERROR(IF(AB210&lt;&gt;"""",FILTER($G:$G,$C:$C=AB210),0)"&amp;", 0))"),120)</f>
        <v>120</v>
      </c>
      <c r="I210" s="27">
        <f t="shared" ca="1" si="0"/>
        <v>38</v>
      </c>
      <c r="J210" s="5">
        <v>120</v>
      </c>
      <c r="K210" s="5">
        <v>102</v>
      </c>
      <c r="L210" s="5">
        <f t="shared" si="7"/>
        <v>120</v>
      </c>
      <c r="M210" s="28">
        <f t="shared" si="1"/>
        <v>1.32</v>
      </c>
      <c r="N210" s="29">
        <f t="shared" ca="1" si="2"/>
        <v>0.32</v>
      </c>
      <c r="O210" s="5">
        <v>19</v>
      </c>
      <c r="P210" s="30">
        <f t="shared" si="3"/>
        <v>0.16</v>
      </c>
      <c r="Q210" s="31">
        <v>3</v>
      </c>
      <c r="R210" s="32">
        <v>3</v>
      </c>
      <c r="S210" s="33" t="s">
        <v>81</v>
      </c>
      <c r="T210" s="32"/>
      <c r="U210" s="32">
        <v>1</v>
      </c>
      <c r="V210" s="33" t="s">
        <v>26</v>
      </c>
      <c r="W210" s="32"/>
      <c r="X210" s="32">
        <v>2</v>
      </c>
      <c r="Y210" s="33" t="s">
        <v>22</v>
      </c>
      <c r="Z210" s="33"/>
      <c r="AA210" s="33"/>
      <c r="AB210" s="34"/>
      <c r="AC210" s="6"/>
      <c r="AD210" s="6"/>
      <c r="AE210" s="7"/>
    </row>
    <row r="211" spans="1:31" ht="12.75" x14ac:dyDescent="0.2">
      <c r="A211" s="22"/>
      <c r="B211" s="39" t="s">
        <v>279</v>
      </c>
      <c r="C211" s="40" t="s">
        <v>282</v>
      </c>
      <c r="D211" s="5">
        <v>18</v>
      </c>
      <c r="E211" s="5">
        <v>61</v>
      </c>
      <c r="F211" s="5">
        <v>219</v>
      </c>
      <c r="G211" s="25">
        <v>219</v>
      </c>
      <c r="H211" s="26">
        <f ca="1">IFERROR(__xludf.DUMMYFUNCTION("(R211 * IFERROR(IF(S211&lt;&gt;"""",FILTER($G:$G,$C:$C=S211),0), 0)) + (U211 * IFERROR(IF(V211&lt;&gt;"""",FILTER($G:$G,$C:$C=V211),0), 0)) + (X211 * IFERROR(IF(Y211&lt;&gt;"""",FILTER($G:$G,$C:$C=Y211),0), 0)) + (AA211 * IFERROR(IF(AB211&lt;&gt;"""",FILTER($G:$G,$C:$C=AB211),0)"&amp;", 0))"),174)</f>
        <v>174</v>
      </c>
      <c r="I211" s="27">
        <f t="shared" ca="1" si="0"/>
        <v>45</v>
      </c>
      <c r="J211" s="5">
        <v>180</v>
      </c>
      <c r="K211" s="5">
        <v>153</v>
      </c>
      <c r="L211" s="5">
        <f t="shared" si="7"/>
        <v>180</v>
      </c>
      <c r="M211" s="28">
        <f t="shared" si="1"/>
        <v>1.22</v>
      </c>
      <c r="N211" s="29">
        <f t="shared" ca="1" si="2"/>
        <v>0.25</v>
      </c>
      <c r="O211" s="5">
        <v>26</v>
      </c>
      <c r="P211" s="30">
        <f t="shared" si="3"/>
        <v>0.14000000000000001</v>
      </c>
      <c r="Q211" s="31">
        <v>2</v>
      </c>
      <c r="R211" s="32">
        <v>3</v>
      </c>
      <c r="S211" s="33" t="s">
        <v>66</v>
      </c>
      <c r="T211" s="32"/>
      <c r="U211" s="32">
        <v>1</v>
      </c>
      <c r="V211" s="33" t="s">
        <v>26</v>
      </c>
      <c r="W211" s="32"/>
      <c r="X211" s="32">
        <v>2</v>
      </c>
      <c r="Y211" s="33" t="s">
        <v>22</v>
      </c>
      <c r="Z211" s="33"/>
      <c r="AA211" s="33"/>
      <c r="AB211" s="34"/>
      <c r="AC211" s="6"/>
      <c r="AD211" s="6"/>
      <c r="AE211" s="7"/>
    </row>
    <row r="212" spans="1:31" ht="12.75" x14ac:dyDescent="0.2">
      <c r="A212" s="22"/>
      <c r="B212" s="39" t="s">
        <v>279</v>
      </c>
      <c r="C212" s="40" t="s">
        <v>283</v>
      </c>
      <c r="D212" s="5">
        <v>28</v>
      </c>
      <c r="E212" s="5">
        <v>75</v>
      </c>
      <c r="F212" s="5">
        <v>270</v>
      </c>
      <c r="G212" s="25">
        <v>270</v>
      </c>
      <c r="H212" s="26">
        <f ca="1">IFERROR(__xludf.DUMMYFUNCTION("(R212 * IFERROR(IF(S212&lt;&gt;"""",FILTER($G:$G,$C:$C=S212),0), 0)) + (U212 * IFERROR(IF(V212&lt;&gt;"""",FILTER($G:$G,$C:$C=V212),0), 0)) + (X212 * IFERROR(IF(Y212&lt;&gt;"""",FILTER($G:$G,$C:$C=Y212),0), 0)) + (AA212 * IFERROR(IF(AB212&lt;&gt;"""",FILTER($G:$G,$C:$C=AB212),0)"&amp;", 0))"),231)</f>
        <v>231</v>
      </c>
      <c r="I212" s="27">
        <f t="shared" ca="1" si="0"/>
        <v>39</v>
      </c>
      <c r="J212" s="5">
        <v>150</v>
      </c>
      <c r="K212" s="5">
        <v>127</v>
      </c>
      <c r="L212" s="5">
        <f t="shared" si="7"/>
        <v>150</v>
      </c>
      <c r="M212" s="28">
        <f t="shared" si="1"/>
        <v>1.8</v>
      </c>
      <c r="N212" s="29">
        <f t="shared" ca="1" si="2"/>
        <v>0.26</v>
      </c>
      <c r="O212" s="5">
        <v>27</v>
      </c>
      <c r="P212" s="30">
        <f t="shared" si="3"/>
        <v>0.18</v>
      </c>
      <c r="Q212" s="31" t="s">
        <v>444</v>
      </c>
      <c r="R212" s="32">
        <v>3</v>
      </c>
      <c r="S212" s="33" t="s">
        <v>105</v>
      </c>
      <c r="T212" s="32"/>
      <c r="U212" s="32">
        <v>1</v>
      </c>
      <c r="V212" s="33" t="s">
        <v>26</v>
      </c>
      <c r="W212" s="32"/>
      <c r="X212" s="32">
        <v>2</v>
      </c>
      <c r="Y212" s="33" t="s">
        <v>22</v>
      </c>
      <c r="Z212" s="32"/>
      <c r="AA212" s="32">
        <v>1</v>
      </c>
      <c r="AB212" s="34" t="s">
        <v>47</v>
      </c>
      <c r="AC212" s="6"/>
      <c r="AD212" s="6"/>
      <c r="AE212" s="7"/>
    </row>
    <row r="213" spans="1:31" ht="12.75" x14ac:dyDescent="0.2">
      <c r="A213" s="22"/>
      <c r="B213" s="39" t="s">
        <v>279</v>
      </c>
      <c r="C213" s="40" t="s">
        <v>284</v>
      </c>
      <c r="D213" s="5">
        <v>28</v>
      </c>
      <c r="E213" s="5">
        <v>63</v>
      </c>
      <c r="F213" s="5">
        <v>226</v>
      </c>
      <c r="G213" s="25">
        <v>226</v>
      </c>
      <c r="H213" s="26">
        <f ca="1">IFERROR(__xludf.DUMMYFUNCTION("(R213 * IFERROR(IF(S213&lt;&gt;"""",FILTER($G:$G,$C:$C=S213),0), 0)) + (U213 * IFERROR(IF(V213&lt;&gt;"""",FILTER($G:$G,$C:$C=V213),0), 0)) + (X213 * IFERROR(IF(Y213&lt;&gt;"""",FILTER($G:$G,$C:$C=Y213),0), 0)) + (AA213 * IFERROR(IF(AB213&lt;&gt;"""",FILTER($G:$G,$C:$C=AB213),0)"&amp;", 0))"),186)</f>
        <v>186</v>
      </c>
      <c r="I213" s="27">
        <f t="shared" ca="1" si="0"/>
        <v>40</v>
      </c>
      <c r="J213" s="5">
        <v>120</v>
      </c>
      <c r="K213" s="5">
        <v>102</v>
      </c>
      <c r="L213" s="5">
        <f t="shared" si="7"/>
        <v>120</v>
      </c>
      <c r="M213" s="28">
        <f t="shared" si="1"/>
        <v>1.88</v>
      </c>
      <c r="N213" s="29">
        <f t="shared" ca="1" si="2"/>
        <v>0.33</v>
      </c>
      <c r="O213" s="5">
        <v>32</v>
      </c>
      <c r="P213" s="30">
        <f t="shared" si="3"/>
        <v>0.27</v>
      </c>
      <c r="Q213" s="31">
        <v>2</v>
      </c>
      <c r="R213" s="32">
        <v>3</v>
      </c>
      <c r="S213" s="33" t="s">
        <v>43</v>
      </c>
      <c r="T213" s="32"/>
      <c r="U213" s="32">
        <v>2</v>
      </c>
      <c r="V213" s="33" t="s">
        <v>22</v>
      </c>
      <c r="W213" s="32"/>
      <c r="X213" s="32">
        <v>1</v>
      </c>
      <c r="Y213" s="33" t="s">
        <v>26</v>
      </c>
      <c r="Z213" s="33"/>
      <c r="AA213" s="33"/>
      <c r="AB213" s="34"/>
      <c r="AC213" s="6"/>
      <c r="AD213" s="6"/>
      <c r="AE213" s="7"/>
    </row>
    <row r="214" spans="1:31" ht="12.75" x14ac:dyDescent="0.2">
      <c r="A214" s="22"/>
      <c r="B214" s="39" t="s">
        <v>279</v>
      </c>
      <c r="C214" s="40" t="s">
        <v>285</v>
      </c>
      <c r="D214" s="5">
        <v>34</v>
      </c>
      <c r="E214" s="5">
        <v>62</v>
      </c>
      <c r="F214" s="5">
        <v>223</v>
      </c>
      <c r="G214" s="25">
        <v>223</v>
      </c>
      <c r="H214" s="26">
        <f ca="1">IFERROR(__xludf.DUMMYFUNCTION("(R214 * IFERROR(IF(S214&lt;&gt;"""",FILTER($G:$G,$C:$C=S214),0), 0)) + (U214 * IFERROR(IF(V214&lt;&gt;"""",FILTER($G:$G,$C:$C=V214),0), 0)) + (X214 * IFERROR(IF(Y214&lt;&gt;"""",FILTER($G:$G,$C:$C=Y214),0), 0)) + (AA214 * IFERROR(IF(AB214&lt;&gt;"""",FILTER($G:$G,$C:$C=AB214),0)"&amp;", 0))"),186)</f>
        <v>186</v>
      </c>
      <c r="I214" s="27">
        <f t="shared" ca="1" si="0"/>
        <v>37</v>
      </c>
      <c r="J214" s="5">
        <v>90</v>
      </c>
      <c r="K214" s="5">
        <v>76</v>
      </c>
      <c r="L214" s="5">
        <f t="shared" si="7"/>
        <v>90</v>
      </c>
      <c r="M214" s="28">
        <f t="shared" si="1"/>
        <v>2.48</v>
      </c>
      <c r="N214" s="29">
        <f t="shared" ca="1" si="2"/>
        <v>0.41</v>
      </c>
      <c r="O214" s="5">
        <v>26</v>
      </c>
      <c r="P214" s="30">
        <f t="shared" si="3"/>
        <v>0.28999999999999998</v>
      </c>
      <c r="Q214" s="31" t="s">
        <v>446</v>
      </c>
      <c r="R214" s="32">
        <v>1</v>
      </c>
      <c r="S214" s="33" t="s">
        <v>103</v>
      </c>
      <c r="T214" s="32"/>
      <c r="U214" s="32">
        <v>1</v>
      </c>
      <c r="V214" s="33" t="s">
        <v>26</v>
      </c>
      <c r="W214" s="32"/>
      <c r="X214" s="32">
        <v>2</v>
      </c>
      <c r="Y214" s="33" t="s">
        <v>22</v>
      </c>
      <c r="Z214" s="33"/>
      <c r="AA214" s="33"/>
      <c r="AB214" s="34"/>
      <c r="AC214" s="6"/>
      <c r="AD214" s="6"/>
      <c r="AE214" s="7"/>
    </row>
    <row r="215" spans="1:31" ht="12.75" x14ac:dyDescent="0.2">
      <c r="A215" s="22"/>
      <c r="B215" s="39" t="s">
        <v>279</v>
      </c>
      <c r="C215" s="40" t="s">
        <v>286</v>
      </c>
      <c r="D215" s="5">
        <v>36</v>
      </c>
      <c r="E215" s="5">
        <v>102</v>
      </c>
      <c r="F215" s="5">
        <v>367</v>
      </c>
      <c r="G215" s="25">
        <v>367</v>
      </c>
      <c r="H215" s="26">
        <f ca="1">IFERROR(__xludf.DUMMYFUNCTION("(R215 * IFERROR(IF(S215&lt;&gt;"""",FILTER($G:$G,$C:$C=S215),0), 0)) + (U215 * IFERROR(IF(V215&lt;&gt;"""",FILTER($G:$G,$C:$C=V215),0), 0)) + (X215 * IFERROR(IF(Y215&lt;&gt;"""",FILTER($G:$G,$C:$C=Y215),0), 0)) + (AA215 * IFERROR(IF(AB215&lt;&gt;"""",FILTER($G:$G,$C:$C=AB215),0)"&amp;", 0))"),330)</f>
        <v>330</v>
      </c>
      <c r="I215" s="27">
        <f t="shared" ca="1" si="0"/>
        <v>37</v>
      </c>
      <c r="J215" s="5">
        <v>120</v>
      </c>
      <c r="K215" s="5">
        <v>102</v>
      </c>
      <c r="L215" s="5">
        <f t="shared" si="7"/>
        <v>120</v>
      </c>
      <c r="M215" s="28">
        <f t="shared" si="1"/>
        <v>3.06</v>
      </c>
      <c r="N215" s="29">
        <f t="shared" ca="1" si="2"/>
        <v>0.31</v>
      </c>
      <c r="O215" s="5">
        <v>44</v>
      </c>
      <c r="P215" s="30">
        <f t="shared" si="3"/>
        <v>0.37</v>
      </c>
      <c r="Q215" s="31" t="s">
        <v>444</v>
      </c>
      <c r="R215" s="32">
        <v>2</v>
      </c>
      <c r="S215" s="33" t="s">
        <v>39</v>
      </c>
      <c r="T215" s="32"/>
      <c r="U215" s="32">
        <v>2</v>
      </c>
      <c r="V215" s="33" t="s">
        <v>26</v>
      </c>
      <c r="W215" s="32"/>
      <c r="X215" s="32">
        <v>2</v>
      </c>
      <c r="Y215" s="33" t="s">
        <v>66</v>
      </c>
      <c r="Z215" s="32"/>
      <c r="AA215" s="32">
        <v>1</v>
      </c>
      <c r="AB215" s="34" t="s">
        <v>35</v>
      </c>
      <c r="AC215" s="6"/>
      <c r="AD215" s="6"/>
      <c r="AE215" s="7"/>
    </row>
    <row r="216" spans="1:31" ht="12.75" x14ac:dyDescent="0.2">
      <c r="A216" s="22"/>
      <c r="B216" s="39" t="s">
        <v>279</v>
      </c>
      <c r="C216" s="40" t="s">
        <v>501</v>
      </c>
      <c r="D216" s="5">
        <v>39</v>
      </c>
      <c r="E216" s="5">
        <v>78</v>
      </c>
      <c r="F216" s="5">
        <v>280</v>
      </c>
      <c r="G216" s="25">
        <v>280</v>
      </c>
      <c r="H216" s="26">
        <f ca="1">IFERROR(__xludf.DUMMYFUNCTION("(R216 * IFERROR(IF(S216&lt;&gt;"""",FILTER($G:$G,$C:$C=S216),0), 0)) + (U216 * IFERROR(IF(V216&lt;&gt;"""",FILTER($G:$G,$C:$C=V216),0), 0)) + (X216 * IFERROR(IF(Y216&lt;&gt;"""",FILTER($G:$G,$C:$C=Y216),0), 0)) + (AA216 * IFERROR(IF(AB216&lt;&gt;"""",FILTER($G:$G,$C:$C=AB216),0)"&amp;", 0))"),250)</f>
        <v>250</v>
      </c>
      <c r="I216" s="27">
        <f t="shared" ca="1" si="0"/>
        <v>30</v>
      </c>
      <c r="J216" s="5">
        <v>100</v>
      </c>
      <c r="K216" s="5">
        <v>85</v>
      </c>
      <c r="L216" s="5">
        <f t="shared" si="7"/>
        <v>100</v>
      </c>
      <c r="M216" s="28">
        <f t="shared" si="1"/>
        <v>2.8</v>
      </c>
      <c r="N216" s="29">
        <f t="shared" ca="1" si="2"/>
        <v>0.3</v>
      </c>
      <c r="O216" s="5">
        <v>34</v>
      </c>
      <c r="P216" s="30">
        <f t="shared" si="3"/>
        <v>0.34</v>
      </c>
      <c r="Q216" s="31">
        <v>2</v>
      </c>
      <c r="R216" s="32">
        <v>2</v>
      </c>
      <c r="S216" s="33" t="s">
        <v>39</v>
      </c>
      <c r="T216" s="32"/>
      <c r="U216" s="32">
        <v>2</v>
      </c>
      <c r="V216" s="33" t="s">
        <v>66</v>
      </c>
      <c r="W216" s="32"/>
      <c r="X216" s="32">
        <v>2</v>
      </c>
      <c r="Y216" s="33" t="s">
        <v>80</v>
      </c>
      <c r="Z216" s="32"/>
      <c r="AA216" s="32">
        <v>2</v>
      </c>
      <c r="AB216" s="34" t="s">
        <v>81</v>
      </c>
      <c r="AC216" s="6"/>
      <c r="AD216" s="6"/>
      <c r="AE216" s="7"/>
    </row>
    <row r="217" spans="1:31" ht="12.75" x14ac:dyDescent="0.2">
      <c r="A217" s="22"/>
      <c r="B217" s="39" t="s">
        <v>279</v>
      </c>
      <c r="C217" s="40" t="s">
        <v>288</v>
      </c>
      <c r="D217" s="5">
        <v>65</v>
      </c>
      <c r="E217" s="5">
        <v>143</v>
      </c>
      <c r="F217" s="5">
        <v>514</v>
      </c>
      <c r="G217" s="25">
        <v>514</v>
      </c>
      <c r="H217" s="26">
        <f ca="1">IFERROR(__xludf.DUMMYFUNCTION("(R217 * IFERROR(IF(S217&lt;&gt;"""",FILTER($G:$G,$C:$C=S217),0), 0)) + (U217 * IFERROR(IF(V217&lt;&gt;"""",FILTER($G:$G,$C:$C=V217),0), 0)) + (X217 * IFERROR(IF(Y217&lt;&gt;"""",FILTER($G:$G,$C:$C=Y217),0), 0)) + (AA217 * IFERROR(IF(AB217&lt;&gt;"""",FILTER($G:$G,$C:$C=AB217),0)"&amp;", 0))"),433)</f>
        <v>433</v>
      </c>
      <c r="I217" s="27">
        <f t="shared" ca="1" si="0"/>
        <v>81</v>
      </c>
      <c r="J217" s="5">
        <v>75</v>
      </c>
      <c r="K217" s="5">
        <v>63</v>
      </c>
      <c r="L217" s="5">
        <f t="shared" si="7"/>
        <v>75</v>
      </c>
      <c r="M217" s="28">
        <f t="shared" si="1"/>
        <v>6.85</v>
      </c>
      <c r="N217" s="29">
        <f t="shared" ca="1" si="2"/>
        <v>1.08</v>
      </c>
      <c r="O217" s="5">
        <v>70</v>
      </c>
      <c r="P217" s="30">
        <f t="shared" si="3"/>
        <v>0.93</v>
      </c>
      <c r="Q217" s="31">
        <v>2</v>
      </c>
      <c r="R217" s="32">
        <v>3</v>
      </c>
      <c r="S217" s="33" t="s">
        <v>22</v>
      </c>
      <c r="T217" s="32"/>
      <c r="U217" s="32">
        <v>2</v>
      </c>
      <c r="V217" s="33" t="s">
        <v>54</v>
      </c>
      <c r="W217" s="32"/>
      <c r="X217" s="32">
        <v>1</v>
      </c>
      <c r="Y217" s="33" t="s">
        <v>26</v>
      </c>
      <c r="Z217" s="32"/>
      <c r="AA217" s="32">
        <v>1</v>
      </c>
      <c r="AB217" s="34" t="s">
        <v>136</v>
      </c>
      <c r="AC217" s="6"/>
      <c r="AD217" s="6"/>
      <c r="AE217" s="7"/>
    </row>
    <row r="218" spans="1:31" ht="12.75" x14ac:dyDescent="0.2">
      <c r="A218" s="22"/>
      <c r="B218" s="39" t="s">
        <v>279</v>
      </c>
      <c r="C218" s="40" t="s">
        <v>289</v>
      </c>
      <c r="D218" s="5">
        <v>67</v>
      </c>
      <c r="E218" s="5">
        <v>124</v>
      </c>
      <c r="F218" s="5">
        <v>446</v>
      </c>
      <c r="G218" s="25">
        <v>446</v>
      </c>
      <c r="H218" s="26">
        <f ca="1">IFERROR(__xludf.DUMMYFUNCTION("(R218 * IFERROR(IF(S218&lt;&gt;"""",FILTER($G:$G,$C:$C=S218),0), 0)) + (U218 * IFERROR(IF(V218&lt;&gt;"""",FILTER($G:$G,$C:$C=V218),0), 0)) + (X218 * IFERROR(IF(Y218&lt;&gt;"""",FILTER($G:$G,$C:$C=Y218),0), 0)) + (AA218 * IFERROR(IF(AB218&lt;&gt;"""",FILTER($G:$G,$C:$C=AB218),0)"&amp;", 0))"),402)</f>
        <v>402</v>
      </c>
      <c r="I218" s="27">
        <f t="shared" ca="1" si="0"/>
        <v>44</v>
      </c>
      <c r="J218" s="5">
        <v>135</v>
      </c>
      <c r="K218" s="5">
        <v>114</v>
      </c>
      <c r="L218" s="5">
        <f t="shared" si="7"/>
        <v>135</v>
      </c>
      <c r="M218" s="28">
        <f t="shared" si="1"/>
        <v>3.3</v>
      </c>
      <c r="N218" s="29">
        <f t="shared" ca="1" si="2"/>
        <v>0.33</v>
      </c>
      <c r="O218" s="5">
        <v>53</v>
      </c>
      <c r="P218" s="30">
        <f t="shared" si="3"/>
        <v>0.39</v>
      </c>
      <c r="Q218" s="31" t="s">
        <v>444</v>
      </c>
      <c r="R218" s="32">
        <v>1</v>
      </c>
      <c r="S218" s="33" t="s">
        <v>112</v>
      </c>
      <c r="T218" s="32"/>
      <c r="U218" s="32">
        <v>1</v>
      </c>
      <c r="V218" s="33" t="s">
        <v>26</v>
      </c>
      <c r="W218" s="32"/>
      <c r="X218" s="32">
        <v>2</v>
      </c>
      <c r="Y218" s="33" t="s">
        <v>22</v>
      </c>
      <c r="Z218" s="33"/>
      <c r="AA218" s="33"/>
      <c r="AB218" s="34"/>
      <c r="AC218" s="6"/>
      <c r="AD218" s="6"/>
      <c r="AE218" s="6"/>
    </row>
    <row r="219" spans="1:31" ht="12.75" x14ac:dyDescent="0.2">
      <c r="A219" s="22"/>
      <c r="B219" s="39" t="s">
        <v>279</v>
      </c>
      <c r="C219" s="40" t="s">
        <v>290</v>
      </c>
      <c r="D219" s="5">
        <v>76</v>
      </c>
      <c r="E219" s="5">
        <v>121</v>
      </c>
      <c r="F219" s="5">
        <v>435</v>
      </c>
      <c r="G219" s="25">
        <v>435</v>
      </c>
      <c r="H219" s="26">
        <f ca="1">IFERROR(__xludf.DUMMYFUNCTION("(R219 * IFERROR(IF(S219&lt;&gt;"""",FILTER($G:$G,$C:$C=S219),0), 0)) + (U219 * IFERROR(IF(V219&lt;&gt;"""",FILTER($G:$G,$C:$C=V219),0), 0)) + (X219 * IFERROR(IF(Y219&lt;&gt;"""",FILTER($G:$G,$C:$C=Y219),0), 0)) + (AA219 * IFERROR(IF(AB219&lt;&gt;"""",FILTER($G:$G,$C:$C=AB219),0)"&amp;", 0))"),392)</f>
        <v>392</v>
      </c>
      <c r="I219" s="27">
        <f t="shared" ca="1" si="0"/>
        <v>43</v>
      </c>
      <c r="J219" s="5">
        <v>150</v>
      </c>
      <c r="K219" s="5">
        <v>127</v>
      </c>
      <c r="L219" s="5">
        <f t="shared" si="7"/>
        <v>150</v>
      </c>
      <c r="M219" s="28">
        <f t="shared" si="1"/>
        <v>2.9</v>
      </c>
      <c r="N219" s="29">
        <f t="shared" ca="1" si="2"/>
        <v>0.28999999999999998</v>
      </c>
      <c r="O219" s="5">
        <v>52</v>
      </c>
      <c r="P219" s="30">
        <f t="shared" si="3"/>
        <v>0.35</v>
      </c>
      <c r="Q219" s="31">
        <v>2</v>
      </c>
      <c r="R219" s="32">
        <v>3</v>
      </c>
      <c r="S219" s="33" t="s">
        <v>213</v>
      </c>
      <c r="T219" s="32"/>
      <c r="U219" s="32">
        <v>1</v>
      </c>
      <c r="V219" s="33" t="s">
        <v>71</v>
      </c>
      <c r="W219" s="32"/>
      <c r="X219" s="32">
        <v>2</v>
      </c>
      <c r="Y219" s="33" t="s">
        <v>26</v>
      </c>
      <c r="Z219" s="32"/>
      <c r="AA219" s="32">
        <v>2</v>
      </c>
      <c r="AB219" s="34" t="s">
        <v>22</v>
      </c>
      <c r="AC219" s="6"/>
      <c r="AD219" s="6"/>
      <c r="AE219" s="7"/>
    </row>
    <row r="220" spans="1:31" ht="12.75" x14ac:dyDescent="0.2">
      <c r="A220" s="22"/>
      <c r="B220" s="39" t="s">
        <v>279</v>
      </c>
      <c r="C220" s="40" t="s">
        <v>291</v>
      </c>
      <c r="D220" s="5">
        <v>92</v>
      </c>
      <c r="E220" s="5">
        <v>31</v>
      </c>
      <c r="F220" s="5">
        <v>111</v>
      </c>
      <c r="G220" s="25">
        <v>111</v>
      </c>
      <c r="H220" s="26">
        <f ca="1">IFERROR(__xludf.DUMMYFUNCTION("(R220 * IFERROR(IF(S220&lt;&gt;"""",FILTER($G:$G,$C:$C=S220),0), 0)) + (U220 * IFERROR(IF(V220&lt;&gt;"""",FILTER($G:$G,$C:$C=V220),0), 0)) + (X220 * IFERROR(IF(Y220&lt;&gt;"""",FILTER($G:$G,$C:$C=Y220),0), 0)) + (AA220 * IFERROR(IF(AB220&lt;&gt;"""",FILTER($G:$G,$C:$C=AB220),0)"&amp;", 0))"),78)</f>
        <v>78</v>
      </c>
      <c r="I220" s="27">
        <f t="shared" ca="1" si="0"/>
        <v>33</v>
      </c>
      <c r="J220" s="5">
        <v>50</v>
      </c>
      <c r="K220" s="5">
        <v>42</v>
      </c>
      <c r="L220" s="5">
        <f t="shared" si="7"/>
        <v>50</v>
      </c>
      <c r="M220" s="28">
        <f t="shared" si="1"/>
        <v>2.2200000000000002</v>
      </c>
      <c r="N220" s="29">
        <f t="shared" ca="1" si="2"/>
        <v>0.66</v>
      </c>
      <c r="O220" s="5">
        <v>13</v>
      </c>
      <c r="P220" s="30">
        <f t="shared" si="3"/>
        <v>0.26</v>
      </c>
      <c r="Q220" s="31" t="s">
        <v>502</v>
      </c>
      <c r="R220" s="32">
        <v>3</v>
      </c>
      <c r="S220" s="33" t="s">
        <v>225</v>
      </c>
      <c r="T220" s="32"/>
      <c r="U220" s="32">
        <v>2</v>
      </c>
      <c r="V220" s="33" t="s">
        <v>22</v>
      </c>
      <c r="W220" s="32"/>
      <c r="X220" s="32">
        <v>1</v>
      </c>
      <c r="Y220" s="33" t="s">
        <v>26</v>
      </c>
      <c r="Z220" s="33"/>
      <c r="AA220" s="33"/>
      <c r="AB220" s="34"/>
      <c r="AC220" s="6"/>
      <c r="AD220" s="6"/>
      <c r="AE220" s="7"/>
    </row>
    <row r="221" spans="1:31" ht="12.75" x14ac:dyDescent="0.2">
      <c r="A221" s="22"/>
      <c r="B221" s="39" t="s">
        <v>279</v>
      </c>
      <c r="C221" s="40" t="s">
        <v>292</v>
      </c>
      <c r="D221" s="5">
        <v>97</v>
      </c>
      <c r="E221" s="5">
        <v>45</v>
      </c>
      <c r="F221" s="5">
        <v>162</v>
      </c>
      <c r="G221" s="25">
        <v>162</v>
      </c>
      <c r="H221" s="26">
        <f ca="1">IFERROR(__xludf.DUMMYFUNCTION("(R221 * IFERROR(IF(S221&lt;&gt;"""",FILTER($G:$G,$C:$C=S221),0), 0)) + (U221 * IFERROR(IF(V221&lt;&gt;"""",FILTER($G:$G,$C:$C=V221),0), 0)) + (X221 * IFERROR(IF(Y221&lt;&gt;"""",FILTER($G:$G,$C:$C=Y221),0), 0)) + (AA221 * IFERROR(IF(AB221&lt;&gt;"""",FILTER($G:$G,$C:$C=AB221),0)"&amp;", 0))"),93)</f>
        <v>93</v>
      </c>
      <c r="I221" s="27">
        <f t="shared" ca="1" si="0"/>
        <v>69</v>
      </c>
      <c r="J221" s="5">
        <v>60</v>
      </c>
      <c r="K221" s="5">
        <v>51</v>
      </c>
      <c r="L221" s="5">
        <f t="shared" si="7"/>
        <v>60</v>
      </c>
      <c r="M221" s="28">
        <f t="shared" si="1"/>
        <v>2.7</v>
      </c>
      <c r="N221" s="29">
        <f t="shared" ca="1" si="2"/>
        <v>1.1499999999999999</v>
      </c>
      <c r="O221" s="5">
        <v>19</v>
      </c>
      <c r="P221" s="30">
        <f t="shared" si="3"/>
        <v>0.32</v>
      </c>
      <c r="Q221" s="31" t="s">
        <v>450</v>
      </c>
      <c r="R221" s="32">
        <v>3</v>
      </c>
      <c r="S221" s="33" t="s">
        <v>90</v>
      </c>
      <c r="T221" s="32"/>
      <c r="U221" s="32">
        <v>3</v>
      </c>
      <c r="V221" s="33" t="s">
        <v>293</v>
      </c>
      <c r="W221" s="32"/>
      <c r="X221" s="32">
        <v>3</v>
      </c>
      <c r="Y221" s="33" t="s">
        <v>22</v>
      </c>
      <c r="Z221" s="32"/>
      <c r="AA221" s="32">
        <v>2</v>
      </c>
      <c r="AB221" s="34" t="s">
        <v>399</v>
      </c>
      <c r="AC221" s="6"/>
      <c r="AD221" s="6"/>
      <c r="AE221" s="7"/>
    </row>
    <row r="222" spans="1:31" ht="12.75" x14ac:dyDescent="0.2">
      <c r="A222" s="22"/>
      <c r="B222" s="44" t="s">
        <v>279</v>
      </c>
      <c r="C222" s="45" t="s">
        <v>294</v>
      </c>
      <c r="D222" s="8">
        <v>99</v>
      </c>
      <c r="E222" s="8">
        <v>123</v>
      </c>
      <c r="F222" s="8">
        <v>442</v>
      </c>
      <c r="G222" s="37">
        <v>442</v>
      </c>
      <c r="H222" s="26">
        <f ca="1">IFERROR(__xludf.DUMMYFUNCTION("(R222 * IFERROR(IF(S222&lt;&gt;"""",FILTER($G:$G,$C:$C=S222),0), 0)) + (U222 * IFERROR(IF(V222&lt;&gt;"""",FILTER($G:$G,$C:$C=V222),0), 0)) + (X222 * IFERROR(IF(Y222&lt;&gt;"""",FILTER($G:$G,$C:$C=Y222),0), 0)) + (AA222 * IFERROR(IF(AB222&lt;&gt;"""",FILTER($G:$G,$C:$C=AB222),0)"&amp;", 0))"),408)</f>
        <v>408</v>
      </c>
      <c r="I222" s="27">
        <f t="shared" ca="1" si="0"/>
        <v>34</v>
      </c>
      <c r="J222" s="8">
        <v>45</v>
      </c>
      <c r="K222" s="8">
        <v>38</v>
      </c>
      <c r="L222" s="5">
        <f t="shared" si="7"/>
        <v>45</v>
      </c>
      <c r="M222" s="28">
        <f t="shared" si="1"/>
        <v>9.82</v>
      </c>
      <c r="N222" s="29">
        <f t="shared" ca="1" si="2"/>
        <v>0.76</v>
      </c>
      <c r="O222" s="8">
        <v>53</v>
      </c>
      <c r="P222" s="27">
        <f t="shared" si="3"/>
        <v>1.18</v>
      </c>
      <c r="Q222" s="38"/>
      <c r="R222" s="46">
        <v>4</v>
      </c>
      <c r="S222" s="34" t="s">
        <v>86</v>
      </c>
      <c r="T222" s="46"/>
      <c r="U222" s="46">
        <v>1</v>
      </c>
      <c r="V222" s="34" t="s">
        <v>35</v>
      </c>
      <c r="W222" s="46"/>
      <c r="X222" s="46">
        <v>1</v>
      </c>
      <c r="Y222" s="34" t="s">
        <v>198</v>
      </c>
      <c r="Z222" s="34"/>
      <c r="AA222" s="34"/>
      <c r="AB222" s="34"/>
      <c r="AC222" s="7"/>
      <c r="AD222" s="7"/>
      <c r="AE222" s="7"/>
    </row>
    <row r="223" spans="1:31" ht="12.75" x14ac:dyDescent="0.2">
      <c r="A223" s="22"/>
      <c r="B223" s="23" t="s">
        <v>295</v>
      </c>
      <c r="C223" s="24" t="s">
        <v>296</v>
      </c>
      <c r="D223" s="5">
        <v>8</v>
      </c>
      <c r="E223" s="5">
        <v>9</v>
      </c>
      <c r="F223" s="5">
        <v>32</v>
      </c>
      <c r="G223" s="25">
        <v>32</v>
      </c>
      <c r="H223" s="26">
        <f ca="1">IFERROR(__xludf.DUMMYFUNCTION("(R223 * IFERROR(IF(S223&lt;&gt;"""",FILTER($G:$G,$C:$C=S223),0), 0)) + (U223 * IFERROR(IF(V223&lt;&gt;"""",FILTER($G:$G,$C:$C=V223),0), 0)) + (X223 * IFERROR(IF(Y223&lt;&gt;"""",FILTER($G:$G,$C:$C=Y223),0), 0)) + (AA223 * IFERROR(IF(AB223&lt;&gt;"""",FILTER($G:$G,$C:$C=AB223),0)"&amp;", 0))"),14)</f>
        <v>14</v>
      </c>
      <c r="I223" s="27">
        <f t="shared" ca="1" si="0"/>
        <v>18</v>
      </c>
      <c r="J223" s="5">
        <v>30</v>
      </c>
      <c r="K223" s="5">
        <v>25</v>
      </c>
      <c r="L223" s="5">
        <f t="shared" si="7"/>
        <v>30</v>
      </c>
      <c r="M223" s="28">
        <f t="shared" si="1"/>
        <v>1.07</v>
      </c>
      <c r="N223" s="29">
        <f t="shared" ca="1" si="2"/>
        <v>0.6</v>
      </c>
      <c r="O223" s="5">
        <v>4</v>
      </c>
      <c r="P223" s="30">
        <f t="shared" si="3"/>
        <v>0.13</v>
      </c>
      <c r="Q223" s="31" t="s">
        <v>503</v>
      </c>
      <c r="R223" s="32">
        <v>2</v>
      </c>
      <c r="S223" s="33" t="s">
        <v>25</v>
      </c>
      <c r="T223" s="33"/>
      <c r="U223" s="33"/>
      <c r="V223" s="33"/>
      <c r="W223" s="33"/>
      <c r="X223" s="33"/>
      <c r="Y223" s="33"/>
      <c r="Z223" s="33"/>
      <c r="AA223" s="33"/>
      <c r="AB223" s="34"/>
      <c r="AC223" s="6"/>
      <c r="AD223" s="6"/>
      <c r="AE223" s="7"/>
    </row>
    <row r="224" spans="1:31" ht="12.75" x14ac:dyDescent="0.2">
      <c r="A224" s="22"/>
      <c r="B224" s="23" t="s">
        <v>295</v>
      </c>
      <c r="C224" s="24" t="s">
        <v>297</v>
      </c>
      <c r="D224" s="5">
        <v>16</v>
      </c>
      <c r="E224" s="5">
        <v>35</v>
      </c>
      <c r="F224" s="5">
        <v>126</v>
      </c>
      <c r="G224" s="25">
        <v>126</v>
      </c>
      <c r="H224" s="26">
        <f ca="1">IFERROR(__xludf.DUMMYFUNCTION("(R224 * IFERROR(IF(S224&lt;&gt;"""",FILTER($G:$G,$C:$C=S224),0), 0)) + (U224 * IFERROR(IF(V224&lt;&gt;"""",FILTER($G:$G,$C:$C=V224),0), 0)) + (X224 * IFERROR(IF(Y224&lt;&gt;"""",FILTER($G:$G,$C:$C=Y224),0), 0)) + (AA224 * IFERROR(IF(AB224&lt;&gt;"""",FILTER($G:$G,$C:$C=AB224),0)"&amp;", 0))"),96)</f>
        <v>96</v>
      </c>
      <c r="I224" s="27">
        <f t="shared" ca="1" si="0"/>
        <v>30</v>
      </c>
      <c r="J224" s="5">
        <v>60</v>
      </c>
      <c r="K224" s="5">
        <v>51</v>
      </c>
      <c r="L224" s="5">
        <f t="shared" si="7"/>
        <v>60</v>
      </c>
      <c r="M224" s="28">
        <f t="shared" si="1"/>
        <v>2.1</v>
      </c>
      <c r="N224" s="29">
        <f t="shared" ca="1" si="2"/>
        <v>0.5</v>
      </c>
      <c r="O224" s="5">
        <v>15</v>
      </c>
      <c r="P224" s="30">
        <f t="shared" si="3"/>
        <v>0.25</v>
      </c>
      <c r="Q224" s="31" t="s">
        <v>491</v>
      </c>
      <c r="R224" s="32">
        <v>2</v>
      </c>
      <c r="S224" s="33" t="s">
        <v>25</v>
      </c>
      <c r="T224" s="32"/>
      <c r="U224" s="32">
        <v>1</v>
      </c>
      <c r="V224" s="33" t="s">
        <v>41</v>
      </c>
      <c r="W224" s="33"/>
      <c r="X224" s="33"/>
      <c r="Y224" s="33"/>
      <c r="Z224" s="33"/>
      <c r="AA224" s="33"/>
      <c r="AB224" s="34"/>
      <c r="AC224" s="6"/>
      <c r="AD224" s="6"/>
      <c r="AE224" s="7"/>
    </row>
    <row r="225" spans="1:31" ht="12.75" x14ac:dyDescent="0.2">
      <c r="A225" s="22"/>
      <c r="B225" s="23" t="s">
        <v>295</v>
      </c>
      <c r="C225" s="24" t="s">
        <v>298</v>
      </c>
      <c r="D225" s="5">
        <v>25</v>
      </c>
      <c r="E225" s="5">
        <v>34</v>
      </c>
      <c r="F225" s="5">
        <v>122</v>
      </c>
      <c r="G225" s="25">
        <v>122</v>
      </c>
      <c r="H225" s="26">
        <f ca="1">IFERROR(__xludf.DUMMYFUNCTION("(R225 * IFERROR(IF(S225&lt;&gt;"""",FILTER($G:$G,$C:$C=S225),0), 0)) + (U225 * IFERROR(IF(V225&lt;&gt;"""",FILTER($G:$G,$C:$C=V225),0), 0)) + (X225 * IFERROR(IF(Y225&lt;&gt;"""",FILTER($G:$G,$C:$C=Y225),0), 0)) + (AA225 * IFERROR(IF(AB225&lt;&gt;"""",FILTER($G:$G,$C:$C=AB225),0)"&amp;", 0))"),86)</f>
        <v>86</v>
      </c>
      <c r="I225" s="27">
        <f t="shared" ca="1" si="0"/>
        <v>36</v>
      </c>
      <c r="J225" s="5">
        <v>120</v>
      </c>
      <c r="K225" s="5">
        <v>102</v>
      </c>
      <c r="L225" s="5">
        <f t="shared" si="7"/>
        <v>120</v>
      </c>
      <c r="M225" s="28">
        <f t="shared" si="1"/>
        <v>1.02</v>
      </c>
      <c r="N225" s="29">
        <f t="shared" ca="1" si="2"/>
        <v>0.3</v>
      </c>
      <c r="O225" s="5">
        <v>15</v>
      </c>
      <c r="P225" s="30">
        <f t="shared" si="3"/>
        <v>0.13</v>
      </c>
      <c r="Q225" s="31" t="s">
        <v>438</v>
      </c>
      <c r="R225" s="32">
        <v>2</v>
      </c>
      <c r="S225" s="33" t="s">
        <v>25</v>
      </c>
      <c r="T225" s="32"/>
      <c r="U225" s="32">
        <v>2</v>
      </c>
      <c r="V225" s="33" t="s">
        <v>37</v>
      </c>
      <c r="W225" s="33"/>
      <c r="X225" s="33"/>
      <c r="Y225" s="33"/>
      <c r="Z225" s="33"/>
      <c r="AA225" s="33"/>
      <c r="AB225" s="34"/>
      <c r="AC225" s="6"/>
      <c r="AD225" s="6"/>
      <c r="AE225" s="7"/>
    </row>
    <row r="226" spans="1:31" ht="12.75" x14ac:dyDescent="0.2">
      <c r="A226" s="22"/>
      <c r="B226" s="23" t="s">
        <v>295</v>
      </c>
      <c r="C226" s="24" t="s">
        <v>299</v>
      </c>
      <c r="D226" s="5">
        <v>40</v>
      </c>
      <c r="E226" s="5">
        <v>100</v>
      </c>
      <c r="F226" s="5">
        <v>360</v>
      </c>
      <c r="G226" s="25">
        <v>360</v>
      </c>
      <c r="H226" s="26">
        <f ca="1">IFERROR(__xludf.DUMMYFUNCTION("(R226 * IFERROR(IF(S226&lt;&gt;"""",FILTER($G:$G,$C:$C=S226),0), 0)) + (U226 * IFERROR(IF(V226&lt;&gt;"""",FILTER($G:$G,$C:$C=V226),0), 0)) + (X226 * IFERROR(IF(Y226&lt;&gt;"""",FILTER($G:$G,$C:$C=Y226),0), 0)) + (AA226 * IFERROR(IF(AB226&lt;&gt;"""",FILTER($G:$G,$C:$C=AB226),0)"&amp;", 0))"),322)</f>
        <v>322</v>
      </c>
      <c r="I226" s="27">
        <f t="shared" ca="1" si="0"/>
        <v>38</v>
      </c>
      <c r="J226" s="5">
        <v>90</v>
      </c>
      <c r="K226" s="5">
        <v>76</v>
      </c>
      <c r="L226" s="5">
        <f t="shared" si="7"/>
        <v>90</v>
      </c>
      <c r="M226" s="28">
        <f t="shared" si="1"/>
        <v>4</v>
      </c>
      <c r="N226" s="29">
        <f t="shared" ca="1" si="2"/>
        <v>0.42</v>
      </c>
      <c r="O226" s="5">
        <v>43</v>
      </c>
      <c r="P226" s="30">
        <f t="shared" si="3"/>
        <v>0.48</v>
      </c>
      <c r="Q226" s="31" t="s">
        <v>438</v>
      </c>
      <c r="R226" s="32">
        <v>2</v>
      </c>
      <c r="S226" s="33" t="s">
        <v>25</v>
      </c>
      <c r="T226" s="32"/>
      <c r="U226" s="32">
        <v>2</v>
      </c>
      <c r="V226" s="33" t="s">
        <v>62</v>
      </c>
      <c r="W226" s="33"/>
      <c r="X226" s="33"/>
      <c r="Y226" s="33"/>
      <c r="Z226" s="33"/>
      <c r="AA226" s="33"/>
      <c r="AB226" s="34"/>
      <c r="AC226" s="6"/>
      <c r="AD226" s="6"/>
      <c r="AE226" s="7"/>
    </row>
    <row r="227" spans="1:31" ht="12.75" x14ac:dyDescent="0.2">
      <c r="A227" s="22"/>
      <c r="B227" s="23" t="s">
        <v>295</v>
      </c>
      <c r="C227" s="24" t="s">
        <v>300</v>
      </c>
      <c r="D227" s="5">
        <v>44</v>
      </c>
      <c r="E227" s="5">
        <v>69</v>
      </c>
      <c r="F227" s="5">
        <v>248</v>
      </c>
      <c r="G227" s="25">
        <v>248</v>
      </c>
      <c r="H227" s="26">
        <f ca="1">IFERROR(__xludf.DUMMYFUNCTION("(R227 * IFERROR(IF(S227&lt;&gt;"""",FILTER($G:$G,$C:$C=S227),0), 0)) + (U227 * IFERROR(IF(V227&lt;&gt;"""",FILTER($G:$G,$C:$C=V227),0), 0)) + (X227 * IFERROR(IF(Y227&lt;&gt;"""",FILTER($G:$G,$C:$C=Y227),0), 0)) + (AA227 * IFERROR(IF(AB227&lt;&gt;"""",FILTER($G:$G,$C:$C=AB227),0)"&amp;", 0))"),186)</f>
        <v>186</v>
      </c>
      <c r="I227" s="27">
        <f t="shared" ca="1" si="0"/>
        <v>62</v>
      </c>
      <c r="J227" s="5">
        <v>150</v>
      </c>
      <c r="K227" s="5">
        <v>127</v>
      </c>
      <c r="L227" s="5">
        <f t="shared" si="7"/>
        <v>150</v>
      </c>
      <c r="M227" s="28">
        <f t="shared" si="1"/>
        <v>1.65</v>
      </c>
      <c r="N227" s="29">
        <f t="shared" ca="1" si="2"/>
        <v>0.41</v>
      </c>
      <c r="O227" s="5">
        <v>29</v>
      </c>
      <c r="P227" s="30">
        <f t="shared" si="3"/>
        <v>0.19</v>
      </c>
      <c r="Q227" s="31" t="s">
        <v>443</v>
      </c>
      <c r="R227" s="32">
        <v>2</v>
      </c>
      <c r="S227" s="33" t="s">
        <v>25</v>
      </c>
      <c r="T227" s="32"/>
      <c r="U227" s="32">
        <v>2</v>
      </c>
      <c r="V227" s="33" t="s">
        <v>54</v>
      </c>
      <c r="W227" s="33"/>
      <c r="X227" s="33"/>
      <c r="Y227" s="33"/>
      <c r="Z227" s="33"/>
      <c r="AA227" s="33"/>
      <c r="AB227" s="34"/>
      <c r="AC227" s="6"/>
      <c r="AD227" s="6"/>
      <c r="AE227" s="7"/>
    </row>
    <row r="228" spans="1:31" ht="12.75" x14ac:dyDescent="0.2">
      <c r="A228" s="22"/>
      <c r="B228" s="35" t="s">
        <v>295</v>
      </c>
      <c r="C228" s="36" t="s">
        <v>301</v>
      </c>
      <c r="D228" s="8">
        <v>64</v>
      </c>
      <c r="E228" s="8">
        <v>86</v>
      </c>
      <c r="F228" s="8">
        <v>309</v>
      </c>
      <c r="G228" s="37">
        <v>309</v>
      </c>
      <c r="H228" s="26">
        <f ca="1">IFERROR(__xludf.DUMMYFUNCTION("(R228 * IFERROR(IF(S228&lt;&gt;"""",FILTER($G:$G,$C:$C=S228),0), 0)) + (U228 * IFERROR(IF(V228&lt;&gt;"""",FILTER($G:$G,$C:$C=V228),0), 0)) + (X228 * IFERROR(IF(Y228&lt;&gt;"""",FILTER($G:$G,$C:$C=Y228),0), 0)) + (AA228 * IFERROR(IF(AB228&lt;&gt;"""",FILTER($G:$G,$C:$C=AB228),0)"&amp;", 0))"),266)</f>
        <v>266</v>
      </c>
      <c r="I228" s="27">
        <f t="shared" ca="1" si="0"/>
        <v>43</v>
      </c>
      <c r="J228" s="8">
        <v>45</v>
      </c>
      <c r="K228" s="8">
        <v>38</v>
      </c>
      <c r="L228" s="5">
        <f t="shared" si="7"/>
        <v>45</v>
      </c>
      <c r="M228" s="28">
        <f t="shared" si="1"/>
        <v>6.87</v>
      </c>
      <c r="N228" s="29">
        <f t="shared" ca="1" si="2"/>
        <v>0.96</v>
      </c>
      <c r="O228" s="8">
        <v>50</v>
      </c>
      <c r="P228" s="27">
        <f t="shared" si="3"/>
        <v>1.1100000000000001</v>
      </c>
      <c r="Q228" s="38">
        <v>6</v>
      </c>
      <c r="R228" s="46">
        <v>2</v>
      </c>
      <c r="S228" s="34" t="s">
        <v>25</v>
      </c>
      <c r="T228" s="46"/>
      <c r="U228" s="46">
        <v>1</v>
      </c>
      <c r="V228" s="34" t="s">
        <v>91</v>
      </c>
      <c r="W228" s="46"/>
      <c r="X228" s="46">
        <v>1</v>
      </c>
      <c r="Y228" s="34" t="s">
        <v>136</v>
      </c>
      <c r="Z228" s="34"/>
      <c r="AA228" s="34"/>
      <c r="AB228" s="34"/>
      <c r="AC228" s="7"/>
      <c r="AD228" s="7"/>
      <c r="AE228" s="7"/>
    </row>
    <row r="229" spans="1:31" ht="12.75" x14ac:dyDescent="0.2">
      <c r="A229" s="22"/>
      <c r="B229" s="39" t="s">
        <v>302</v>
      </c>
      <c r="C229" s="57" t="s">
        <v>303</v>
      </c>
      <c r="D229" s="5">
        <v>94</v>
      </c>
      <c r="E229" s="5">
        <v>61</v>
      </c>
      <c r="F229" s="5">
        <v>219</v>
      </c>
      <c r="G229" s="25">
        <v>219</v>
      </c>
      <c r="H229" s="26">
        <f ca="1">IFERROR(__xludf.DUMMYFUNCTION("(R229 * IFERROR(IF(S229&lt;&gt;"""",FILTER($G:$G,$C:$C=S229),0), 0)) + (U229 * IFERROR(IF(V229&lt;&gt;"""",FILTER($G:$G,$C:$C=V229),0), 0)) + (X229 * IFERROR(IF(Y229&lt;&gt;"""",FILTER($G:$G,$C:$C=Y229),0), 0)) + (AA229 * IFERROR(IF(AB229&lt;&gt;"""",FILTER($G:$G,$C:$C=AB229),0)"&amp;", 0))"),139)</f>
        <v>139</v>
      </c>
      <c r="I229" s="27">
        <f t="shared" ca="1" si="0"/>
        <v>80</v>
      </c>
      <c r="J229" s="5">
        <v>220</v>
      </c>
      <c r="K229" s="5">
        <v>187</v>
      </c>
      <c r="L229" s="5">
        <f t="shared" si="7"/>
        <v>220</v>
      </c>
      <c r="M229" s="28">
        <f t="shared" si="1"/>
        <v>1</v>
      </c>
      <c r="N229" s="29">
        <f t="shared" ca="1" si="2"/>
        <v>0.36</v>
      </c>
      <c r="O229" s="5">
        <v>26</v>
      </c>
      <c r="P229" s="30">
        <f t="shared" si="3"/>
        <v>0.12</v>
      </c>
      <c r="Q229" s="31">
        <v>2</v>
      </c>
      <c r="R229" s="32">
        <v>3</v>
      </c>
      <c r="S229" s="33" t="s">
        <v>305</v>
      </c>
      <c r="T229" s="32"/>
      <c r="U229" s="32">
        <v>1</v>
      </c>
      <c r="V229" s="33" t="s">
        <v>60</v>
      </c>
      <c r="W229" s="32"/>
      <c r="X229" s="32">
        <v>1</v>
      </c>
      <c r="Y229" s="33" t="s">
        <v>108</v>
      </c>
      <c r="Z229" s="33"/>
      <c r="AA229" s="33"/>
      <c r="AB229" s="34"/>
      <c r="AC229" s="6"/>
      <c r="AD229" s="6"/>
      <c r="AE229" s="7"/>
    </row>
    <row r="230" spans="1:31" ht="12.75" x14ac:dyDescent="0.2">
      <c r="A230" s="22"/>
      <c r="B230" s="39" t="s">
        <v>302</v>
      </c>
      <c r="C230" s="40" t="s">
        <v>306</v>
      </c>
      <c r="D230" s="5">
        <v>96</v>
      </c>
      <c r="E230" s="5">
        <v>42</v>
      </c>
      <c r="F230" s="5">
        <v>151</v>
      </c>
      <c r="G230" s="25">
        <v>151</v>
      </c>
      <c r="H230" s="26">
        <f ca="1">IFERROR(__xludf.DUMMYFUNCTION("(R230 * IFERROR(IF(S230&lt;&gt;"""",FILTER($G:$G,$C:$C=S230),0), 0)) + (U230 * IFERROR(IF(V230&lt;&gt;"""",FILTER($G:$G,$C:$C=V230),0), 0)) + (X230 * IFERROR(IF(Y230&lt;&gt;"""",FILTER($G:$G,$C:$C=Y230),0), 0)) + (AA230 * IFERROR(IF(AB230&lt;&gt;"""",FILTER($G:$G,$C:$C=AB230),0)"&amp;", 0))"),75)</f>
        <v>75</v>
      </c>
      <c r="I230" s="27">
        <f t="shared" ca="1" si="0"/>
        <v>76</v>
      </c>
      <c r="J230" s="5">
        <v>220</v>
      </c>
      <c r="K230" s="5">
        <v>191</v>
      </c>
      <c r="L230" s="5">
        <f t="shared" si="7"/>
        <v>220</v>
      </c>
      <c r="M230" s="28">
        <f t="shared" si="1"/>
        <v>0.69</v>
      </c>
      <c r="N230" s="29">
        <f t="shared" ca="1" si="2"/>
        <v>0.35</v>
      </c>
      <c r="O230" s="5">
        <v>26</v>
      </c>
      <c r="P230" s="30">
        <f t="shared" si="3"/>
        <v>0.12</v>
      </c>
      <c r="Q230" s="31">
        <v>4</v>
      </c>
      <c r="R230" s="32">
        <v>3</v>
      </c>
      <c r="S230" s="33" t="s">
        <v>305</v>
      </c>
      <c r="T230" s="32"/>
      <c r="U230" s="32">
        <v>1</v>
      </c>
      <c r="V230" s="33" t="s">
        <v>126</v>
      </c>
      <c r="W230" s="33"/>
      <c r="X230" s="33"/>
      <c r="Y230" s="33"/>
      <c r="Z230" s="33"/>
      <c r="AA230" s="33"/>
      <c r="AB230" s="34"/>
      <c r="AC230" s="6"/>
      <c r="AD230" s="6"/>
      <c r="AE230" s="7"/>
    </row>
    <row r="231" spans="1:31" ht="12.75" x14ac:dyDescent="0.2">
      <c r="A231" s="22"/>
      <c r="B231" s="44" t="s">
        <v>302</v>
      </c>
      <c r="C231" s="45" t="s">
        <v>307</v>
      </c>
      <c r="D231" s="8">
        <v>99</v>
      </c>
      <c r="E231" s="8">
        <v>59</v>
      </c>
      <c r="F231" s="8">
        <v>212</v>
      </c>
      <c r="G231" s="37">
        <v>212</v>
      </c>
      <c r="H231" s="26">
        <f ca="1">IFERROR(__xludf.DUMMYFUNCTION("(R231 * IFERROR(IF(S231&lt;&gt;"""",FILTER($G:$G,$C:$C=S231),0), 0)) + (U231 * IFERROR(IF(V231&lt;&gt;"""",FILTER($G:$G,$C:$C=V231),0), 0)) + (X231 * IFERROR(IF(Y231&lt;&gt;"""",FILTER($G:$G,$C:$C=Y231),0), 0)) + (AA231 * IFERROR(IF(AB231&lt;&gt;"""",FILTER($G:$G,$C:$C=AB231),0)"&amp;", 0))"),140)</f>
        <v>140</v>
      </c>
      <c r="I231" s="27">
        <f t="shared" ca="1" si="0"/>
        <v>72</v>
      </c>
      <c r="J231" s="8">
        <v>140</v>
      </c>
      <c r="K231" s="8">
        <v>119</v>
      </c>
      <c r="L231" s="5">
        <f t="shared" si="7"/>
        <v>140</v>
      </c>
      <c r="M231" s="28">
        <f t="shared" si="1"/>
        <v>1.51</v>
      </c>
      <c r="N231" s="29">
        <f t="shared" ca="1" si="2"/>
        <v>0.51</v>
      </c>
      <c r="O231" s="8">
        <v>25</v>
      </c>
      <c r="P231" s="27">
        <f t="shared" si="3"/>
        <v>0.18</v>
      </c>
      <c r="Q231" s="38"/>
      <c r="R231" s="46">
        <v>3</v>
      </c>
      <c r="S231" s="34" t="s">
        <v>305</v>
      </c>
      <c r="T231" s="46"/>
      <c r="U231" s="46">
        <v>2</v>
      </c>
      <c r="V231" s="34" t="s">
        <v>124</v>
      </c>
      <c r="W231" s="46"/>
      <c r="X231" s="46">
        <v>1</v>
      </c>
      <c r="Y231" s="34" t="s">
        <v>125</v>
      </c>
      <c r="Z231" s="34"/>
      <c r="AA231" s="34"/>
      <c r="AB231" s="34"/>
      <c r="AC231" s="7"/>
      <c r="AD231" s="7"/>
      <c r="AE231" s="7"/>
    </row>
    <row r="232" spans="1:31" ht="12.75" x14ac:dyDescent="0.2">
      <c r="A232" s="22"/>
      <c r="B232" s="23" t="s">
        <v>308</v>
      </c>
      <c r="C232" s="24" t="s">
        <v>309</v>
      </c>
      <c r="D232" s="5">
        <v>91</v>
      </c>
      <c r="E232" s="5">
        <v>75</v>
      </c>
      <c r="F232" s="5">
        <v>270</v>
      </c>
      <c r="G232" s="25">
        <v>270</v>
      </c>
      <c r="H232" s="26">
        <f ca="1">IFERROR(__xludf.DUMMYFUNCTION("(R232 * IFERROR(IF(S232&lt;&gt;"""",FILTER($G:$G,$C:$C=S232),0), 0)) + (U232 * IFERROR(IF(V232&lt;&gt;"""",FILTER($G:$G,$C:$C=V232),0), 0)) + (X232 * IFERROR(IF(Y232&lt;&gt;"""",FILTER($G:$G,$C:$C=Y232),0), 0)) + (AA232 * IFERROR(IF(AB232&lt;&gt;"""",FILTER($G:$G,$C:$C=AB232),0)"&amp;", 0))"),213)</f>
        <v>213</v>
      </c>
      <c r="I232" s="27">
        <f t="shared" ca="1" si="0"/>
        <v>57</v>
      </c>
      <c r="J232" s="5">
        <v>240</v>
      </c>
      <c r="K232" s="5">
        <v>225</v>
      </c>
      <c r="L232" s="5">
        <f t="shared" si="7"/>
        <v>240</v>
      </c>
      <c r="M232" s="28">
        <f t="shared" si="1"/>
        <v>1.1299999999999999</v>
      </c>
      <c r="N232" s="29">
        <f t="shared" ca="1" si="2"/>
        <v>0.24</v>
      </c>
      <c r="O232" s="5">
        <v>32</v>
      </c>
      <c r="P232" s="30">
        <f t="shared" si="3"/>
        <v>0.13</v>
      </c>
      <c r="Q232" s="31">
        <v>2</v>
      </c>
      <c r="R232" s="32">
        <v>3</v>
      </c>
      <c r="S232" s="33" t="s">
        <v>310</v>
      </c>
      <c r="T232" s="32"/>
      <c r="U232" s="32">
        <v>2</v>
      </c>
      <c r="V232" s="33" t="s">
        <v>77</v>
      </c>
      <c r="W232" s="32"/>
      <c r="X232" s="32">
        <v>1</v>
      </c>
      <c r="Y232" s="33" t="s">
        <v>58</v>
      </c>
      <c r="Z232" s="33"/>
      <c r="AA232" s="33"/>
      <c r="AB232" s="34"/>
      <c r="AC232" s="6"/>
      <c r="AD232" s="6"/>
      <c r="AE232" s="7"/>
    </row>
    <row r="233" spans="1:31" ht="12.75" x14ac:dyDescent="0.2">
      <c r="A233" s="22"/>
      <c r="B233" s="23" t="s">
        <v>308</v>
      </c>
      <c r="C233" s="24" t="s">
        <v>311</v>
      </c>
      <c r="D233" s="5">
        <v>95</v>
      </c>
      <c r="E233" s="5">
        <v>131</v>
      </c>
      <c r="F233" s="5">
        <v>471</v>
      </c>
      <c r="G233" s="25">
        <v>471</v>
      </c>
      <c r="H233" s="26">
        <f ca="1">IFERROR(__xludf.DUMMYFUNCTION("(R233 * IFERROR(IF(S233&lt;&gt;"""",FILTER($G:$G,$C:$C=S233),0), 0)) + (U233 * IFERROR(IF(V233&lt;&gt;"""",FILTER($G:$G,$C:$C=V233),0), 0)) + (X233 * IFERROR(IF(Y233&lt;&gt;"""",FILTER($G:$G,$C:$C=Y233),0), 0)) + (AA233 * IFERROR(IF(AB233&lt;&gt;"""",FILTER($G:$G,$C:$C=AB233),0)"&amp;", 0))"),421)</f>
        <v>421</v>
      </c>
      <c r="I233" s="27">
        <f t="shared" ca="1" si="0"/>
        <v>50</v>
      </c>
      <c r="J233" s="5">
        <v>220</v>
      </c>
      <c r="K233" s="5">
        <v>187</v>
      </c>
      <c r="L233" s="5">
        <f t="shared" si="7"/>
        <v>220</v>
      </c>
      <c r="M233" s="28">
        <f t="shared" si="1"/>
        <v>2.14</v>
      </c>
      <c r="N233" s="29">
        <f t="shared" ca="1" si="2"/>
        <v>0.23</v>
      </c>
      <c r="O233" s="5">
        <v>56</v>
      </c>
      <c r="P233" s="30">
        <f t="shared" si="3"/>
        <v>0.25</v>
      </c>
      <c r="Q233" s="31">
        <v>1</v>
      </c>
      <c r="R233" s="32">
        <v>2</v>
      </c>
      <c r="S233" s="33" t="s">
        <v>43</v>
      </c>
      <c r="T233" s="32"/>
      <c r="U233" s="32">
        <v>1</v>
      </c>
      <c r="V233" s="33" t="s">
        <v>37</v>
      </c>
      <c r="W233" s="32"/>
      <c r="X233" s="32">
        <v>1</v>
      </c>
      <c r="Y233" s="33" t="s">
        <v>57</v>
      </c>
      <c r="Z233" s="33"/>
      <c r="AA233" s="33"/>
      <c r="AB233" s="34"/>
      <c r="AC233" s="6"/>
      <c r="AD233" s="6"/>
      <c r="AE233" s="7"/>
    </row>
    <row r="234" spans="1:31" ht="12.75" x14ac:dyDescent="0.2">
      <c r="A234" s="22"/>
      <c r="B234" s="23" t="s">
        <v>308</v>
      </c>
      <c r="C234" s="24" t="s">
        <v>312</v>
      </c>
      <c r="D234" s="5">
        <v>98</v>
      </c>
      <c r="E234" s="5">
        <v>61</v>
      </c>
      <c r="F234" s="5">
        <v>219</v>
      </c>
      <c r="G234" s="25">
        <v>219</v>
      </c>
      <c r="H234" s="26">
        <f ca="1">IFERROR(__xludf.DUMMYFUNCTION("(R234 * IFERROR(IF(S234&lt;&gt;"""",FILTER($G:$G,$C:$C=S234),0), 0)) + (U234 * IFERROR(IF(V234&lt;&gt;"""",FILTER($G:$G,$C:$C=V234),0), 0)) + (X234 * IFERROR(IF(Y234&lt;&gt;"""",FILTER($G:$G,$C:$C=Y234),0), 0)) + (AA234 * IFERROR(IF(AB234&lt;&gt;"""",FILTER($G:$G,$C:$C=AB234),0)"&amp;", 0))"),168)</f>
        <v>168</v>
      </c>
      <c r="I234" s="27">
        <f t="shared" ca="1" si="0"/>
        <v>51</v>
      </c>
      <c r="J234" s="5">
        <v>300</v>
      </c>
      <c r="K234" s="5">
        <v>255</v>
      </c>
      <c r="L234" s="5">
        <f t="shared" si="7"/>
        <v>300</v>
      </c>
      <c r="M234" s="28">
        <f t="shared" si="1"/>
        <v>0.73</v>
      </c>
      <c r="N234" s="29">
        <f t="shared" ca="1" si="2"/>
        <v>0.17</v>
      </c>
      <c r="O234" s="5">
        <v>26</v>
      </c>
      <c r="P234" s="30">
        <f t="shared" si="3"/>
        <v>0.09</v>
      </c>
      <c r="Q234" s="31" t="s">
        <v>446</v>
      </c>
      <c r="R234" s="32">
        <v>5</v>
      </c>
      <c r="S234" s="33" t="s">
        <v>293</v>
      </c>
      <c r="T234" s="32"/>
      <c r="U234" s="32">
        <v>1</v>
      </c>
      <c r="V234" s="33" t="s">
        <v>46</v>
      </c>
      <c r="W234" s="32"/>
      <c r="X234" s="32">
        <v>1</v>
      </c>
      <c r="Y234" s="33" t="s">
        <v>37</v>
      </c>
      <c r="Z234" s="32"/>
      <c r="AA234" s="32">
        <v>1</v>
      </c>
      <c r="AB234" s="34" t="s">
        <v>75</v>
      </c>
      <c r="AC234" s="6"/>
      <c r="AD234" s="6"/>
      <c r="AE234" s="7"/>
    </row>
    <row r="235" spans="1:31" ht="12.75" x14ac:dyDescent="0.2">
      <c r="A235" s="22"/>
      <c r="B235" s="35" t="s">
        <v>308</v>
      </c>
      <c r="C235" s="36" t="s">
        <v>313</v>
      </c>
      <c r="D235" s="8">
        <v>102</v>
      </c>
      <c r="E235" s="8">
        <v>74</v>
      </c>
      <c r="F235" s="8">
        <v>266</v>
      </c>
      <c r="G235" s="37">
        <v>266</v>
      </c>
      <c r="H235" s="26">
        <f ca="1">IFERROR(__xludf.DUMMYFUNCTION("(R235 * IFERROR(IF(S235&lt;&gt;"""",FILTER($G:$G,$C:$C=S235),0), 0)) + (U235 * IFERROR(IF(V235&lt;&gt;"""",FILTER($G:$G,$C:$C=V235),0), 0)) + (X235 * IFERROR(IF(Y235&lt;&gt;"""",FILTER($G:$G,$C:$C=Y235),0), 0)) + (AA235 * IFERROR(IF(AB235&lt;&gt;"""",FILTER($G:$G,$C:$C=AB235),0)"&amp;", 0))"),179)</f>
        <v>179</v>
      </c>
      <c r="I235" s="27">
        <f t="shared" ca="1" si="0"/>
        <v>87</v>
      </c>
      <c r="J235" s="8">
        <v>180</v>
      </c>
      <c r="K235" s="8">
        <v>153</v>
      </c>
      <c r="L235" s="5">
        <f t="shared" si="7"/>
        <v>180</v>
      </c>
      <c r="M235" s="28">
        <f t="shared" si="1"/>
        <v>1.48</v>
      </c>
      <c r="N235" s="29">
        <f t="shared" ca="1" si="2"/>
        <v>0.48</v>
      </c>
      <c r="O235" s="8">
        <v>32</v>
      </c>
      <c r="P235" s="27">
        <f t="shared" si="3"/>
        <v>0.18</v>
      </c>
      <c r="Q235" s="38">
        <v>2</v>
      </c>
      <c r="R235" s="46">
        <v>1</v>
      </c>
      <c r="S235" s="34" t="s">
        <v>49</v>
      </c>
      <c r="T235" s="46"/>
      <c r="U235" s="46">
        <v>1</v>
      </c>
      <c r="V235" s="34" t="s">
        <v>504</v>
      </c>
      <c r="W235" s="46"/>
      <c r="X235" s="46">
        <v>1</v>
      </c>
      <c r="Y235" s="34" t="s">
        <v>100</v>
      </c>
      <c r="Z235" s="46"/>
      <c r="AA235" s="46">
        <v>1</v>
      </c>
      <c r="AB235" s="34" t="s">
        <v>114</v>
      </c>
      <c r="AC235" s="7"/>
      <c r="AD235" s="7"/>
      <c r="AE235" s="7"/>
    </row>
    <row r="236" spans="1:31" ht="12.75" x14ac:dyDescent="0.2">
      <c r="A236" s="22"/>
      <c r="B236" s="39" t="s">
        <v>314</v>
      </c>
      <c r="C236" s="40" t="s">
        <v>315</v>
      </c>
      <c r="D236" s="5">
        <v>58</v>
      </c>
      <c r="E236" s="5">
        <v>207</v>
      </c>
      <c r="F236" s="5">
        <v>745</v>
      </c>
      <c r="G236" s="25">
        <v>745</v>
      </c>
      <c r="H236" s="26">
        <f ca="1">IFERROR(__xludf.DUMMYFUNCTION("(R236 * IFERROR(IF(S236&lt;&gt;"""",FILTER($G:$G,$C:$C=S236),0), 0)) + (U236 * IFERROR(IF(V236&lt;&gt;"""",FILTER($G:$G,$C:$C=V236),0), 0)) + (X236 * IFERROR(IF(Y236&lt;&gt;"""",FILTER($G:$G,$C:$C=Y236),0), 0)) + (AA236 * IFERROR(IF(AB236&lt;&gt;"""",FILTER($G:$G,$C:$C=AB236),0)"&amp;", 0))"),702)</f>
        <v>702</v>
      </c>
      <c r="I236" s="27">
        <f t="shared" ca="1" si="0"/>
        <v>43</v>
      </c>
      <c r="J236" s="5">
        <v>90</v>
      </c>
      <c r="K236" s="5">
        <v>76</v>
      </c>
      <c r="L236" s="5">
        <f t="shared" si="7"/>
        <v>90</v>
      </c>
      <c r="M236" s="28">
        <f t="shared" si="1"/>
        <v>8.2799999999999994</v>
      </c>
      <c r="N236" s="29">
        <f t="shared" ca="1" si="2"/>
        <v>0.48</v>
      </c>
      <c r="O236" s="5">
        <v>89</v>
      </c>
      <c r="P236" s="30">
        <f t="shared" si="3"/>
        <v>0.99</v>
      </c>
      <c r="Q236" s="31">
        <v>1</v>
      </c>
      <c r="R236" s="32">
        <v>3</v>
      </c>
      <c r="S236" s="33" t="s">
        <v>200</v>
      </c>
      <c r="T236" s="32"/>
      <c r="U236" s="32">
        <v>1</v>
      </c>
      <c r="V236" s="33" t="s">
        <v>69</v>
      </c>
      <c r="W236" s="32"/>
      <c r="X236" s="32">
        <v>2</v>
      </c>
      <c r="Y236" s="33" t="s">
        <v>103</v>
      </c>
      <c r="Z236" s="32"/>
      <c r="AA236" s="32">
        <v>2</v>
      </c>
      <c r="AB236" s="34" t="s">
        <v>316</v>
      </c>
      <c r="AC236" s="6"/>
      <c r="AD236" s="6"/>
      <c r="AE236" s="7"/>
    </row>
    <row r="237" spans="1:31" ht="12.75" x14ac:dyDescent="0.2">
      <c r="A237" s="22"/>
      <c r="B237" s="39" t="s">
        <v>314</v>
      </c>
      <c r="C237" s="40" t="s">
        <v>317</v>
      </c>
      <c r="D237" s="5">
        <v>62</v>
      </c>
      <c r="E237" s="5">
        <v>201</v>
      </c>
      <c r="F237" s="5">
        <v>723</v>
      </c>
      <c r="G237" s="25">
        <v>723</v>
      </c>
      <c r="H237" s="26">
        <f ca="1">IFERROR(__xludf.DUMMYFUNCTION("(R237 * IFERROR(IF(S237&lt;&gt;"""",FILTER($G:$G,$C:$C=S237),0), 0)) + (U237 * IFERROR(IF(V237&lt;&gt;"""",FILTER($G:$G,$C:$C=V237),0), 0)) + (X237 * IFERROR(IF(Y237&lt;&gt;"""",FILTER($G:$G,$C:$C=Y237),0), 0)) + (AA237 * IFERROR(IF(AB237&lt;&gt;"""",FILTER($G:$G,$C:$C=AB237),0)"&amp;", 0))"),681)</f>
        <v>681</v>
      </c>
      <c r="I237" s="27">
        <f t="shared" ca="1" si="0"/>
        <v>42</v>
      </c>
      <c r="J237" s="5">
        <v>105</v>
      </c>
      <c r="K237" s="5">
        <v>89</v>
      </c>
      <c r="L237" s="5">
        <f t="shared" si="7"/>
        <v>105</v>
      </c>
      <c r="M237" s="28">
        <f t="shared" si="1"/>
        <v>6.89</v>
      </c>
      <c r="N237" s="29">
        <f t="shared" ca="1" si="2"/>
        <v>0.4</v>
      </c>
      <c r="O237" s="5">
        <v>86</v>
      </c>
      <c r="P237" s="30">
        <f t="shared" si="3"/>
        <v>0.82</v>
      </c>
      <c r="Q237" s="31">
        <v>1</v>
      </c>
      <c r="R237" s="32">
        <v>3</v>
      </c>
      <c r="S237" s="33" t="s">
        <v>200</v>
      </c>
      <c r="T237" s="32"/>
      <c r="U237" s="32">
        <v>1</v>
      </c>
      <c r="V237" s="33" t="s">
        <v>69</v>
      </c>
      <c r="W237" s="32"/>
      <c r="X237" s="32">
        <v>2</v>
      </c>
      <c r="Y237" s="33" t="s">
        <v>66</v>
      </c>
      <c r="Z237" s="32"/>
      <c r="AA237" s="32">
        <v>1</v>
      </c>
      <c r="AB237" s="34" t="s">
        <v>318</v>
      </c>
      <c r="AC237" s="6"/>
      <c r="AD237" s="6"/>
      <c r="AE237" s="7"/>
    </row>
    <row r="238" spans="1:31" ht="12.75" x14ac:dyDescent="0.2">
      <c r="A238" s="22"/>
      <c r="B238" s="39" t="s">
        <v>314</v>
      </c>
      <c r="C238" s="40" t="s">
        <v>319</v>
      </c>
      <c r="D238" s="5">
        <v>64</v>
      </c>
      <c r="E238" s="5">
        <v>212</v>
      </c>
      <c r="F238" s="5">
        <v>763</v>
      </c>
      <c r="G238" s="25">
        <v>763</v>
      </c>
      <c r="H238" s="26">
        <f ca="1">IFERROR(__xludf.DUMMYFUNCTION("(R238 * IFERROR(IF(S238&lt;&gt;"""",FILTER($G:$G,$C:$C=S238),0), 0)) + (U238 * IFERROR(IF(V238&lt;&gt;"""",FILTER($G:$G,$C:$C=V238),0), 0)) + (X238 * IFERROR(IF(Y238&lt;&gt;"""",FILTER($G:$G,$C:$C=Y238),0), 0)) + (AA238 * IFERROR(IF(AB238&lt;&gt;"""",FILTER($G:$G,$C:$C=AB238),0)"&amp;", 0))"),718)</f>
        <v>718</v>
      </c>
      <c r="I238" s="27">
        <f t="shared" ca="1" si="0"/>
        <v>45</v>
      </c>
      <c r="J238" s="5">
        <v>120</v>
      </c>
      <c r="K238" s="5">
        <v>102</v>
      </c>
      <c r="L238" s="5">
        <f t="shared" si="7"/>
        <v>120</v>
      </c>
      <c r="M238" s="28">
        <f t="shared" si="1"/>
        <v>6.36</v>
      </c>
      <c r="N238" s="29">
        <f t="shared" ca="1" si="2"/>
        <v>0.38</v>
      </c>
      <c r="O238" s="5">
        <v>91</v>
      </c>
      <c r="P238" s="30">
        <f t="shared" si="3"/>
        <v>0.76</v>
      </c>
      <c r="Q238" s="31">
        <v>1</v>
      </c>
      <c r="R238" s="32">
        <v>3</v>
      </c>
      <c r="S238" s="33" t="s">
        <v>200</v>
      </c>
      <c r="T238" s="32"/>
      <c r="U238" s="32">
        <v>1</v>
      </c>
      <c r="V238" s="33" t="s">
        <v>43</v>
      </c>
      <c r="W238" s="32"/>
      <c r="X238" s="32">
        <v>1</v>
      </c>
      <c r="Y238" s="33" t="s">
        <v>44</v>
      </c>
      <c r="Z238" s="32"/>
      <c r="AA238" s="32">
        <v>1</v>
      </c>
      <c r="AB238" s="34" t="s">
        <v>318</v>
      </c>
      <c r="AC238" s="6"/>
      <c r="AD238" s="6"/>
      <c r="AE238" s="7"/>
    </row>
    <row r="239" spans="1:31" ht="12.75" x14ac:dyDescent="0.2">
      <c r="A239" s="22"/>
      <c r="B239" s="39" t="s">
        <v>314</v>
      </c>
      <c r="C239" s="40" t="s">
        <v>320</v>
      </c>
      <c r="D239" s="5">
        <v>67</v>
      </c>
      <c r="E239" s="5">
        <v>211</v>
      </c>
      <c r="F239" s="5">
        <v>759</v>
      </c>
      <c r="G239" s="25">
        <v>759</v>
      </c>
      <c r="H239" s="26">
        <f ca="1">IFERROR(__xludf.DUMMYFUNCTION("(R239 * IFERROR(IF(S239&lt;&gt;"""",FILTER($G:$G,$C:$C=S239),0), 0)) + (U239 * IFERROR(IF(V239&lt;&gt;"""",FILTER($G:$G,$C:$C=V239),0), 0)) + (X239 * IFERROR(IF(Y239&lt;&gt;"""",FILTER($G:$G,$C:$C=Y239),0), 0)) + (AA239 * IFERROR(IF(AB239&lt;&gt;"""",FILTER($G:$G,$C:$C=AB239),0)"&amp;", 0))"),721)</f>
        <v>721</v>
      </c>
      <c r="I239" s="27">
        <f t="shared" ca="1" si="0"/>
        <v>38</v>
      </c>
      <c r="J239" s="5">
        <v>150</v>
      </c>
      <c r="K239" s="5">
        <v>127</v>
      </c>
      <c r="L239" s="5">
        <f t="shared" si="7"/>
        <v>150</v>
      </c>
      <c r="M239" s="28">
        <f t="shared" si="1"/>
        <v>5.0599999999999996</v>
      </c>
      <c r="N239" s="29">
        <f t="shared" ca="1" si="2"/>
        <v>0.25</v>
      </c>
      <c r="O239" s="5">
        <v>90</v>
      </c>
      <c r="P239" s="30">
        <f t="shared" si="3"/>
        <v>0.6</v>
      </c>
      <c r="Q239" s="31">
        <v>1</v>
      </c>
      <c r="R239" s="32">
        <v>4</v>
      </c>
      <c r="S239" s="33" t="s">
        <v>271</v>
      </c>
      <c r="T239" s="32"/>
      <c r="U239" s="32">
        <v>2</v>
      </c>
      <c r="V239" s="33" t="s">
        <v>58</v>
      </c>
      <c r="W239" s="32"/>
      <c r="X239" s="32">
        <v>1</v>
      </c>
      <c r="Y239" s="33" t="s">
        <v>57</v>
      </c>
      <c r="Z239" s="32"/>
      <c r="AA239" s="32">
        <v>2</v>
      </c>
      <c r="AB239" s="34" t="s">
        <v>34</v>
      </c>
      <c r="AC239" s="6"/>
      <c r="AD239" s="6"/>
      <c r="AE239" s="7"/>
    </row>
    <row r="240" spans="1:31" ht="12.75" x14ac:dyDescent="0.2">
      <c r="A240" s="22"/>
      <c r="B240" s="39" t="s">
        <v>314</v>
      </c>
      <c r="C240" s="40" t="s">
        <v>321</v>
      </c>
      <c r="D240" s="5">
        <v>74</v>
      </c>
      <c r="E240" s="5">
        <v>74</v>
      </c>
      <c r="F240" s="5">
        <v>266</v>
      </c>
      <c r="G240" s="25">
        <v>266</v>
      </c>
      <c r="H240" s="26">
        <f ca="1">IFERROR(__xludf.DUMMYFUNCTION("(R240 * IFERROR(IF(S240&lt;&gt;"""",FILTER($G:$G,$C:$C=S240),0), 0)) + (U240 * IFERROR(IF(V240&lt;&gt;"""",FILTER($G:$G,$C:$C=V240),0), 0)) + (X240 * IFERROR(IF(Y240&lt;&gt;"""",FILTER($G:$G,$C:$C=Y240),0), 0)) + (AA240 * IFERROR(IF(AB240&lt;&gt;"""",FILTER($G:$G,$C:$C=AB240),0)"&amp;", 0))"),222)</f>
        <v>222</v>
      </c>
      <c r="I240" s="27">
        <f t="shared" ca="1" si="0"/>
        <v>44</v>
      </c>
      <c r="J240" s="5">
        <v>120</v>
      </c>
      <c r="K240" s="5">
        <v>102</v>
      </c>
      <c r="L240" s="5">
        <f t="shared" si="7"/>
        <v>120</v>
      </c>
      <c r="M240" s="28">
        <f t="shared" si="1"/>
        <v>2.2200000000000002</v>
      </c>
      <c r="N240" s="29">
        <f t="shared" ca="1" si="2"/>
        <v>0.37</v>
      </c>
      <c r="O240" s="5">
        <v>32</v>
      </c>
      <c r="P240" s="30">
        <f t="shared" si="3"/>
        <v>0.27</v>
      </c>
      <c r="Q240" s="31">
        <v>2</v>
      </c>
      <c r="R240" s="32">
        <v>2</v>
      </c>
      <c r="S240" s="33" t="s">
        <v>83</v>
      </c>
      <c r="T240" s="32"/>
      <c r="U240" s="32">
        <v>2</v>
      </c>
      <c r="V240" s="33" t="s">
        <v>80</v>
      </c>
      <c r="W240" s="32"/>
      <c r="X240" s="32">
        <v>2</v>
      </c>
      <c r="Y240" s="33" t="s">
        <v>34</v>
      </c>
      <c r="Z240" s="32"/>
      <c r="AA240" s="32">
        <v>1</v>
      </c>
      <c r="AB240" s="34" t="s">
        <v>71</v>
      </c>
      <c r="AC240" s="6"/>
      <c r="AD240" s="6"/>
      <c r="AE240" s="7"/>
    </row>
    <row r="241" spans="1:31" ht="12.75" x14ac:dyDescent="0.2">
      <c r="A241" s="22"/>
      <c r="B241" s="39" t="s">
        <v>314</v>
      </c>
      <c r="C241" s="40" t="s">
        <v>322</v>
      </c>
      <c r="D241" s="5">
        <v>75</v>
      </c>
      <c r="E241" s="5">
        <v>130</v>
      </c>
      <c r="F241" s="5">
        <v>468</v>
      </c>
      <c r="G241" s="25">
        <v>468</v>
      </c>
      <c r="H241" s="26">
        <f ca="1">IFERROR(__xludf.DUMMYFUNCTION("(R241 * IFERROR(IF(S241&lt;&gt;"""",FILTER($G:$G,$C:$C=S241),0), 0)) + (U241 * IFERROR(IF(V241&lt;&gt;"""",FILTER($G:$G,$C:$C=V241),0), 0)) + (X241 * IFERROR(IF(Y241&lt;&gt;"""",FILTER($G:$G,$C:$C=Y241),0), 0)) + (AA241 * IFERROR(IF(AB241&lt;&gt;"""",FILTER($G:$G,$C:$C=AB241),0)"&amp;", 0))"),435)</f>
        <v>435</v>
      </c>
      <c r="I241" s="27">
        <f t="shared" ca="1" si="0"/>
        <v>33</v>
      </c>
      <c r="J241" s="5">
        <v>75</v>
      </c>
      <c r="K241" s="5">
        <v>63</v>
      </c>
      <c r="L241" s="5">
        <f t="shared" si="7"/>
        <v>75</v>
      </c>
      <c r="M241" s="28">
        <f t="shared" si="1"/>
        <v>6.24</v>
      </c>
      <c r="N241" s="29">
        <f t="shared" ca="1" si="2"/>
        <v>0.44</v>
      </c>
      <c r="O241" s="5">
        <v>56</v>
      </c>
      <c r="P241" s="30">
        <f t="shared" si="3"/>
        <v>0.75</v>
      </c>
      <c r="Q241" s="31" t="s">
        <v>444</v>
      </c>
      <c r="R241" s="32">
        <v>3</v>
      </c>
      <c r="S241" s="33" t="s">
        <v>293</v>
      </c>
      <c r="T241" s="32"/>
      <c r="U241" s="32">
        <v>2</v>
      </c>
      <c r="V241" s="33" t="s">
        <v>80</v>
      </c>
      <c r="W241" s="32"/>
      <c r="X241" s="32">
        <v>1</v>
      </c>
      <c r="Y241" s="33" t="s">
        <v>318</v>
      </c>
      <c r="Z241" s="33"/>
      <c r="AA241" s="33"/>
      <c r="AB241" s="34"/>
      <c r="AC241" s="6"/>
      <c r="AD241" s="6"/>
      <c r="AE241" s="7"/>
    </row>
    <row r="242" spans="1:31" ht="12.75" x14ac:dyDescent="0.2">
      <c r="A242" s="22"/>
      <c r="B242" s="39" t="s">
        <v>314</v>
      </c>
      <c r="C242" s="40" t="s">
        <v>323</v>
      </c>
      <c r="D242" s="5">
        <v>76</v>
      </c>
      <c r="E242" s="5">
        <v>65</v>
      </c>
      <c r="F242" s="5">
        <v>234</v>
      </c>
      <c r="G242" s="25">
        <v>234</v>
      </c>
      <c r="H242" s="26">
        <f ca="1">IFERROR(__xludf.DUMMYFUNCTION("(R242 * IFERROR(IF(S242&lt;&gt;"""",FILTER($G:$G,$C:$C=S242),0), 0)) + (U242 * IFERROR(IF(V242&lt;&gt;"""",FILTER($G:$G,$C:$C=V242),0), 0)) + (X242 * IFERROR(IF(Y242&lt;&gt;"""",FILTER($G:$G,$C:$C=Y242),0), 0)) + (AA242 * IFERROR(IF(AB242&lt;&gt;"""",FILTER($G:$G,$C:$C=AB242),0)"&amp;", 0))"),204)</f>
        <v>204</v>
      </c>
      <c r="I242" s="27">
        <f t="shared" ca="1" si="0"/>
        <v>30</v>
      </c>
      <c r="J242" s="5">
        <v>45</v>
      </c>
      <c r="K242" s="5">
        <v>38</v>
      </c>
      <c r="L242" s="5">
        <f t="shared" si="7"/>
        <v>45</v>
      </c>
      <c r="M242" s="28">
        <f t="shared" si="1"/>
        <v>5.2</v>
      </c>
      <c r="N242" s="29">
        <f t="shared" ca="1" si="2"/>
        <v>0.67</v>
      </c>
      <c r="O242" s="5">
        <v>28</v>
      </c>
      <c r="P242" s="30">
        <f t="shared" si="3"/>
        <v>0.62</v>
      </c>
      <c r="Q242" s="31" t="s">
        <v>446</v>
      </c>
      <c r="R242" s="32">
        <v>3</v>
      </c>
      <c r="S242" s="33" t="s">
        <v>79</v>
      </c>
      <c r="T242" s="32"/>
      <c r="U242" s="32">
        <v>1</v>
      </c>
      <c r="V242" s="33" t="s">
        <v>103</v>
      </c>
      <c r="W242" s="33"/>
      <c r="X242" s="33"/>
      <c r="Y242" s="33"/>
      <c r="Z242" s="33"/>
      <c r="AA242" s="33"/>
      <c r="AB242" s="34"/>
      <c r="AC242" s="6"/>
      <c r="AD242" s="6"/>
      <c r="AE242" s="7"/>
    </row>
    <row r="243" spans="1:31" ht="12.75" x14ac:dyDescent="0.2">
      <c r="A243" s="22"/>
      <c r="B243" s="39" t="s">
        <v>314</v>
      </c>
      <c r="C243" s="40" t="s">
        <v>505</v>
      </c>
      <c r="D243" s="5">
        <v>78</v>
      </c>
      <c r="E243" s="5">
        <v>88</v>
      </c>
      <c r="F243" s="5">
        <v>316</v>
      </c>
      <c r="G243" s="25">
        <v>316</v>
      </c>
      <c r="H243" s="26">
        <f ca="1">IFERROR(__xludf.DUMMYFUNCTION("(R243 * IFERROR(IF(S243&lt;&gt;"""",FILTER($G:$G,$C:$C=S243),0), 0)) + (U243 * IFERROR(IF(V243&lt;&gt;"""",FILTER($G:$G,$C:$C=V243),0), 0)) + (X243 * IFERROR(IF(Y243&lt;&gt;"""",FILTER($G:$G,$C:$C=Y243),0), 0)) + (AA243 * IFERROR(IF(AB243&lt;&gt;"""",FILTER($G:$G,$C:$C=AB243),0)"&amp;", 0))"),282)</f>
        <v>282</v>
      </c>
      <c r="I243" s="27">
        <f t="shared" ca="1" si="0"/>
        <v>34</v>
      </c>
      <c r="J243" s="5">
        <v>60</v>
      </c>
      <c r="K243" s="5">
        <v>51</v>
      </c>
      <c r="L243" s="5">
        <f t="shared" si="7"/>
        <v>60</v>
      </c>
      <c r="M243" s="28">
        <f t="shared" si="1"/>
        <v>5.27</v>
      </c>
      <c r="N243" s="29">
        <f t="shared" ca="1" si="2"/>
        <v>0.56999999999999995</v>
      </c>
      <c r="O243" s="5">
        <v>38</v>
      </c>
      <c r="P243" s="30">
        <f t="shared" si="3"/>
        <v>0.63</v>
      </c>
      <c r="Q243" s="31">
        <v>2</v>
      </c>
      <c r="R243" s="32">
        <v>2</v>
      </c>
      <c r="S243" s="33" t="s">
        <v>500</v>
      </c>
      <c r="T243" s="32"/>
      <c r="U243" s="32">
        <v>2</v>
      </c>
      <c r="V243" s="33" t="s">
        <v>80</v>
      </c>
      <c r="W243" s="32"/>
      <c r="X243" s="32">
        <v>1</v>
      </c>
      <c r="Y243" s="33" t="s">
        <v>200</v>
      </c>
      <c r="Z243" s="32"/>
      <c r="AA243" s="32">
        <v>1</v>
      </c>
      <c r="AB243" s="34" t="s">
        <v>37</v>
      </c>
      <c r="AC243" s="6"/>
      <c r="AD243" s="6"/>
      <c r="AE243" s="7"/>
    </row>
    <row r="244" spans="1:31" ht="12.75" x14ac:dyDescent="0.2">
      <c r="A244" s="22"/>
      <c r="B244" s="39" t="s">
        <v>314</v>
      </c>
      <c r="C244" s="40" t="s">
        <v>325</v>
      </c>
      <c r="D244" s="5">
        <v>82</v>
      </c>
      <c r="E244" s="5">
        <v>166</v>
      </c>
      <c r="F244" s="5">
        <v>597</v>
      </c>
      <c r="G244" s="25">
        <v>597</v>
      </c>
      <c r="H244" s="26">
        <f ca="1">IFERROR(__xludf.DUMMYFUNCTION("(R244 * IFERROR(IF(S244&lt;&gt;"""",FILTER($G:$G,$C:$C=S244),0), 0)) + (U244 * IFERROR(IF(V244&lt;&gt;"""",FILTER($G:$G,$C:$C=V244),0), 0)) + (X244 * IFERROR(IF(Y244&lt;&gt;"""",FILTER($G:$G,$C:$C=Y244),0), 0)) + (AA244 * IFERROR(IF(AB244&lt;&gt;"""",FILTER($G:$G,$C:$C=AB244),0)"&amp;", 0))"),565)</f>
        <v>565</v>
      </c>
      <c r="I244" s="27">
        <f t="shared" ca="1" si="0"/>
        <v>32</v>
      </c>
      <c r="J244" s="5">
        <v>120</v>
      </c>
      <c r="K244" s="5">
        <v>102</v>
      </c>
      <c r="L244" s="5">
        <f t="shared" si="7"/>
        <v>120</v>
      </c>
      <c r="M244" s="28">
        <f t="shared" si="1"/>
        <v>4.9800000000000004</v>
      </c>
      <c r="N244" s="29">
        <f t="shared" ca="1" si="2"/>
        <v>0.27</v>
      </c>
      <c r="O244" s="5">
        <v>71</v>
      </c>
      <c r="P244" s="30">
        <f t="shared" si="3"/>
        <v>0.59</v>
      </c>
      <c r="Q244" s="31">
        <v>1</v>
      </c>
      <c r="R244" s="32">
        <v>2</v>
      </c>
      <c r="S244" s="33" t="s">
        <v>32</v>
      </c>
      <c r="T244" s="32"/>
      <c r="U244" s="32">
        <v>1</v>
      </c>
      <c r="V244" s="33" t="s">
        <v>62</v>
      </c>
      <c r="W244" s="32"/>
      <c r="X244" s="32">
        <v>1</v>
      </c>
      <c r="Y244" s="33" t="s">
        <v>114</v>
      </c>
      <c r="Z244" s="32"/>
      <c r="AA244" s="32">
        <v>3</v>
      </c>
      <c r="AB244" s="34" t="s">
        <v>100</v>
      </c>
      <c r="AC244" s="6"/>
      <c r="AD244" s="6"/>
      <c r="AE244" s="7"/>
    </row>
    <row r="245" spans="1:31" ht="12.75" x14ac:dyDescent="0.2">
      <c r="A245" s="22"/>
      <c r="B245" s="39" t="s">
        <v>314</v>
      </c>
      <c r="C245" s="40" t="s">
        <v>326</v>
      </c>
      <c r="D245" s="5">
        <v>84</v>
      </c>
      <c r="E245" s="5">
        <v>154</v>
      </c>
      <c r="F245" s="5">
        <v>554</v>
      </c>
      <c r="G245" s="25">
        <v>554</v>
      </c>
      <c r="H245" s="26">
        <f ca="1">IFERROR(__xludf.DUMMYFUNCTION("(R245 * IFERROR(IF(S245&lt;&gt;"""",FILTER($G:$G,$C:$C=S245),0), 0)) + (U245 * IFERROR(IF(V245&lt;&gt;"""",FILTER($G:$G,$C:$C=V245),0), 0)) + (X245 * IFERROR(IF(Y245&lt;&gt;"""",FILTER($G:$G,$C:$C=Y245),0), 0)) + (AA245 * IFERROR(IF(AB245&lt;&gt;"""",FILTER($G:$G,$C:$C=AB245),0)"&amp;", 0))"),508)</f>
        <v>508</v>
      </c>
      <c r="I245" s="27">
        <f t="shared" ca="1" si="0"/>
        <v>46</v>
      </c>
      <c r="J245" s="5">
        <v>180</v>
      </c>
      <c r="K245" s="5">
        <v>153</v>
      </c>
      <c r="L245" s="5">
        <f t="shared" si="7"/>
        <v>180</v>
      </c>
      <c r="M245" s="28">
        <f t="shared" si="1"/>
        <v>3.08</v>
      </c>
      <c r="N245" s="29">
        <f t="shared" ca="1" si="2"/>
        <v>0.26</v>
      </c>
      <c r="O245" s="5">
        <v>66</v>
      </c>
      <c r="P245" s="30">
        <f t="shared" si="3"/>
        <v>0.37</v>
      </c>
      <c r="Q245" s="31">
        <v>1</v>
      </c>
      <c r="R245" s="32">
        <v>1</v>
      </c>
      <c r="S245" s="33" t="s">
        <v>103</v>
      </c>
      <c r="T245" s="32"/>
      <c r="U245" s="32">
        <v>3</v>
      </c>
      <c r="V245" s="33" t="s">
        <v>77</v>
      </c>
      <c r="W245" s="32"/>
      <c r="X245" s="32">
        <v>1</v>
      </c>
      <c r="Y245" s="33" t="s">
        <v>213</v>
      </c>
      <c r="Z245" s="32"/>
      <c r="AA245" s="32">
        <v>3</v>
      </c>
      <c r="AB245" s="34" t="s">
        <v>34</v>
      </c>
      <c r="AC245" s="6"/>
      <c r="AD245" s="6"/>
      <c r="AE245" s="7"/>
    </row>
    <row r="246" spans="1:31" ht="12.75" x14ac:dyDescent="0.2">
      <c r="A246" s="22"/>
      <c r="B246" s="44" t="s">
        <v>314</v>
      </c>
      <c r="C246" s="45" t="s">
        <v>327</v>
      </c>
      <c r="D246" s="8">
        <v>89</v>
      </c>
      <c r="E246" s="8">
        <v>60</v>
      </c>
      <c r="F246" s="8">
        <v>216</v>
      </c>
      <c r="G246" s="37">
        <v>216</v>
      </c>
      <c r="H246" s="26">
        <f ca="1">IFERROR(__xludf.DUMMYFUNCTION("(R246 * IFERROR(IF(S246&lt;&gt;"""",FILTER($G:$G,$C:$C=S246),0), 0)) + (U246 * IFERROR(IF(V246&lt;&gt;"""",FILTER($G:$G,$C:$C=V246),0), 0)) + (X246 * IFERROR(IF(Y246&lt;&gt;"""",FILTER($G:$G,$C:$C=Y246),0), 0)) + (AA246 * IFERROR(IF(AB246&lt;&gt;"""",FILTER($G:$G,$C:$C=AB246),0)"&amp;", 0))"),184)</f>
        <v>184</v>
      </c>
      <c r="I246" s="27">
        <f t="shared" ca="1" si="0"/>
        <v>32</v>
      </c>
      <c r="J246" s="8">
        <v>60</v>
      </c>
      <c r="K246" s="8">
        <v>51</v>
      </c>
      <c r="L246" s="5">
        <f t="shared" si="7"/>
        <v>60</v>
      </c>
      <c r="M246" s="28">
        <f t="shared" si="1"/>
        <v>3.6</v>
      </c>
      <c r="N246" s="29">
        <f t="shared" ca="1" si="2"/>
        <v>0.53</v>
      </c>
      <c r="O246" s="8">
        <v>26</v>
      </c>
      <c r="P246" s="27">
        <f t="shared" si="3"/>
        <v>0.43</v>
      </c>
      <c r="Q246" s="38" t="s">
        <v>446</v>
      </c>
      <c r="R246" s="46">
        <v>3</v>
      </c>
      <c r="S246" s="34" t="s">
        <v>90</v>
      </c>
      <c r="T246" s="46"/>
      <c r="U246" s="46">
        <v>1</v>
      </c>
      <c r="V246" s="34" t="s">
        <v>200</v>
      </c>
      <c r="W246" s="46"/>
      <c r="X246" s="46">
        <v>2</v>
      </c>
      <c r="Y246" s="34" t="s">
        <v>39</v>
      </c>
      <c r="Z246" s="46"/>
      <c r="AA246" s="46">
        <v>1</v>
      </c>
      <c r="AB246" s="34" t="s">
        <v>66</v>
      </c>
      <c r="AC246" s="7"/>
      <c r="AD246" s="7"/>
      <c r="AE246" s="7"/>
    </row>
    <row r="247" spans="1:31" ht="12.75" x14ac:dyDescent="0.2">
      <c r="A247" s="22"/>
      <c r="B247" s="23" t="s">
        <v>328</v>
      </c>
      <c r="C247" s="58" t="s">
        <v>329</v>
      </c>
      <c r="D247" s="5">
        <v>61</v>
      </c>
      <c r="E247" s="5">
        <v>148</v>
      </c>
      <c r="F247" s="5">
        <v>532</v>
      </c>
      <c r="G247" s="25">
        <v>532</v>
      </c>
      <c r="H247" s="26">
        <f ca="1">IFERROR(__xludf.DUMMYFUNCTION("(R247 * IFERROR(IF(S247&lt;&gt;"""",FILTER($G:$G,$C:$C=S247),0), 0)) + (U247 * IFERROR(IF(V247&lt;&gt;"""",FILTER($G:$G,$C:$C=V247),0), 0)) + (X247 * IFERROR(IF(Y247&lt;&gt;"""",FILTER($G:$G,$C:$C=Y247),0), 0)) + (AA247 * IFERROR(IF(AB247&lt;&gt;"""",FILTER($G:$G,$C:$C=AB247),0)"&amp;", 0))"),501)</f>
        <v>501</v>
      </c>
      <c r="I247" s="27">
        <f t="shared" ca="1" si="0"/>
        <v>31</v>
      </c>
      <c r="J247" s="5">
        <v>40</v>
      </c>
      <c r="K247" s="5">
        <v>34</v>
      </c>
      <c r="L247" s="5">
        <f t="shared" si="7"/>
        <v>40</v>
      </c>
      <c r="M247" s="28">
        <f t="shared" si="1"/>
        <v>13.3</v>
      </c>
      <c r="N247" s="29">
        <f t="shared" ca="1" si="2"/>
        <v>0.78</v>
      </c>
      <c r="O247" s="5">
        <v>63</v>
      </c>
      <c r="P247" s="30">
        <f t="shared" si="3"/>
        <v>1.58</v>
      </c>
      <c r="Q247" s="31">
        <v>1</v>
      </c>
      <c r="R247" s="32">
        <v>2</v>
      </c>
      <c r="S247" s="33" t="s">
        <v>21</v>
      </c>
      <c r="T247" s="32"/>
      <c r="U247" s="32">
        <v>2</v>
      </c>
      <c r="V247" s="33" t="s">
        <v>34</v>
      </c>
      <c r="W247" s="32"/>
      <c r="X247" s="32">
        <v>3</v>
      </c>
      <c r="Y247" s="33" t="s">
        <v>200</v>
      </c>
      <c r="Z247" s="32"/>
      <c r="AA247" s="32">
        <v>1</v>
      </c>
      <c r="AB247" s="34" t="s">
        <v>57</v>
      </c>
      <c r="AC247" s="6"/>
      <c r="AD247" s="6"/>
      <c r="AE247" s="7"/>
    </row>
    <row r="248" spans="1:31" ht="12.75" x14ac:dyDescent="0.2">
      <c r="A248" s="22"/>
      <c r="B248" s="23" t="s">
        <v>328</v>
      </c>
      <c r="C248" s="58" t="s">
        <v>330</v>
      </c>
      <c r="D248" s="5">
        <v>65</v>
      </c>
      <c r="E248" s="5">
        <v>180</v>
      </c>
      <c r="F248" s="5">
        <v>648</v>
      </c>
      <c r="G248" s="25">
        <v>648</v>
      </c>
      <c r="H248" s="26">
        <f ca="1">IFERROR(__xludf.DUMMYFUNCTION("(R248 * IFERROR(IF(S248&lt;&gt;"""",FILTER($G:$G,$C:$C=S248),0), 0)) + (U248 * IFERROR(IF(V248&lt;&gt;"""",FILTER($G:$G,$C:$C=V248),0), 0)) + (X248 * IFERROR(IF(Y248&lt;&gt;"""",FILTER($G:$G,$C:$C=Y248),0), 0)) + (AA248 * IFERROR(IF(AB248&lt;&gt;"""",FILTER($G:$G,$C:$C=AB248),0)"&amp;", 0))"),605)</f>
        <v>605</v>
      </c>
      <c r="I248" s="27">
        <f t="shared" ca="1" si="0"/>
        <v>43</v>
      </c>
      <c r="J248" s="5">
        <v>100</v>
      </c>
      <c r="K248" s="5">
        <v>85</v>
      </c>
      <c r="L248" s="5">
        <f t="shared" si="7"/>
        <v>100</v>
      </c>
      <c r="M248" s="28">
        <f t="shared" si="1"/>
        <v>6.48</v>
      </c>
      <c r="N248" s="29">
        <f t="shared" ca="1" si="2"/>
        <v>0.43</v>
      </c>
      <c r="O248" s="5">
        <v>77</v>
      </c>
      <c r="P248" s="30">
        <f t="shared" si="3"/>
        <v>0.77</v>
      </c>
      <c r="Q248" s="31">
        <v>1</v>
      </c>
      <c r="R248" s="32">
        <v>2</v>
      </c>
      <c r="S248" s="33" t="s">
        <v>21</v>
      </c>
      <c r="T248" s="32"/>
      <c r="U248" s="32">
        <v>2</v>
      </c>
      <c r="V248" s="33" t="s">
        <v>66</v>
      </c>
      <c r="W248" s="32"/>
      <c r="X248" s="32">
        <v>3</v>
      </c>
      <c r="Y248" s="33" t="s">
        <v>200</v>
      </c>
      <c r="Z248" s="32"/>
      <c r="AA248" s="32">
        <v>1</v>
      </c>
      <c r="AB248" s="34" t="s">
        <v>318</v>
      </c>
      <c r="AC248" s="6"/>
      <c r="AD248" s="6"/>
      <c r="AE248" s="7"/>
    </row>
    <row r="249" spans="1:31" ht="12.75" x14ac:dyDescent="0.2">
      <c r="A249" s="22"/>
      <c r="B249" s="23" t="s">
        <v>328</v>
      </c>
      <c r="C249" s="58" t="s">
        <v>331</v>
      </c>
      <c r="D249" s="5">
        <v>66</v>
      </c>
      <c r="E249" s="5">
        <v>162</v>
      </c>
      <c r="F249" s="5">
        <v>583</v>
      </c>
      <c r="G249" s="25">
        <v>583</v>
      </c>
      <c r="H249" s="26">
        <f ca="1">IFERROR(__xludf.DUMMYFUNCTION("(R249 * IFERROR(IF(S249&lt;&gt;"""",FILTER($G:$G,$C:$C=S249),0), 0)) + (U249 * IFERROR(IF(V249&lt;&gt;"""",FILTER($G:$G,$C:$C=V249),0), 0)) + (X249 * IFERROR(IF(Y249&lt;&gt;"""",FILTER($G:$G,$C:$C=Y249),0), 0)) + (AA249 * IFERROR(IF(AB249&lt;&gt;"""",FILTER($G:$G,$C:$C=AB249),0)"&amp;", 0))"),541)</f>
        <v>541</v>
      </c>
      <c r="I249" s="27">
        <f t="shared" ca="1" si="0"/>
        <v>42</v>
      </c>
      <c r="J249" s="5">
        <v>80</v>
      </c>
      <c r="K249" s="5">
        <v>68</v>
      </c>
      <c r="L249" s="5">
        <f t="shared" si="7"/>
        <v>80</v>
      </c>
      <c r="M249" s="28">
        <f t="shared" si="1"/>
        <v>7.29</v>
      </c>
      <c r="N249" s="29">
        <f t="shared" ca="1" si="2"/>
        <v>0.53</v>
      </c>
      <c r="O249" s="5">
        <v>69</v>
      </c>
      <c r="P249" s="30">
        <f t="shared" si="3"/>
        <v>0.86</v>
      </c>
      <c r="Q249" s="31">
        <v>1</v>
      </c>
      <c r="R249" s="32">
        <v>2</v>
      </c>
      <c r="S249" s="33" t="s">
        <v>21</v>
      </c>
      <c r="T249" s="32"/>
      <c r="U249" s="32">
        <v>2</v>
      </c>
      <c r="V249" s="33" t="s">
        <v>26</v>
      </c>
      <c r="W249" s="32"/>
      <c r="X249" s="32">
        <v>3</v>
      </c>
      <c r="Y249" s="33" t="s">
        <v>200</v>
      </c>
      <c r="Z249" s="32"/>
      <c r="AA249" s="32">
        <v>1</v>
      </c>
      <c r="AB249" s="34" t="s">
        <v>318</v>
      </c>
      <c r="AC249" s="6"/>
      <c r="AD249" s="6"/>
      <c r="AE249" s="7"/>
    </row>
    <row r="250" spans="1:31" ht="12.75" x14ac:dyDescent="0.2">
      <c r="A250" s="22"/>
      <c r="B250" s="23" t="s">
        <v>328</v>
      </c>
      <c r="C250" s="58" t="s">
        <v>332</v>
      </c>
      <c r="D250" s="5">
        <v>69</v>
      </c>
      <c r="E250" s="5">
        <v>71</v>
      </c>
      <c r="F250" s="5">
        <v>255</v>
      </c>
      <c r="G250" s="25">
        <v>255</v>
      </c>
      <c r="H250" s="26">
        <f ca="1">IFERROR(__xludf.DUMMYFUNCTION("(R250 * IFERROR(IF(S250&lt;&gt;"""",FILTER($G:$G,$C:$C=S250),0), 0)) + (U250 * IFERROR(IF(V250&lt;&gt;"""",FILTER($G:$G,$C:$C=V250),0), 0)) + (X250 * IFERROR(IF(Y250&lt;&gt;"""",FILTER($G:$G,$C:$C=Y250),0), 0)) + (AA250 * IFERROR(IF(AB250&lt;&gt;"""",FILTER($G:$G,$C:$C=AB250),0)"&amp;", 0))"),225)</f>
        <v>225</v>
      </c>
      <c r="I250" s="27">
        <f t="shared" ca="1" si="0"/>
        <v>30</v>
      </c>
      <c r="J250" s="5">
        <v>60</v>
      </c>
      <c r="K250" s="5">
        <v>51</v>
      </c>
      <c r="L250" s="5">
        <f t="shared" si="7"/>
        <v>60</v>
      </c>
      <c r="M250" s="28">
        <f t="shared" si="1"/>
        <v>4.25</v>
      </c>
      <c r="N250" s="29">
        <f t="shared" ca="1" si="2"/>
        <v>0.5</v>
      </c>
      <c r="O250" s="5">
        <v>31</v>
      </c>
      <c r="P250" s="30">
        <f t="shared" si="3"/>
        <v>0.52</v>
      </c>
      <c r="Q250" s="31" t="s">
        <v>438</v>
      </c>
      <c r="R250" s="32">
        <v>1</v>
      </c>
      <c r="S250" s="33" t="s">
        <v>21</v>
      </c>
      <c r="T250" s="32"/>
      <c r="U250" s="32">
        <v>1</v>
      </c>
      <c r="V250" s="33" t="s">
        <v>26</v>
      </c>
      <c r="W250" s="32"/>
      <c r="X250" s="32">
        <v>1</v>
      </c>
      <c r="Y250" s="33" t="s">
        <v>95</v>
      </c>
      <c r="Z250" s="32"/>
      <c r="AA250" s="32">
        <v>1</v>
      </c>
      <c r="AB250" s="34" t="s">
        <v>62</v>
      </c>
      <c r="AC250" s="6"/>
      <c r="AD250" s="6"/>
      <c r="AE250" s="7"/>
    </row>
    <row r="251" spans="1:31" ht="12.75" x14ac:dyDescent="0.2">
      <c r="A251" s="22"/>
      <c r="B251" s="23" t="s">
        <v>328</v>
      </c>
      <c r="C251" s="58" t="s">
        <v>333</v>
      </c>
      <c r="D251" s="5">
        <v>71</v>
      </c>
      <c r="E251" s="5">
        <v>167</v>
      </c>
      <c r="F251" s="5">
        <v>601</v>
      </c>
      <c r="G251" s="25">
        <v>601</v>
      </c>
      <c r="H251" s="26">
        <f ca="1">IFERROR(__xludf.DUMMYFUNCTION("(R251 * IFERROR(IF(S251&lt;&gt;"""",FILTER($G:$G,$C:$C=S251),0), 0)) + (U251 * IFERROR(IF(V251&lt;&gt;"""",FILTER($G:$G,$C:$C=V251),0), 0)) + (X251 * IFERROR(IF(Y251&lt;&gt;"""",FILTER($G:$G,$C:$C=Y251),0), 0)) + (AA251 * IFERROR(IF(AB251&lt;&gt;"""",FILTER($G:$G,$C:$C=AB251),0)"&amp;", 0))"),528)</f>
        <v>528</v>
      </c>
      <c r="I251" s="27">
        <f t="shared" ca="1" si="0"/>
        <v>73</v>
      </c>
      <c r="J251" s="5">
        <v>25</v>
      </c>
      <c r="K251" s="5">
        <v>21</v>
      </c>
      <c r="L251" s="5">
        <f t="shared" si="7"/>
        <v>25</v>
      </c>
      <c r="M251" s="28">
        <f t="shared" si="1"/>
        <v>24.04</v>
      </c>
      <c r="N251" s="29">
        <f t="shared" ca="1" si="2"/>
        <v>2.92</v>
      </c>
      <c r="O251" s="5">
        <v>80</v>
      </c>
      <c r="P251" s="30">
        <f t="shared" si="3"/>
        <v>3.2</v>
      </c>
      <c r="Q251" s="31">
        <v>2</v>
      </c>
      <c r="R251" s="32">
        <v>2</v>
      </c>
      <c r="S251" s="33" t="s">
        <v>21</v>
      </c>
      <c r="T251" s="32"/>
      <c r="U251" s="32">
        <v>1</v>
      </c>
      <c r="V251" s="33" t="s">
        <v>133</v>
      </c>
      <c r="W251" s="32"/>
      <c r="X251" s="32">
        <v>1</v>
      </c>
      <c r="Y251" s="33" t="s">
        <v>136</v>
      </c>
      <c r="Z251" s="33"/>
      <c r="AA251" s="33"/>
      <c r="AB251" s="34"/>
      <c r="AC251" s="6"/>
      <c r="AD251" s="6"/>
      <c r="AE251" s="7"/>
    </row>
    <row r="252" spans="1:31" ht="12.75" x14ac:dyDescent="0.2">
      <c r="A252" s="22"/>
      <c r="B252" s="23" t="s">
        <v>328</v>
      </c>
      <c r="C252" s="58" t="s">
        <v>334</v>
      </c>
      <c r="D252" s="5">
        <v>79</v>
      </c>
      <c r="E252" s="5">
        <v>129</v>
      </c>
      <c r="F252" s="5">
        <v>464</v>
      </c>
      <c r="G252" s="25">
        <v>464</v>
      </c>
      <c r="H252" s="26">
        <f ca="1">IFERROR(__xludf.DUMMYFUNCTION("(R252 * IFERROR(IF(S252&lt;&gt;"""",FILTER($G:$G,$C:$C=S252),0), 0)) + (U252 * IFERROR(IF(V252&lt;&gt;"""",FILTER($G:$G,$C:$C=V252),0), 0)) + (X252 * IFERROR(IF(Y252&lt;&gt;"""",FILTER($G:$G,$C:$C=Y252),0), 0)) + (AA252 * IFERROR(IF(AB252&lt;&gt;"""",FILTER($G:$G,$C:$C=AB252),0)"&amp;", 0))"),437)</f>
        <v>437</v>
      </c>
      <c r="I252" s="27">
        <f t="shared" ca="1" si="0"/>
        <v>27</v>
      </c>
      <c r="J252" s="5">
        <v>35</v>
      </c>
      <c r="K252" s="5">
        <v>30</v>
      </c>
      <c r="L252" s="5">
        <f t="shared" si="7"/>
        <v>35</v>
      </c>
      <c r="M252" s="28">
        <f t="shared" si="1"/>
        <v>13.26</v>
      </c>
      <c r="N252" s="29">
        <f t="shared" ca="1" si="2"/>
        <v>0.77</v>
      </c>
      <c r="O252" s="5">
        <v>55</v>
      </c>
      <c r="P252" s="30">
        <f t="shared" si="3"/>
        <v>1.57</v>
      </c>
      <c r="Q252" s="31" t="s">
        <v>444</v>
      </c>
      <c r="R252" s="32">
        <v>2</v>
      </c>
      <c r="S252" s="33" t="s">
        <v>21</v>
      </c>
      <c r="T252" s="32"/>
      <c r="U252" s="32">
        <v>2</v>
      </c>
      <c r="V252" s="33" t="s">
        <v>310</v>
      </c>
      <c r="W252" s="32"/>
      <c r="X252" s="32">
        <v>1</v>
      </c>
      <c r="Y252" s="33" t="s">
        <v>318</v>
      </c>
      <c r="Z252" s="33"/>
      <c r="AA252" s="33"/>
      <c r="AB252" s="34"/>
      <c r="AC252" s="6"/>
      <c r="AD252" s="6"/>
      <c r="AE252" s="7"/>
    </row>
    <row r="253" spans="1:31" ht="12.75" x14ac:dyDescent="0.2">
      <c r="A253" s="22"/>
      <c r="B253" s="23" t="s">
        <v>328</v>
      </c>
      <c r="C253" s="58" t="s">
        <v>335</v>
      </c>
      <c r="D253" s="5">
        <v>84</v>
      </c>
      <c r="E253" s="5">
        <v>116</v>
      </c>
      <c r="F253" s="5">
        <v>417</v>
      </c>
      <c r="G253" s="25">
        <v>417</v>
      </c>
      <c r="H253" s="26">
        <f ca="1">IFERROR(__xludf.DUMMYFUNCTION("(R253 * IFERROR(IF(S253&lt;&gt;"""",FILTER($G:$G,$C:$C=S253),0), 0)) + (U253 * IFERROR(IF(V253&lt;&gt;"""",FILTER($G:$G,$C:$C=V253),0), 0)) + (X253 * IFERROR(IF(Y253&lt;&gt;"""",FILTER($G:$G,$C:$C=Y253),0), 0)) + (AA253 * IFERROR(IF(AB253&lt;&gt;"""",FILTER($G:$G,$C:$C=AB253),0)"&amp;", 0))"),383)</f>
        <v>383</v>
      </c>
      <c r="I253" s="27">
        <f t="shared" ca="1" si="0"/>
        <v>34</v>
      </c>
      <c r="J253" s="5">
        <v>90</v>
      </c>
      <c r="K253" s="5">
        <v>76</v>
      </c>
      <c r="L253" s="5">
        <f t="shared" si="7"/>
        <v>90</v>
      </c>
      <c r="M253" s="28">
        <f t="shared" si="1"/>
        <v>4.63</v>
      </c>
      <c r="N253" s="29">
        <f t="shared" ca="1" si="2"/>
        <v>0.38</v>
      </c>
      <c r="O253" s="5">
        <v>50</v>
      </c>
      <c r="P253" s="30">
        <f t="shared" si="3"/>
        <v>0.56000000000000005</v>
      </c>
      <c r="Q253" s="31" t="s">
        <v>444</v>
      </c>
      <c r="R253" s="32">
        <v>2</v>
      </c>
      <c r="S253" s="33" t="s">
        <v>24</v>
      </c>
      <c r="T253" s="32"/>
      <c r="U253" s="32">
        <v>3</v>
      </c>
      <c r="V253" s="33" t="s">
        <v>77</v>
      </c>
      <c r="W253" s="32"/>
      <c r="X253" s="32">
        <v>1</v>
      </c>
      <c r="Y253" s="33" t="s">
        <v>35</v>
      </c>
      <c r="Z253" s="33"/>
      <c r="AA253" s="33"/>
      <c r="AB253" s="34"/>
      <c r="AC253" s="6"/>
      <c r="AD253" s="6"/>
      <c r="AE253" s="7"/>
    </row>
    <row r="254" spans="1:31" ht="12.75" x14ac:dyDescent="0.2">
      <c r="A254" s="22"/>
      <c r="B254" s="35" t="s">
        <v>328</v>
      </c>
      <c r="C254" s="59" t="s">
        <v>336</v>
      </c>
      <c r="D254" s="8">
        <v>92</v>
      </c>
      <c r="E254" s="8">
        <v>84</v>
      </c>
      <c r="F254" s="8">
        <v>302</v>
      </c>
      <c r="G254" s="37">
        <v>302</v>
      </c>
      <c r="H254" s="26">
        <f ca="1">IFERROR(__xludf.DUMMYFUNCTION("(R254 * IFERROR(IF(S254&lt;&gt;"""",FILTER($G:$G,$C:$C=S254),0), 0)) + (U254 * IFERROR(IF(V254&lt;&gt;"""",FILTER($G:$G,$C:$C=V254),0), 0)) + (X254 * IFERROR(IF(Y254&lt;&gt;"""",FILTER($G:$G,$C:$C=Y254),0), 0)) + (AA254 * IFERROR(IF(AB254&lt;&gt;"""",FILTER($G:$G,$C:$C=AB254),0)"&amp;", 0))"),279)</f>
        <v>279</v>
      </c>
      <c r="I254" s="27">
        <f t="shared" ca="1" si="0"/>
        <v>23</v>
      </c>
      <c r="J254" s="8">
        <v>50</v>
      </c>
      <c r="K254" s="8">
        <v>42</v>
      </c>
      <c r="L254" s="5">
        <f t="shared" si="7"/>
        <v>50</v>
      </c>
      <c r="M254" s="28">
        <f t="shared" si="1"/>
        <v>6.04</v>
      </c>
      <c r="N254" s="29">
        <f t="shared" ca="1" si="2"/>
        <v>0.46</v>
      </c>
      <c r="O254" s="8">
        <v>36</v>
      </c>
      <c r="P254" s="27">
        <f t="shared" si="3"/>
        <v>0.72</v>
      </c>
      <c r="Q254" s="38">
        <v>2</v>
      </c>
      <c r="R254" s="46">
        <v>1</v>
      </c>
      <c r="S254" s="34" t="s">
        <v>21</v>
      </c>
      <c r="T254" s="46"/>
      <c r="U254" s="46">
        <v>1</v>
      </c>
      <c r="V254" s="34" t="s">
        <v>103</v>
      </c>
      <c r="W254" s="46"/>
      <c r="X254" s="46">
        <v>3</v>
      </c>
      <c r="Y254" s="34" t="s">
        <v>49</v>
      </c>
      <c r="Z254" s="34"/>
      <c r="AA254" s="34"/>
      <c r="AB254" s="34"/>
      <c r="AC254" s="7"/>
      <c r="AD254" s="7"/>
      <c r="AE254" s="7"/>
    </row>
    <row r="255" spans="1:31" ht="12.75" x14ac:dyDescent="0.2">
      <c r="A255" s="22"/>
      <c r="B255" s="39" t="s">
        <v>337</v>
      </c>
      <c r="C255" s="40" t="s">
        <v>338</v>
      </c>
      <c r="D255" s="5">
        <v>54</v>
      </c>
      <c r="E255" s="5">
        <v>43</v>
      </c>
      <c r="F255" s="5">
        <v>154</v>
      </c>
      <c r="G255" s="25">
        <v>154</v>
      </c>
      <c r="H255" s="26">
        <f ca="1">IFERROR(__xludf.DUMMYFUNCTION("(R255 * IFERROR(IF(S255&lt;&gt;"""",FILTER($G:$G,$C:$C=S255),0), 0)) + (U255 * IFERROR(IF(V255&lt;&gt;"""",FILTER($G:$G,$C:$C=V255),0), 0)) + (X255 * IFERROR(IF(Y255&lt;&gt;"""",FILTER($G:$G,$C:$C=Y255),0), 0)) + (AA255 * IFERROR(IF(AB255&lt;&gt;"""",FILTER($G:$G,$C:$C=AB255),0)"&amp;", 0))"),93)</f>
        <v>93</v>
      </c>
      <c r="I255" s="27">
        <f t="shared" ca="1" si="0"/>
        <v>61</v>
      </c>
      <c r="J255" s="5">
        <v>180</v>
      </c>
      <c r="K255" s="5">
        <v>153</v>
      </c>
      <c r="L255" s="5">
        <f t="shared" si="7"/>
        <v>180</v>
      </c>
      <c r="M255" s="28">
        <f t="shared" si="1"/>
        <v>0.86</v>
      </c>
      <c r="N255" s="29">
        <f t="shared" ca="1" si="2"/>
        <v>0.34</v>
      </c>
      <c r="O255" s="5">
        <v>19</v>
      </c>
      <c r="P255" s="30">
        <f t="shared" si="3"/>
        <v>0.11</v>
      </c>
      <c r="Q255" s="31" t="s">
        <v>443</v>
      </c>
      <c r="R255" s="32">
        <v>9</v>
      </c>
      <c r="S255" s="33" t="s">
        <v>164</v>
      </c>
      <c r="T255" s="32"/>
      <c r="U255" s="32">
        <v>1</v>
      </c>
      <c r="V255" s="33" t="s">
        <v>22</v>
      </c>
      <c r="W255" s="33"/>
      <c r="X255" s="33"/>
      <c r="Y255" s="33"/>
      <c r="Z255" s="33"/>
      <c r="AA255" s="33"/>
      <c r="AB255" s="34"/>
      <c r="AC255" s="6"/>
      <c r="AD255" s="6"/>
      <c r="AE255" s="7"/>
    </row>
    <row r="256" spans="1:31" ht="12.75" x14ac:dyDescent="0.2">
      <c r="A256" s="22"/>
      <c r="B256" s="39" t="s">
        <v>337</v>
      </c>
      <c r="C256" s="40" t="s">
        <v>57</v>
      </c>
      <c r="D256" s="5">
        <v>60</v>
      </c>
      <c r="E256" s="5">
        <v>77</v>
      </c>
      <c r="F256" s="5">
        <v>277</v>
      </c>
      <c r="G256" s="25">
        <v>277</v>
      </c>
      <c r="H256" s="26">
        <f ca="1">IFERROR(__xludf.DUMMYFUNCTION("(R256 * IFERROR(IF(S256&lt;&gt;"""",FILTER($G:$G,$C:$C=S256),0), 0)) + (U256 * IFERROR(IF(V256&lt;&gt;"""",FILTER($G:$G,$C:$C=V256),0), 0)) + (X256 * IFERROR(IF(Y256&lt;&gt;"""",FILTER($G:$G,$C:$C=Y256),0), 0)) + (AA256 * IFERROR(IF(AB256&lt;&gt;"""",FILTER($G:$G,$C:$C=AB256),0)"&amp;", 0))"),246)</f>
        <v>246</v>
      </c>
      <c r="I256" s="27">
        <f t="shared" ca="1" si="0"/>
        <v>31</v>
      </c>
      <c r="J256" s="5">
        <v>45</v>
      </c>
      <c r="K256" s="5">
        <v>38</v>
      </c>
      <c r="L256" s="5">
        <f t="shared" si="7"/>
        <v>45</v>
      </c>
      <c r="M256" s="28">
        <f t="shared" si="1"/>
        <v>6.16</v>
      </c>
      <c r="N256" s="29">
        <f t="shared" ca="1" si="2"/>
        <v>0.69</v>
      </c>
      <c r="O256" s="5">
        <v>33</v>
      </c>
      <c r="P256" s="30">
        <f t="shared" si="3"/>
        <v>0.73</v>
      </c>
      <c r="Q256" s="31" t="s">
        <v>444</v>
      </c>
      <c r="R256" s="32">
        <v>3</v>
      </c>
      <c r="S256" s="33" t="s">
        <v>316</v>
      </c>
      <c r="T256" s="33"/>
      <c r="U256" s="33"/>
      <c r="V256" s="33"/>
      <c r="W256" s="33"/>
      <c r="X256" s="33"/>
      <c r="Y256" s="33"/>
      <c r="Z256" s="33"/>
      <c r="AA256" s="33"/>
      <c r="AB256" s="34"/>
      <c r="AC256" s="6"/>
      <c r="AD256" s="6"/>
      <c r="AE256" s="7"/>
    </row>
    <row r="257" spans="1:31" ht="12.75" x14ac:dyDescent="0.2">
      <c r="A257" s="22"/>
      <c r="B257" s="39" t="s">
        <v>337</v>
      </c>
      <c r="C257" s="40" t="s">
        <v>318</v>
      </c>
      <c r="D257" s="5">
        <v>62</v>
      </c>
      <c r="E257" s="5">
        <v>102</v>
      </c>
      <c r="F257" s="5">
        <v>367</v>
      </c>
      <c r="G257" s="25">
        <v>367</v>
      </c>
      <c r="H257" s="26">
        <f ca="1">IFERROR(__xludf.DUMMYFUNCTION("(R257 * IFERROR(IF(S257&lt;&gt;"""",FILTER($G:$G,$C:$C=S257),0), 0)) + (U257 * IFERROR(IF(V257&lt;&gt;"""",FILTER($G:$G,$C:$C=V257),0), 0)) + (X257 * IFERROR(IF(Y257&lt;&gt;"""",FILTER($G:$G,$C:$C=Y257),0), 0)) + (AA257 * IFERROR(IF(AB257&lt;&gt;"""",FILTER($G:$G,$C:$C=AB257),0)"&amp;", 0))"),349)</f>
        <v>349</v>
      </c>
      <c r="I257" s="27">
        <f t="shared" ref="I257:I328" ca="1" si="8">G257-H257</f>
        <v>18</v>
      </c>
      <c r="J257" s="5">
        <v>15</v>
      </c>
      <c r="K257" s="5">
        <v>12</v>
      </c>
      <c r="L257" s="5">
        <f t="shared" si="7"/>
        <v>15</v>
      </c>
      <c r="M257" s="28">
        <f t="shared" ref="M257:M328" si="9">IFERROR(ROUND(G257/L257, 2), "?")</f>
        <v>24.47</v>
      </c>
      <c r="N257" s="29">
        <f t="shared" ref="N257:N328" ca="1" si="10">IFERROR(ROUND(I257/L257, 2), "?")</f>
        <v>1.2</v>
      </c>
      <c r="O257" s="5">
        <v>44</v>
      </c>
      <c r="P257" s="30">
        <f t="shared" ref="P257:P328" si="11">IFERROR(ROUND(O257/L257, 2), "?")</f>
        <v>2.93</v>
      </c>
      <c r="Q257" s="31" t="s">
        <v>444</v>
      </c>
      <c r="R257" s="32">
        <v>4</v>
      </c>
      <c r="S257" s="33" t="s">
        <v>26</v>
      </c>
      <c r="T257" s="32"/>
      <c r="U257" s="32">
        <v>1</v>
      </c>
      <c r="V257" s="33" t="s">
        <v>57</v>
      </c>
      <c r="W257" s="33"/>
      <c r="X257" s="33"/>
      <c r="Y257" s="33"/>
      <c r="Z257" s="33"/>
      <c r="AA257" s="33"/>
      <c r="AB257" s="34"/>
      <c r="AC257" s="6"/>
      <c r="AD257" s="6"/>
      <c r="AE257" s="7"/>
    </row>
    <row r="258" spans="1:31" ht="12.75" x14ac:dyDescent="0.2">
      <c r="A258" s="22"/>
      <c r="B258" s="39" t="s">
        <v>337</v>
      </c>
      <c r="C258" s="40" t="s">
        <v>112</v>
      </c>
      <c r="D258" s="5">
        <v>66</v>
      </c>
      <c r="E258" s="5">
        <v>105</v>
      </c>
      <c r="F258" s="5">
        <v>378</v>
      </c>
      <c r="G258" s="25">
        <v>378</v>
      </c>
      <c r="H258" s="26">
        <f ca="1">IFERROR(__xludf.DUMMYFUNCTION("(R258 * IFERROR(IF(S258&lt;&gt;"""",FILTER($G:$G,$C:$C=S258),0), 0)) + (U258 * IFERROR(IF(V258&lt;&gt;"""",FILTER($G:$G,$C:$C=V258),0), 0)) + (X258 * IFERROR(IF(Y258&lt;&gt;"""",FILTER($G:$G,$C:$C=Y258),0), 0)) + (AA258 * IFERROR(IF(AB258&lt;&gt;"""",FILTER($G:$G,$C:$C=AB258),0)"&amp;", 0))"),354)</f>
        <v>354</v>
      </c>
      <c r="I258" s="27">
        <f t="shared" ca="1" si="8"/>
        <v>24</v>
      </c>
      <c r="J258" s="5">
        <v>25</v>
      </c>
      <c r="K258" s="5">
        <v>21</v>
      </c>
      <c r="L258" s="5">
        <f t="shared" si="7"/>
        <v>25</v>
      </c>
      <c r="M258" s="28">
        <f t="shared" si="9"/>
        <v>15.12</v>
      </c>
      <c r="N258" s="29">
        <f t="shared" ca="1" si="10"/>
        <v>0.96</v>
      </c>
      <c r="O258" s="5">
        <v>45</v>
      </c>
      <c r="P258" s="30">
        <f t="shared" si="11"/>
        <v>1.8</v>
      </c>
      <c r="Q258" s="31" t="s">
        <v>444</v>
      </c>
      <c r="R258" s="32">
        <v>2</v>
      </c>
      <c r="S258" s="33" t="s">
        <v>58</v>
      </c>
      <c r="T258" s="32"/>
      <c r="U258" s="32">
        <v>2</v>
      </c>
      <c r="V258" s="33" t="s">
        <v>26</v>
      </c>
      <c r="W258" s="32"/>
      <c r="X258" s="32">
        <v>1</v>
      </c>
      <c r="Y258" s="33" t="s">
        <v>41</v>
      </c>
      <c r="Z258" s="32"/>
      <c r="AA258" s="32">
        <v>1</v>
      </c>
      <c r="AB258" s="34" t="s">
        <v>40</v>
      </c>
      <c r="AC258" s="6"/>
      <c r="AD258" s="6"/>
      <c r="AE258" s="7"/>
    </row>
    <row r="259" spans="1:31" ht="12.75" x14ac:dyDescent="0.2">
      <c r="A259" s="22"/>
      <c r="B259" s="39" t="s">
        <v>337</v>
      </c>
      <c r="C259" s="40" t="s">
        <v>339</v>
      </c>
      <c r="D259" s="5">
        <v>66</v>
      </c>
      <c r="E259" s="5">
        <v>130</v>
      </c>
      <c r="F259" s="5">
        <v>468</v>
      </c>
      <c r="G259" s="25">
        <v>468</v>
      </c>
      <c r="H259" s="26">
        <f ca="1">IFERROR(__xludf.DUMMYFUNCTION("(R259 * IFERROR(IF(S259&lt;&gt;"""",FILTER($G:$G,$C:$C=S259),0), 0)) + (U259 * IFERROR(IF(V259&lt;&gt;"""",FILTER($G:$G,$C:$C=V259),0), 0)) + (X259 * IFERROR(IF(Y259&lt;&gt;"""",FILTER($G:$G,$C:$C=Y259),0), 0)) + (AA259 * IFERROR(IF(AB259&lt;&gt;"""",FILTER($G:$G,$C:$C=AB259),0)"&amp;", 0))"),435)</f>
        <v>435</v>
      </c>
      <c r="I259" s="27">
        <f t="shared" ca="1" si="8"/>
        <v>33</v>
      </c>
      <c r="J259" s="5">
        <v>45</v>
      </c>
      <c r="K259" s="5">
        <v>38</v>
      </c>
      <c r="L259" s="5">
        <f t="shared" ref="L259:L322" si="12">J259</f>
        <v>45</v>
      </c>
      <c r="M259" s="28">
        <f t="shared" si="9"/>
        <v>10.4</v>
      </c>
      <c r="N259" s="29">
        <f t="shared" ca="1" si="10"/>
        <v>0.73</v>
      </c>
      <c r="O259" s="5">
        <v>56</v>
      </c>
      <c r="P259" s="30">
        <f t="shared" si="11"/>
        <v>1.24</v>
      </c>
      <c r="Q259" s="31">
        <v>2</v>
      </c>
      <c r="R259" s="32">
        <v>3</v>
      </c>
      <c r="S259" s="33" t="s">
        <v>316</v>
      </c>
      <c r="T259" s="32"/>
      <c r="U259" s="32">
        <v>2</v>
      </c>
      <c r="V259" s="33" t="s">
        <v>21</v>
      </c>
      <c r="W259" s="32"/>
      <c r="X259" s="32">
        <v>1</v>
      </c>
      <c r="Y259" s="33" t="s">
        <v>43</v>
      </c>
      <c r="Z259" s="32"/>
      <c r="AA259" s="32">
        <v>1</v>
      </c>
      <c r="AB259" s="34" t="s">
        <v>58</v>
      </c>
      <c r="AC259" s="6"/>
      <c r="AD259" s="6"/>
      <c r="AE259" s="7"/>
    </row>
    <row r="260" spans="1:31" ht="12.75" x14ac:dyDescent="0.2">
      <c r="A260" s="22"/>
      <c r="B260" s="39" t="s">
        <v>337</v>
      </c>
      <c r="C260" s="40" t="s">
        <v>198</v>
      </c>
      <c r="D260" s="5">
        <v>69</v>
      </c>
      <c r="E260" s="5">
        <v>64</v>
      </c>
      <c r="F260" s="5">
        <v>230</v>
      </c>
      <c r="G260" s="25">
        <v>230</v>
      </c>
      <c r="H260" s="26">
        <f ca="1">IFERROR(__xludf.DUMMYFUNCTION("(R260 * IFERROR(IF(S260&lt;&gt;"""",FILTER($G:$G,$C:$C=S260),0), 0)) + (U260 * IFERROR(IF(V260&lt;&gt;"""",FILTER($G:$G,$C:$C=V260),0), 0)) + (X260 * IFERROR(IF(Y260&lt;&gt;"""",FILTER($G:$G,$C:$C=Y260),0), 0)) + (AA260 * IFERROR(IF(AB260&lt;&gt;"""",FILTER($G:$G,$C:$C=AB260),0)"&amp;", 0))"),211)</f>
        <v>211</v>
      </c>
      <c r="I260" s="27">
        <f t="shared" ca="1" si="8"/>
        <v>19</v>
      </c>
      <c r="J260" s="5">
        <v>30</v>
      </c>
      <c r="K260" s="5">
        <v>25</v>
      </c>
      <c r="L260" s="5">
        <f t="shared" si="12"/>
        <v>30</v>
      </c>
      <c r="M260" s="28">
        <f t="shared" si="9"/>
        <v>7.67</v>
      </c>
      <c r="N260" s="29">
        <f t="shared" ca="1" si="10"/>
        <v>0.63</v>
      </c>
      <c r="O260" s="5">
        <v>27</v>
      </c>
      <c r="P260" s="30">
        <f t="shared" si="11"/>
        <v>0.9</v>
      </c>
      <c r="Q260" s="31">
        <v>2</v>
      </c>
      <c r="R260" s="32">
        <v>2</v>
      </c>
      <c r="S260" s="33" t="s">
        <v>34</v>
      </c>
      <c r="T260" s="32"/>
      <c r="U260" s="32">
        <v>1</v>
      </c>
      <c r="V260" s="33" t="s">
        <v>28</v>
      </c>
      <c r="W260" s="32"/>
      <c r="X260" s="32">
        <v>1</v>
      </c>
      <c r="Y260" s="33" t="s">
        <v>58</v>
      </c>
      <c r="Z260" s="33"/>
      <c r="AA260" s="33"/>
      <c r="AB260" s="34"/>
      <c r="AC260" s="6"/>
      <c r="AD260" s="6"/>
      <c r="AE260" s="7"/>
    </row>
    <row r="261" spans="1:31" ht="12.75" x14ac:dyDescent="0.2">
      <c r="A261" s="22"/>
      <c r="B261" s="39" t="s">
        <v>337</v>
      </c>
      <c r="C261" s="40" t="s">
        <v>87</v>
      </c>
      <c r="D261" s="5">
        <v>77</v>
      </c>
      <c r="E261" s="5">
        <v>70</v>
      </c>
      <c r="F261" s="5">
        <v>252</v>
      </c>
      <c r="G261" s="25">
        <v>252</v>
      </c>
      <c r="H261" s="26">
        <f ca="1">IFERROR(__xludf.DUMMYFUNCTION("(R261 * IFERROR(IF(S261&lt;&gt;"""",FILTER($G:$G,$C:$C=S261),0), 0)) + (U261 * IFERROR(IF(V261&lt;&gt;"""",FILTER($G:$G,$C:$C=V261),0), 0)) + (X261 * IFERROR(IF(Y261&lt;&gt;"""",FILTER($G:$G,$C:$C=Y261),0), 0)) + (AA261 * IFERROR(IF(AB261&lt;&gt;"""",FILTER($G:$G,$C:$C=AB261),0)"&amp;", 0))"),236)</f>
        <v>236</v>
      </c>
      <c r="I261" s="27">
        <f t="shared" ca="1" si="8"/>
        <v>16</v>
      </c>
      <c r="J261" s="5">
        <v>20</v>
      </c>
      <c r="K261" s="5">
        <v>17</v>
      </c>
      <c r="L261" s="5">
        <f t="shared" si="12"/>
        <v>20</v>
      </c>
      <c r="M261" s="28">
        <f t="shared" si="9"/>
        <v>12.6</v>
      </c>
      <c r="N261" s="29">
        <f t="shared" ca="1" si="10"/>
        <v>0.8</v>
      </c>
      <c r="O261" s="5">
        <v>30</v>
      </c>
      <c r="P261" s="30">
        <f t="shared" si="11"/>
        <v>1.5</v>
      </c>
      <c r="Q261" s="31">
        <v>2</v>
      </c>
      <c r="R261" s="32">
        <v>2</v>
      </c>
      <c r="S261" s="33" t="s">
        <v>37</v>
      </c>
      <c r="T261" s="32"/>
      <c r="U261" s="32">
        <v>2</v>
      </c>
      <c r="V261" s="33" t="s">
        <v>77</v>
      </c>
      <c r="W261" s="32"/>
      <c r="X261" s="32">
        <v>2</v>
      </c>
      <c r="Y261" s="33" t="s">
        <v>34</v>
      </c>
      <c r="Z261" s="33"/>
      <c r="AA261" s="33"/>
      <c r="AB261" s="34"/>
      <c r="AC261" s="6"/>
      <c r="AD261" s="6"/>
      <c r="AE261" s="7"/>
    </row>
    <row r="262" spans="1:31" ht="12.75" x14ac:dyDescent="0.2">
      <c r="A262" s="22"/>
      <c r="B262" s="44" t="s">
        <v>337</v>
      </c>
      <c r="C262" s="45" t="s">
        <v>340</v>
      </c>
      <c r="D262" s="8">
        <v>100</v>
      </c>
      <c r="E262" s="8">
        <v>80</v>
      </c>
      <c r="F262" s="8">
        <v>288</v>
      </c>
      <c r="G262" s="37">
        <v>288</v>
      </c>
      <c r="H262" s="26">
        <f ca="1">IFERROR(__xludf.DUMMYFUNCTION("(R262 * IFERROR(IF(S262&lt;&gt;"""",FILTER($G:$G,$C:$C=S262),0), 0)) + (U262 * IFERROR(IF(V262&lt;&gt;"""",FILTER($G:$G,$C:$C=V262),0), 0)) + (X262 * IFERROR(IF(Y262&lt;&gt;"""",FILTER($G:$G,$C:$C=Y262),0), 0)) + (AA262 * IFERROR(IF(AB262&lt;&gt;"""",FILTER($G:$G,$C:$C=AB262),0)"&amp;", 0))"),262)</f>
        <v>262</v>
      </c>
      <c r="I262" s="27">
        <f t="shared" ca="1" si="8"/>
        <v>26</v>
      </c>
      <c r="J262" s="8">
        <v>30</v>
      </c>
      <c r="K262" s="8">
        <v>25</v>
      </c>
      <c r="L262" s="5">
        <f t="shared" si="12"/>
        <v>30</v>
      </c>
      <c r="M262" s="28">
        <f t="shared" si="9"/>
        <v>9.6</v>
      </c>
      <c r="N262" s="29">
        <f t="shared" ca="1" si="10"/>
        <v>0.87</v>
      </c>
      <c r="O262" s="8">
        <v>34</v>
      </c>
      <c r="P262" s="27">
        <f t="shared" si="11"/>
        <v>1.1299999999999999</v>
      </c>
      <c r="Q262" s="38" t="s">
        <v>450</v>
      </c>
      <c r="R262" s="46">
        <v>2</v>
      </c>
      <c r="S262" s="34" t="s">
        <v>225</v>
      </c>
      <c r="T262" s="46"/>
      <c r="U262" s="46">
        <v>2</v>
      </c>
      <c r="V262" s="34" t="s">
        <v>37</v>
      </c>
      <c r="W262" s="46"/>
      <c r="X262" s="46">
        <v>1</v>
      </c>
      <c r="Y262" s="34" t="s">
        <v>62</v>
      </c>
      <c r="Z262" s="34"/>
      <c r="AA262" s="34"/>
      <c r="AB262" s="34"/>
      <c r="AC262" s="7"/>
      <c r="AD262" s="7"/>
      <c r="AE262" s="7"/>
    </row>
    <row r="263" spans="1:31" ht="12.75" x14ac:dyDescent="0.2">
      <c r="A263" s="22"/>
      <c r="B263" s="23" t="s">
        <v>341</v>
      </c>
      <c r="C263" s="24" t="s">
        <v>342</v>
      </c>
      <c r="D263" s="5">
        <v>19</v>
      </c>
      <c r="E263" s="5">
        <v>67</v>
      </c>
      <c r="F263" s="5">
        <v>241</v>
      </c>
      <c r="G263" s="25">
        <v>241</v>
      </c>
      <c r="H263" s="26">
        <f ca="1">IFERROR(__xludf.DUMMYFUNCTION("(R263 * IFERROR(IF(S263&lt;&gt;"""",FILTER($G:$G,$C:$C=S263),0), 0)) + (U263 * IFERROR(IF(V263&lt;&gt;"""",FILTER($G:$G,$C:$C=V263),0), 0)) + (X263 * IFERROR(IF(Y263&lt;&gt;"""",FILTER($G:$G,$C:$C=Y263),0), 0)) + (AA263 * IFERROR(IF(AB263&lt;&gt;"""",FILTER($G:$G,$C:$C=AB263),0)"&amp;", 0))"),216)</f>
        <v>216</v>
      </c>
      <c r="I263" s="27">
        <f t="shared" ca="1" si="8"/>
        <v>25</v>
      </c>
      <c r="J263" s="5">
        <v>45</v>
      </c>
      <c r="K263" s="5">
        <v>38</v>
      </c>
      <c r="L263" s="5">
        <f t="shared" si="12"/>
        <v>45</v>
      </c>
      <c r="M263" s="28">
        <f t="shared" si="9"/>
        <v>5.36</v>
      </c>
      <c r="N263" s="29">
        <f t="shared" ca="1" si="10"/>
        <v>0.56000000000000005</v>
      </c>
      <c r="O263" s="5">
        <v>29</v>
      </c>
      <c r="P263" s="30">
        <f t="shared" si="11"/>
        <v>0.64</v>
      </c>
      <c r="Q263" s="31" t="s">
        <v>446</v>
      </c>
      <c r="R263" s="32">
        <v>2</v>
      </c>
      <c r="S263" s="33" t="s">
        <v>175</v>
      </c>
      <c r="T263" s="33"/>
      <c r="U263" s="33"/>
      <c r="V263" s="33"/>
      <c r="W263" s="33"/>
      <c r="X263" s="33"/>
      <c r="Y263" s="33"/>
      <c r="Z263" s="33"/>
      <c r="AA263" s="33"/>
      <c r="AB263" s="34"/>
      <c r="AC263" s="6"/>
      <c r="AD263" s="6"/>
      <c r="AE263" s="7"/>
    </row>
    <row r="264" spans="1:31" ht="12.75" x14ac:dyDescent="0.2">
      <c r="A264" s="22"/>
      <c r="B264" s="23" t="s">
        <v>341</v>
      </c>
      <c r="C264" s="24" t="s">
        <v>506</v>
      </c>
      <c r="D264" s="5">
        <v>21</v>
      </c>
      <c r="E264" s="5">
        <v>86</v>
      </c>
      <c r="F264" s="5">
        <v>309</v>
      </c>
      <c r="G264" s="25">
        <v>309</v>
      </c>
      <c r="H264" s="26">
        <f ca="1">IFERROR(__xludf.DUMMYFUNCTION("(R264 * IFERROR(IF(S264&lt;&gt;"""",FILTER($G:$G,$C:$C=S264),0), 0)) + (U264 * IFERROR(IF(V264&lt;&gt;"""",FILTER($G:$G,$C:$C=V264),0), 0)) + (X264 * IFERROR(IF(Y264&lt;&gt;"""",FILTER($G:$G,$C:$C=Y264),0), 0)) + (AA264 * IFERROR(IF(AB264&lt;&gt;"""",FILTER($G:$G,$C:$C=AB264),0)"&amp;", 0))"),270)</f>
        <v>270</v>
      </c>
      <c r="I264" s="27">
        <f t="shared" ca="1" si="8"/>
        <v>39</v>
      </c>
      <c r="J264" s="5">
        <v>90</v>
      </c>
      <c r="K264" s="5">
        <v>76</v>
      </c>
      <c r="L264" s="5">
        <f t="shared" si="12"/>
        <v>90</v>
      </c>
      <c r="M264" s="28">
        <f t="shared" si="9"/>
        <v>3.43</v>
      </c>
      <c r="N264" s="29">
        <f t="shared" ca="1" si="10"/>
        <v>0.43</v>
      </c>
      <c r="O264" s="5">
        <v>37</v>
      </c>
      <c r="P264" s="30">
        <f t="shared" si="11"/>
        <v>0.41</v>
      </c>
      <c r="Q264" s="31" t="s">
        <v>444</v>
      </c>
      <c r="R264" s="32">
        <v>1</v>
      </c>
      <c r="S264" s="33" t="s">
        <v>175</v>
      </c>
      <c r="T264" s="32"/>
      <c r="U264" s="32">
        <v>3</v>
      </c>
      <c r="V264" s="33" t="s">
        <v>189</v>
      </c>
      <c r="W264" s="33"/>
      <c r="X264" s="33"/>
      <c r="Y264" s="33"/>
      <c r="Z264" s="33"/>
      <c r="AA264" s="33"/>
      <c r="AB264" s="34"/>
      <c r="AC264" s="6"/>
      <c r="AD264" s="6"/>
      <c r="AE264" s="7"/>
    </row>
    <row r="265" spans="1:31" ht="12.75" x14ac:dyDescent="0.2">
      <c r="A265" s="22"/>
      <c r="B265" s="23" t="s">
        <v>341</v>
      </c>
      <c r="C265" s="24" t="s">
        <v>344</v>
      </c>
      <c r="D265" s="5">
        <v>25</v>
      </c>
      <c r="E265" s="5">
        <v>91</v>
      </c>
      <c r="F265" s="5">
        <v>327</v>
      </c>
      <c r="G265" s="25">
        <v>327</v>
      </c>
      <c r="H265" s="26">
        <f ca="1">IFERROR(__xludf.DUMMYFUNCTION("(R265 * IFERROR(IF(S265&lt;&gt;"""",FILTER($G:$G,$C:$C=S265),0), 0)) + (U265 * IFERROR(IF(V265&lt;&gt;"""",FILTER($G:$G,$C:$C=V265),0), 0)) + (X265 * IFERROR(IF(Y265&lt;&gt;"""",FILTER($G:$G,$C:$C=Y265),0), 0)) + (AA265 * IFERROR(IF(AB265&lt;&gt;"""",FILTER($G:$G,$C:$C=AB265),0)"&amp;", 0))"),287)</f>
        <v>287</v>
      </c>
      <c r="I265" s="27">
        <f t="shared" ca="1" si="8"/>
        <v>40</v>
      </c>
      <c r="J265" s="5">
        <v>135</v>
      </c>
      <c r="K265" s="5">
        <v>114</v>
      </c>
      <c r="L265" s="5">
        <f t="shared" si="12"/>
        <v>135</v>
      </c>
      <c r="M265" s="28">
        <f t="shared" si="9"/>
        <v>2.42</v>
      </c>
      <c r="N265" s="29">
        <f t="shared" ca="1" si="10"/>
        <v>0.3</v>
      </c>
      <c r="O265" s="5">
        <v>39</v>
      </c>
      <c r="P265" s="30">
        <f t="shared" si="11"/>
        <v>0.28999999999999998</v>
      </c>
      <c r="Q265" s="31" t="s">
        <v>444</v>
      </c>
      <c r="R265" s="32">
        <v>2</v>
      </c>
      <c r="S265" s="33" t="s">
        <v>175</v>
      </c>
      <c r="T265" s="32"/>
      <c r="U265" s="32">
        <v>1</v>
      </c>
      <c r="V265" s="33" t="s">
        <v>30</v>
      </c>
      <c r="W265" s="32"/>
      <c r="X265" s="32">
        <v>1</v>
      </c>
      <c r="Y265" s="33" t="s">
        <v>124</v>
      </c>
      <c r="Z265" s="33"/>
      <c r="AA265" s="33"/>
      <c r="AB265" s="34"/>
      <c r="AC265" s="6"/>
      <c r="AD265" s="6"/>
      <c r="AE265" s="7"/>
    </row>
    <row r="266" spans="1:31" ht="12.75" x14ac:dyDescent="0.2">
      <c r="A266" s="22"/>
      <c r="B266" s="23" t="s">
        <v>341</v>
      </c>
      <c r="C266" s="24" t="s">
        <v>345</v>
      </c>
      <c r="D266" s="5">
        <v>51</v>
      </c>
      <c r="E266" s="5">
        <v>188</v>
      </c>
      <c r="F266" s="5">
        <v>676</v>
      </c>
      <c r="G266" s="25">
        <v>676</v>
      </c>
      <c r="H266" s="26">
        <f ca="1">IFERROR(__xludf.DUMMYFUNCTION("(R266 * IFERROR(IF(S266&lt;&gt;"""",FILTER($G:$G,$C:$C=S266),0), 0)) + (U266 * IFERROR(IF(V266&lt;&gt;"""",FILTER($G:$G,$C:$C=V266),0), 0)) + (X266 * IFERROR(IF(Y266&lt;&gt;"""",FILTER($G:$G,$C:$C=Y266),0), 0)) + (AA266 * IFERROR(IF(AB266&lt;&gt;"""",FILTER($G:$G,$C:$C=AB266),0)"&amp;", 0))"),636)</f>
        <v>636</v>
      </c>
      <c r="I266" s="27">
        <f t="shared" ca="1" si="8"/>
        <v>40</v>
      </c>
      <c r="J266" s="5">
        <v>180</v>
      </c>
      <c r="K266" s="5">
        <v>153</v>
      </c>
      <c r="L266" s="5">
        <f t="shared" si="12"/>
        <v>180</v>
      </c>
      <c r="M266" s="28">
        <f t="shared" si="9"/>
        <v>3.76</v>
      </c>
      <c r="N266" s="29">
        <f t="shared" ca="1" si="10"/>
        <v>0.22</v>
      </c>
      <c r="O266" s="5">
        <v>81</v>
      </c>
      <c r="P266" s="30">
        <f t="shared" si="11"/>
        <v>0.45</v>
      </c>
      <c r="Q266" s="31">
        <v>1</v>
      </c>
      <c r="R266" s="32">
        <v>2</v>
      </c>
      <c r="S266" s="33" t="s">
        <v>175</v>
      </c>
      <c r="T266" s="32"/>
      <c r="U266" s="32">
        <v>3</v>
      </c>
      <c r="V266" s="33" t="s">
        <v>192</v>
      </c>
      <c r="W266" s="33"/>
      <c r="X266" s="33"/>
      <c r="Y266" s="33"/>
      <c r="Z266" s="33"/>
      <c r="AA266" s="33"/>
      <c r="AB266" s="34"/>
      <c r="AC266" s="6"/>
      <c r="AD266" s="6"/>
      <c r="AE266" s="7"/>
    </row>
    <row r="267" spans="1:31" ht="12.75" x14ac:dyDescent="0.2">
      <c r="A267" s="22"/>
      <c r="B267" s="35" t="s">
        <v>341</v>
      </c>
      <c r="C267" s="36" t="s">
        <v>346</v>
      </c>
      <c r="D267" s="8">
        <v>59</v>
      </c>
      <c r="E267" s="8">
        <v>305</v>
      </c>
      <c r="F267" s="8">
        <v>1098</v>
      </c>
      <c r="G267" s="37">
        <v>1098</v>
      </c>
      <c r="H267" s="26">
        <f ca="1">IFERROR(__xludf.DUMMYFUNCTION("(R267 * IFERROR(IF(S267&lt;&gt;"""",FILTER($G:$G,$C:$C=S267),0), 0)) + (U267 * IFERROR(IF(V267&lt;&gt;"""",FILTER($G:$G,$C:$C=V267),0), 0)) + (X267 * IFERROR(IF(Y267&lt;&gt;"""",FILTER($G:$G,$C:$C=Y267),0), 0)) + (AA267 * IFERROR(IF(AB267&lt;&gt;"""",FILTER($G:$G,$C:$C=AB267),0)"&amp;", 0))"),1056)</f>
        <v>1056</v>
      </c>
      <c r="I267" s="27">
        <f t="shared" ca="1" si="8"/>
        <v>42</v>
      </c>
      <c r="J267" s="8">
        <v>210</v>
      </c>
      <c r="K267" s="8">
        <v>178</v>
      </c>
      <c r="L267" s="5">
        <f t="shared" si="12"/>
        <v>210</v>
      </c>
      <c r="M267" s="28">
        <f t="shared" si="9"/>
        <v>5.23</v>
      </c>
      <c r="N267" s="29">
        <f t="shared" ca="1" si="10"/>
        <v>0.2</v>
      </c>
      <c r="O267" s="8">
        <v>131</v>
      </c>
      <c r="P267" s="27">
        <f t="shared" si="11"/>
        <v>0.62</v>
      </c>
      <c r="Q267" s="38">
        <v>1</v>
      </c>
      <c r="R267" s="46">
        <v>3</v>
      </c>
      <c r="S267" s="34" t="s">
        <v>175</v>
      </c>
      <c r="T267" s="46"/>
      <c r="U267" s="46">
        <v>5</v>
      </c>
      <c r="V267" s="34" t="s">
        <v>192</v>
      </c>
      <c r="W267" s="46"/>
      <c r="X267" s="46">
        <v>1</v>
      </c>
      <c r="Y267" s="34" t="s">
        <v>81</v>
      </c>
      <c r="Z267" s="34"/>
      <c r="AA267" s="34"/>
      <c r="AB267" s="34"/>
      <c r="AC267" s="7"/>
      <c r="AD267" s="7"/>
      <c r="AE267" s="7"/>
    </row>
    <row r="268" spans="1:31" ht="12.75" x14ac:dyDescent="0.2">
      <c r="A268" s="22"/>
      <c r="B268" s="39" t="s">
        <v>347</v>
      </c>
      <c r="C268" s="40" t="s">
        <v>228</v>
      </c>
      <c r="D268" s="5">
        <v>24</v>
      </c>
      <c r="E268" s="5">
        <v>41</v>
      </c>
      <c r="F268" s="5">
        <v>147</v>
      </c>
      <c r="G268" s="25">
        <v>147</v>
      </c>
      <c r="H268" s="26">
        <f ca="1">IFERROR(__xludf.DUMMYFUNCTION("(R268 * IFERROR(IF(S268&lt;&gt;"""",FILTER($G:$G,$C:$C=S268),0), 0)) + (U268 * IFERROR(IF(V268&lt;&gt;"""",FILTER($G:$G,$C:$C=V268),0), 0)) + (X268 * IFERROR(IF(Y268&lt;&gt;"""",FILTER($G:$G,$C:$C=Y268),0), 0)) + (AA268 * IFERROR(IF(AB268&lt;&gt;"""",FILTER($G:$G,$C:$C=AB268),0)"&amp;", 0))"),54)</f>
        <v>54</v>
      </c>
      <c r="I268" s="27">
        <f t="shared" ca="1" si="8"/>
        <v>93</v>
      </c>
      <c r="J268" s="5">
        <v>480</v>
      </c>
      <c r="K268" s="5">
        <v>408</v>
      </c>
      <c r="L268" s="5">
        <f t="shared" si="12"/>
        <v>480</v>
      </c>
      <c r="M268" s="28">
        <f t="shared" si="9"/>
        <v>0.31</v>
      </c>
      <c r="N268" s="29">
        <f t="shared" ca="1" si="10"/>
        <v>0.19</v>
      </c>
      <c r="O268" s="5">
        <v>14</v>
      </c>
      <c r="P268" s="43">
        <f t="shared" si="11"/>
        <v>0.03</v>
      </c>
      <c r="Q268" s="31"/>
      <c r="R268" s="32">
        <v>3</v>
      </c>
      <c r="S268" s="33" t="s">
        <v>260</v>
      </c>
      <c r="T268" s="33"/>
      <c r="U268" s="33"/>
      <c r="V268" s="33"/>
      <c r="W268" s="33"/>
      <c r="X268" s="33"/>
      <c r="Y268" s="33"/>
      <c r="Z268" s="33"/>
      <c r="AA268" s="33"/>
      <c r="AB268" s="34"/>
      <c r="AC268" s="6"/>
      <c r="AD268" s="6"/>
      <c r="AE268" s="7"/>
    </row>
    <row r="269" spans="1:31" ht="12.75" x14ac:dyDescent="0.2">
      <c r="A269" s="22"/>
      <c r="B269" s="39" t="s">
        <v>347</v>
      </c>
      <c r="C269" s="40" t="s">
        <v>229</v>
      </c>
      <c r="D269" s="5">
        <v>25</v>
      </c>
      <c r="E269" s="5">
        <v>50</v>
      </c>
      <c r="F269" s="5">
        <v>180</v>
      </c>
      <c r="G269" s="25">
        <v>180</v>
      </c>
      <c r="H269" s="26">
        <f ca="1">IFERROR(__xludf.DUMMYFUNCTION("(R269 * IFERROR(IF(S269&lt;&gt;"""",FILTER($G:$G,$C:$C=S269),0), 0)) + (U269 * IFERROR(IF(V269&lt;&gt;"""",FILTER($G:$G,$C:$C=V269),0), 0)) + (X269 * IFERROR(IF(Y269&lt;&gt;"""",FILTER($G:$G,$C:$C=Y269),0), 0)) + (AA269 * IFERROR(IF(AB269&lt;&gt;"""",FILTER($G:$G,$C:$C=AB269),0)"&amp;", 0))"),63)</f>
        <v>63</v>
      </c>
      <c r="I269" s="27">
        <f t="shared" ca="1" si="8"/>
        <v>117</v>
      </c>
      <c r="J269" s="5">
        <v>720</v>
      </c>
      <c r="K269" s="5">
        <v>612</v>
      </c>
      <c r="L269" s="5">
        <f t="shared" si="12"/>
        <v>720</v>
      </c>
      <c r="M269" s="28">
        <f t="shared" si="9"/>
        <v>0.25</v>
      </c>
      <c r="N269" s="29">
        <f t="shared" ca="1" si="10"/>
        <v>0.16</v>
      </c>
      <c r="O269" s="5">
        <v>18</v>
      </c>
      <c r="P269" s="43">
        <f t="shared" si="11"/>
        <v>0.03</v>
      </c>
      <c r="Q269" s="31"/>
      <c r="R269" s="32">
        <v>3</v>
      </c>
      <c r="S269" s="33" t="s">
        <v>108</v>
      </c>
      <c r="T269" s="33"/>
      <c r="U269" s="33"/>
      <c r="V269" s="33"/>
      <c r="W269" s="33"/>
      <c r="X269" s="33"/>
      <c r="Y269" s="33"/>
      <c r="Z269" s="33"/>
      <c r="AA269" s="33"/>
      <c r="AB269" s="34"/>
      <c r="AC269" s="6"/>
      <c r="AD269" s="6"/>
      <c r="AE269" s="7"/>
    </row>
    <row r="270" spans="1:31" ht="12.75" x14ac:dyDescent="0.2">
      <c r="A270" s="22"/>
      <c r="B270" s="39" t="s">
        <v>347</v>
      </c>
      <c r="C270" s="40" t="s">
        <v>231</v>
      </c>
      <c r="D270" s="5">
        <v>25</v>
      </c>
      <c r="E270" s="5">
        <v>57</v>
      </c>
      <c r="F270" s="5">
        <v>205</v>
      </c>
      <c r="G270" s="25">
        <v>205</v>
      </c>
      <c r="H270" s="26">
        <f ca="1">IFERROR(__xludf.DUMMYFUNCTION("(R270 * IFERROR(IF(S270&lt;&gt;"""",FILTER($G:$G,$C:$C=S270),0), 0)) + (U270 * IFERROR(IF(V270&lt;&gt;"""",FILTER($G:$G,$C:$C=V270),0), 0)) + (X270 * IFERROR(IF(Y270&lt;&gt;"""",FILTER($G:$G,$C:$C=Y270),0), 0)) + (AA270 * IFERROR(IF(AB270&lt;&gt;"""",FILTER($G:$G,$C:$C=AB270),0)"&amp;", 0))"),96)</f>
        <v>96</v>
      </c>
      <c r="I270" s="27">
        <f t="shared" ca="1" si="8"/>
        <v>109</v>
      </c>
      <c r="J270" s="5">
        <v>960</v>
      </c>
      <c r="K270" s="5">
        <v>816</v>
      </c>
      <c r="L270" s="5">
        <f t="shared" si="12"/>
        <v>960</v>
      </c>
      <c r="M270" s="28">
        <f t="shared" si="9"/>
        <v>0.21</v>
      </c>
      <c r="N270" s="29">
        <f t="shared" ca="1" si="10"/>
        <v>0.11</v>
      </c>
      <c r="O270" s="5">
        <v>21</v>
      </c>
      <c r="P270" s="43">
        <f t="shared" si="11"/>
        <v>0.02</v>
      </c>
      <c r="Q270" s="31"/>
      <c r="R270" s="32">
        <v>3</v>
      </c>
      <c r="S270" s="33" t="s">
        <v>261</v>
      </c>
      <c r="T270" s="33"/>
      <c r="U270" s="33"/>
      <c r="V270" s="33"/>
      <c r="W270" s="33"/>
      <c r="X270" s="33"/>
      <c r="Y270" s="33"/>
      <c r="Z270" s="33"/>
      <c r="AA270" s="33"/>
      <c r="AB270" s="34"/>
      <c r="AC270" s="6"/>
      <c r="AD270" s="6"/>
      <c r="AE270" s="7"/>
    </row>
    <row r="271" spans="1:31" ht="12.75" x14ac:dyDescent="0.2">
      <c r="A271" s="22"/>
      <c r="B271" s="39" t="s">
        <v>347</v>
      </c>
      <c r="C271" s="40" t="s">
        <v>191</v>
      </c>
      <c r="D271" s="5">
        <v>33</v>
      </c>
      <c r="E271" s="5">
        <v>30</v>
      </c>
      <c r="F271" s="5">
        <v>108</v>
      </c>
      <c r="G271" s="25">
        <v>108</v>
      </c>
      <c r="H271" s="26">
        <f ca="1">IFERROR(__xludf.DUMMYFUNCTION("(R271 * IFERROR(IF(S271&lt;&gt;"""",FILTER($G:$G,$C:$C=S271),0), 0)) + (U271 * IFERROR(IF(V271&lt;&gt;"""",FILTER($G:$G,$C:$C=V271),0), 0)) + (X271 * IFERROR(IF(Y271&lt;&gt;"""",FILTER($G:$G,$C:$C=Y271),0), 0)) + (AA271 * IFERROR(IF(AB271&lt;&gt;"""",FILTER($G:$G,$C:$C=AB271),0)"&amp;", 0))"),30)</f>
        <v>30</v>
      </c>
      <c r="I271" s="27">
        <f t="shared" ca="1" si="8"/>
        <v>78</v>
      </c>
      <c r="J271" s="5">
        <v>360</v>
      </c>
      <c r="K271" s="5">
        <v>306</v>
      </c>
      <c r="L271" s="5">
        <f t="shared" si="12"/>
        <v>360</v>
      </c>
      <c r="M271" s="28">
        <f t="shared" si="9"/>
        <v>0.3</v>
      </c>
      <c r="N271" s="29">
        <f t="shared" ca="1" si="10"/>
        <v>0.22</v>
      </c>
      <c r="O271" s="5">
        <v>13</v>
      </c>
      <c r="P271" s="43">
        <f t="shared" si="11"/>
        <v>0.04</v>
      </c>
      <c r="Q271" s="31"/>
      <c r="R271" s="32">
        <v>3</v>
      </c>
      <c r="S271" s="33" t="s">
        <v>262</v>
      </c>
      <c r="T271" s="33"/>
      <c r="U271" s="33"/>
      <c r="V271" s="33"/>
      <c r="W271" s="33"/>
      <c r="X271" s="33"/>
      <c r="Y271" s="33"/>
      <c r="Z271" s="33"/>
      <c r="AA271" s="33"/>
      <c r="AB271" s="34"/>
      <c r="AC271" s="6"/>
      <c r="AD271" s="6"/>
      <c r="AE271" s="7"/>
    </row>
    <row r="272" spans="1:31" ht="12.75" x14ac:dyDescent="0.2">
      <c r="A272" s="22"/>
      <c r="B272" s="44" t="s">
        <v>347</v>
      </c>
      <c r="C272" s="45" t="s">
        <v>234</v>
      </c>
      <c r="D272" s="8">
        <v>34</v>
      </c>
      <c r="E272" s="8">
        <v>36</v>
      </c>
      <c r="F272" s="8">
        <v>129</v>
      </c>
      <c r="G272" s="37">
        <v>129</v>
      </c>
      <c r="H272" s="26">
        <f ca="1">IFERROR(__xludf.DUMMYFUNCTION("(R272 * IFERROR(IF(S272&lt;&gt;"""",FILTER($G:$G,$C:$C=S272),0), 0)) + (U272 * IFERROR(IF(V272&lt;&gt;"""",FILTER($G:$G,$C:$C=V272),0), 0)) + (X272 * IFERROR(IF(Y272&lt;&gt;"""",FILTER($G:$G,$C:$C=Y272),0), 0)) + (AA272 * IFERROR(IF(AB272&lt;&gt;"""",FILTER($G:$G,$C:$C=AB272),0)"&amp;", 0))"),42)</f>
        <v>42</v>
      </c>
      <c r="I272" s="27">
        <f t="shared" ca="1" si="8"/>
        <v>87</v>
      </c>
      <c r="J272" s="8">
        <v>360</v>
      </c>
      <c r="K272" s="8">
        <v>306</v>
      </c>
      <c r="L272" s="5">
        <f t="shared" si="12"/>
        <v>360</v>
      </c>
      <c r="M272" s="28">
        <f t="shared" si="9"/>
        <v>0.36</v>
      </c>
      <c r="N272" s="29">
        <f t="shared" ca="1" si="10"/>
        <v>0.24</v>
      </c>
      <c r="O272" s="8">
        <v>15</v>
      </c>
      <c r="P272" s="29">
        <f t="shared" si="11"/>
        <v>0.04</v>
      </c>
      <c r="Q272" s="38"/>
      <c r="R272" s="46">
        <v>3</v>
      </c>
      <c r="S272" s="34" t="s">
        <v>173</v>
      </c>
      <c r="T272" s="34"/>
      <c r="U272" s="34"/>
      <c r="V272" s="34"/>
      <c r="W272" s="34"/>
      <c r="X272" s="34"/>
      <c r="Y272" s="34"/>
      <c r="Z272" s="34"/>
      <c r="AA272" s="34"/>
      <c r="AB272" s="34"/>
      <c r="AC272" s="7"/>
      <c r="AD272" s="7"/>
      <c r="AE272" s="7"/>
    </row>
    <row r="273" spans="1:31" ht="12.75" x14ac:dyDescent="0.2">
      <c r="A273" s="22"/>
      <c r="B273" s="23" t="s">
        <v>348</v>
      </c>
      <c r="C273" s="24" t="s">
        <v>349</v>
      </c>
      <c r="D273" s="5">
        <v>64</v>
      </c>
      <c r="E273" s="5">
        <v>152</v>
      </c>
      <c r="F273" s="5">
        <v>547</v>
      </c>
      <c r="G273" s="25">
        <v>547</v>
      </c>
      <c r="H273" s="26">
        <f ca="1">IFERROR(__xludf.DUMMYFUNCTION("(R273 * IFERROR(IF(S273&lt;&gt;"""",FILTER($G:$G,$C:$C=S273),0), 0)) + (U273 * IFERROR(IF(V273&lt;&gt;"""",FILTER($G:$G,$C:$C=V273),0), 0)) + (X273 * IFERROR(IF(Y273&lt;&gt;"""",FILTER($G:$G,$C:$C=Y273),0), 0)) + (AA273 * IFERROR(IF(AB273&lt;&gt;"""",FILTER($G:$G,$C:$C=AB273),0)"&amp;", 0))"),534)</f>
        <v>534</v>
      </c>
      <c r="I273" s="27">
        <f t="shared" ca="1" si="8"/>
        <v>13</v>
      </c>
      <c r="J273" s="5">
        <v>75</v>
      </c>
      <c r="K273" s="5">
        <v>63</v>
      </c>
      <c r="L273" s="5">
        <f t="shared" si="12"/>
        <v>75</v>
      </c>
      <c r="M273" s="28">
        <f t="shared" si="9"/>
        <v>7.29</v>
      </c>
      <c r="N273" s="29">
        <f t="shared" ca="1" si="10"/>
        <v>0.17</v>
      </c>
      <c r="O273" s="5">
        <v>65</v>
      </c>
      <c r="P273" s="43">
        <f t="shared" si="11"/>
        <v>0.87</v>
      </c>
      <c r="Q273" s="31">
        <v>1</v>
      </c>
      <c r="R273" s="32">
        <v>3</v>
      </c>
      <c r="S273" s="33" t="s">
        <v>30</v>
      </c>
      <c r="T273" s="32"/>
      <c r="U273" s="32">
        <v>3</v>
      </c>
      <c r="V273" s="33" t="s">
        <v>32</v>
      </c>
      <c r="W273" s="32"/>
      <c r="X273" s="32">
        <v>3</v>
      </c>
      <c r="Y273" s="33" t="s">
        <v>100</v>
      </c>
      <c r="Z273" s="33"/>
      <c r="AA273" s="33"/>
      <c r="AB273" s="34"/>
      <c r="AC273" s="6"/>
      <c r="AD273" s="6"/>
      <c r="AE273" s="7"/>
    </row>
    <row r="274" spans="1:31" ht="12.75" x14ac:dyDescent="0.2">
      <c r="A274" s="22"/>
      <c r="B274" s="23" t="s">
        <v>348</v>
      </c>
      <c r="C274" s="24" t="s">
        <v>350</v>
      </c>
      <c r="D274" s="5">
        <v>66</v>
      </c>
      <c r="E274" s="5">
        <v>89</v>
      </c>
      <c r="F274" s="5">
        <v>320</v>
      </c>
      <c r="G274" s="25">
        <v>320</v>
      </c>
      <c r="H274" s="26">
        <f ca="1">IFERROR(__xludf.DUMMYFUNCTION("(R274 * IFERROR(IF(S274&lt;&gt;"""",FILTER($G:$G,$C:$C=S274),0), 0)) + (U274 * IFERROR(IF(V274&lt;&gt;"""",FILTER($G:$G,$C:$C=V274),0), 0)) + (X274 * IFERROR(IF(Y274&lt;&gt;"""",FILTER($G:$G,$C:$C=Y274),0), 0)) + (AA274 * IFERROR(IF(AB274&lt;&gt;"""",FILTER($G:$G,$C:$C=AB274),0)"&amp;", 0))"),292)</f>
        <v>292</v>
      </c>
      <c r="I274" s="27">
        <f t="shared" ca="1" si="8"/>
        <v>28</v>
      </c>
      <c r="J274" s="5">
        <v>45</v>
      </c>
      <c r="K274" s="5">
        <v>38</v>
      </c>
      <c r="L274" s="5">
        <f t="shared" si="12"/>
        <v>45</v>
      </c>
      <c r="M274" s="28">
        <f t="shared" si="9"/>
        <v>7.11</v>
      </c>
      <c r="N274" s="29">
        <f t="shared" ca="1" si="10"/>
        <v>0.62</v>
      </c>
      <c r="O274" s="5">
        <v>38</v>
      </c>
      <c r="P274" s="43">
        <f t="shared" si="11"/>
        <v>0.84</v>
      </c>
      <c r="Q274" s="31" t="s">
        <v>444</v>
      </c>
      <c r="R274" s="32">
        <v>5</v>
      </c>
      <c r="S274" s="33" t="s">
        <v>200</v>
      </c>
      <c r="T274" s="32"/>
      <c r="U274" s="32">
        <v>1</v>
      </c>
      <c r="V274" s="33" t="s">
        <v>105</v>
      </c>
      <c r="W274" s="32"/>
      <c r="X274" s="32">
        <v>1</v>
      </c>
      <c r="Y274" s="33" t="s">
        <v>58</v>
      </c>
      <c r="Z274" s="33"/>
      <c r="AA274" s="33"/>
      <c r="AB274" s="34"/>
      <c r="AC274" s="6"/>
      <c r="AD274" s="6"/>
      <c r="AE274" s="7"/>
    </row>
    <row r="275" spans="1:31" ht="12.75" x14ac:dyDescent="0.2">
      <c r="A275" s="22"/>
      <c r="B275" s="23" t="s">
        <v>348</v>
      </c>
      <c r="C275" s="24" t="s">
        <v>352</v>
      </c>
      <c r="D275" s="5">
        <v>70</v>
      </c>
      <c r="E275" s="5">
        <v>74</v>
      </c>
      <c r="F275" s="5">
        <v>266</v>
      </c>
      <c r="G275" s="25">
        <v>266</v>
      </c>
      <c r="H275" s="26">
        <f ca="1">IFERROR(__xludf.DUMMYFUNCTION("(R275 * IFERROR(IF(S275&lt;&gt;"""",FILTER($G:$G,$C:$C=S275),0), 0)) + (U275 * IFERROR(IF(V275&lt;&gt;"""",FILTER($G:$G,$C:$C=V275),0), 0)) + (X275 * IFERROR(IF(Y275&lt;&gt;"""",FILTER($G:$G,$C:$C=Y275),0), 0)) + (AA275 * IFERROR(IF(AB275&lt;&gt;"""",FILTER($G:$G,$C:$C=AB275),0)"&amp;", 0))"),238)</f>
        <v>238</v>
      </c>
      <c r="I275" s="27">
        <f t="shared" ca="1" si="8"/>
        <v>28</v>
      </c>
      <c r="J275" s="5">
        <v>40</v>
      </c>
      <c r="K275" s="5">
        <v>34</v>
      </c>
      <c r="L275" s="5">
        <f t="shared" si="12"/>
        <v>40</v>
      </c>
      <c r="M275" s="28">
        <f t="shared" si="9"/>
        <v>6.65</v>
      </c>
      <c r="N275" s="29">
        <f t="shared" ca="1" si="10"/>
        <v>0.7</v>
      </c>
      <c r="O275" s="5">
        <v>32</v>
      </c>
      <c r="P275" s="43">
        <f t="shared" si="11"/>
        <v>0.8</v>
      </c>
      <c r="Q275" s="31">
        <v>3</v>
      </c>
      <c r="R275" s="32">
        <v>3</v>
      </c>
      <c r="S275" s="33" t="s">
        <v>310</v>
      </c>
      <c r="T275" s="32"/>
      <c r="U275" s="32">
        <v>3</v>
      </c>
      <c r="V275" s="33" t="s">
        <v>110</v>
      </c>
      <c r="W275" s="32"/>
      <c r="X275" s="32">
        <v>1</v>
      </c>
      <c r="Y275" s="33" t="s">
        <v>62</v>
      </c>
      <c r="Z275" s="33"/>
      <c r="AA275" s="33"/>
      <c r="AB275" s="34"/>
      <c r="AC275" s="6"/>
      <c r="AD275" s="6"/>
      <c r="AE275" s="6"/>
    </row>
    <row r="276" spans="1:31" ht="12.75" x14ac:dyDescent="0.2">
      <c r="A276" s="22"/>
      <c r="B276" s="23" t="s">
        <v>348</v>
      </c>
      <c r="C276" s="24" t="s">
        <v>351</v>
      </c>
      <c r="D276" s="5">
        <v>70</v>
      </c>
      <c r="E276" s="5">
        <v>97</v>
      </c>
      <c r="F276" s="5">
        <v>349</v>
      </c>
      <c r="G276" s="25">
        <v>349</v>
      </c>
      <c r="H276" s="26">
        <f ca="1">IFERROR(__xludf.DUMMYFUNCTION("(R276 * IFERROR(IF(S276&lt;&gt;"""",FILTER($G:$G,$C:$C=S276),0), 0)) + (U276 * IFERROR(IF(V276&lt;&gt;"""",FILTER($G:$G,$C:$C=V276),0), 0)) + (X276 * IFERROR(IF(Y276&lt;&gt;"""",FILTER($G:$G,$C:$C=Y276),0), 0)) + (AA276 * IFERROR(IF(AB276&lt;&gt;"""",FILTER($G:$G,$C:$C=AB276),0)"&amp;", 0))"),260)</f>
        <v>260</v>
      </c>
      <c r="I276" s="27">
        <f t="shared" ca="1" si="8"/>
        <v>89</v>
      </c>
      <c r="J276" s="5">
        <v>60</v>
      </c>
      <c r="K276" s="5">
        <v>51</v>
      </c>
      <c r="L276" s="5">
        <f t="shared" si="12"/>
        <v>60</v>
      </c>
      <c r="M276" s="28">
        <f t="shared" si="9"/>
        <v>5.82</v>
      </c>
      <c r="N276" s="29">
        <f t="shared" ca="1" si="10"/>
        <v>1.48</v>
      </c>
      <c r="O276" s="5">
        <v>42</v>
      </c>
      <c r="P276" s="43">
        <f t="shared" si="11"/>
        <v>0.7</v>
      </c>
      <c r="Q276" s="31" t="s">
        <v>444</v>
      </c>
      <c r="R276" s="32">
        <v>1</v>
      </c>
      <c r="S276" s="33" t="s">
        <v>71</v>
      </c>
      <c r="T276" s="32"/>
      <c r="U276" s="32">
        <v>1</v>
      </c>
      <c r="V276" s="33" t="s">
        <v>40</v>
      </c>
      <c r="W276" s="32"/>
      <c r="X276" s="32">
        <v>2</v>
      </c>
      <c r="Y276" s="33" t="s">
        <v>30</v>
      </c>
      <c r="Z276" s="32"/>
      <c r="AA276" s="32">
        <v>1</v>
      </c>
      <c r="AB276" s="34" t="s">
        <v>96</v>
      </c>
      <c r="AC276" s="6"/>
      <c r="AD276" s="6"/>
      <c r="AE276" s="6"/>
    </row>
    <row r="277" spans="1:31" ht="12.75" x14ac:dyDescent="0.2">
      <c r="A277" s="22"/>
      <c r="B277" s="23" t="s">
        <v>348</v>
      </c>
      <c r="C277" s="24" t="s">
        <v>353</v>
      </c>
      <c r="D277" s="5">
        <v>88</v>
      </c>
      <c r="E277" s="5">
        <v>140</v>
      </c>
      <c r="F277" s="5">
        <v>504</v>
      </c>
      <c r="G277" s="25">
        <v>504</v>
      </c>
      <c r="H277" s="26">
        <f ca="1">IFERROR(__xludf.DUMMYFUNCTION("(R277 * IFERROR(IF(S277&lt;&gt;"""",FILTER($G:$G,$C:$C=S277),0), 0)) + (U277 * IFERROR(IF(V277&lt;&gt;"""",FILTER($G:$G,$C:$C=V277),0), 0)) + (X277 * IFERROR(IF(Y277&lt;&gt;"""",FILTER($G:$G,$C:$C=Y277),0), 0)) + (AA277 * IFERROR(IF(AB277&lt;&gt;"""",FILTER($G:$G,$C:$C=AB277),0)"&amp;", 0))"),487)</f>
        <v>487</v>
      </c>
      <c r="I277" s="27">
        <f t="shared" ca="1" si="8"/>
        <v>17</v>
      </c>
      <c r="J277" s="5">
        <v>30</v>
      </c>
      <c r="K277" s="5">
        <v>25</v>
      </c>
      <c r="L277" s="5">
        <f t="shared" si="12"/>
        <v>30</v>
      </c>
      <c r="M277" s="28">
        <f t="shared" si="9"/>
        <v>16.8</v>
      </c>
      <c r="N277" s="29">
        <f t="shared" ca="1" si="10"/>
        <v>0.56999999999999995</v>
      </c>
      <c r="O277" s="5">
        <v>60</v>
      </c>
      <c r="P277" s="43">
        <f t="shared" si="11"/>
        <v>2</v>
      </c>
      <c r="Q277" s="31">
        <v>1</v>
      </c>
      <c r="R277" s="32">
        <v>1</v>
      </c>
      <c r="S277" s="33" t="s">
        <v>58</v>
      </c>
      <c r="T277" s="32"/>
      <c r="U277" s="32">
        <v>2</v>
      </c>
      <c r="V277" s="33" t="s">
        <v>114</v>
      </c>
      <c r="W277" s="32"/>
      <c r="X277" s="32">
        <v>2</v>
      </c>
      <c r="Y277" s="33" t="s">
        <v>213</v>
      </c>
      <c r="Z277" s="33"/>
      <c r="AA277" s="33"/>
      <c r="AB277" s="34"/>
      <c r="AC277" s="6"/>
      <c r="AD277" s="6"/>
      <c r="AE277" s="7"/>
    </row>
    <row r="278" spans="1:31" ht="12.75" x14ac:dyDescent="0.2">
      <c r="A278" s="22"/>
      <c r="B278" s="23" t="s">
        <v>348</v>
      </c>
      <c r="C278" s="24" t="s">
        <v>354</v>
      </c>
      <c r="D278" s="5">
        <v>93</v>
      </c>
      <c r="E278" s="5">
        <v>87</v>
      </c>
      <c r="F278" s="5">
        <v>313</v>
      </c>
      <c r="G278" s="25">
        <v>313</v>
      </c>
      <c r="H278" s="26">
        <f ca="1">IFERROR(__xludf.DUMMYFUNCTION("(R278 * IFERROR(IF(S278&lt;&gt;"""",FILTER($G:$G,$C:$C=S278),0), 0)) + (U278 * IFERROR(IF(V278&lt;&gt;"""",FILTER($G:$G,$C:$C=V278),0), 0)) + (X278 * IFERROR(IF(Y278&lt;&gt;"""",FILTER($G:$G,$C:$C=Y278),0), 0)) + (AA278 * IFERROR(IF(AB278&lt;&gt;"""",FILTER($G:$G,$C:$C=AB278),0)"&amp;", 0))"),286)</f>
        <v>286</v>
      </c>
      <c r="I278" s="27">
        <f t="shared" ca="1" si="8"/>
        <v>27</v>
      </c>
      <c r="J278" s="5">
        <v>45</v>
      </c>
      <c r="K278" s="5">
        <v>38</v>
      </c>
      <c r="L278" s="5">
        <f t="shared" si="12"/>
        <v>45</v>
      </c>
      <c r="M278" s="28">
        <f t="shared" si="9"/>
        <v>6.96</v>
      </c>
      <c r="N278" s="29">
        <f t="shared" ca="1" si="10"/>
        <v>0.6</v>
      </c>
      <c r="O278" s="5">
        <v>37</v>
      </c>
      <c r="P278" s="43">
        <f t="shared" si="11"/>
        <v>0.82</v>
      </c>
      <c r="Q278" s="31">
        <v>2</v>
      </c>
      <c r="R278" s="32">
        <v>3</v>
      </c>
      <c r="S278" s="33" t="s">
        <v>91</v>
      </c>
      <c r="T278" s="32"/>
      <c r="U278" s="32">
        <v>1</v>
      </c>
      <c r="V278" s="33" t="s">
        <v>50</v>
      </c>
      <c r="W278" s="32"/>
      <c r="X278" s="32">
        <v>2</v>
      </c>
      <c r="Y278" s="33" t="s">
        <v>53</v>
      </c>
      <c r="Z278" s="33"/>
      <c r="AA278" s="33"/>
      <c r="AB278" s="34"/>
      <c r="AC278" s="6"/>
      <c r="AD278" s="6"/>
      <c r="AE278" s="7"/>
    </row>
    <row r="279" spans="1:31" ht="12.75" x14ac:dyDescent="0.2">
      <c r="A279" s="22"/>
      <c r="B279" s="23" t="s">
        <v>348</v>
      </c>
      <c r="C279" s="24" t="s">
        <v>355</v>
      </c>
      <c r="D279" s="5">
        <v>100</v>
      </c>
      <c r="E279" s="5">
        <v>142</v>
      </c>
      <c r="F279" s="5">
        <v>511</v>
      </c>
      <c r="G279" s="25">
        <v>511</v>
      </c>
      <c r="H279" s="26">
        <f ca="1">IFERROR(__xludf.DUMMYFUNCTION("(R279 * IFERROR(IF(S279&lt;&gt;"""",FILTER($G:$G,$C:$C=S279),0), 0)) + (U279 * IFERROR(IF(V279&lt;&gt;"""",FILTER($G:$G,$C:$C=V279),0), 0)) + (X279 * IFERROR(IF(Y279&lt;&gt;"""",FILTER($G:$G,$C:$C=Y279),0), 0)) + (AA279 * IFERROR(IF(AB279&lt;&gt;"""",FILTER($G:$G,$C:$C=AB279),0)"&amp;", 0))"),498)</f>
        <v>498</v>
      </c>
      <c r="I279" s="27">
        <f t="shared" ca="1" si="8"/>
        <v>13</v>
      </c>
      <c r="J279" s="5">
        <v>40</v>
      </c>
      <c r="K279" s="5">
        <v>34</v>
      </c>
      <c r="L279" s="5">
        <f t="shared" si="12"/>
        <v>40</v>
      </c>
      <c r="M279" s="28">
        <f t="shared" si="9"/>
        <v>12.78</v>
      </c>
      <c r="N279" s="29">
        <f t="shared" ca="1" si="10"/>
        <v>0.33</v>
      </c>
      <c r="O279" s="5">
        <v>61</v>
      </c>
      <c r="P279" s="43">
        <f t="shared" si="11"/>
        <v>1.53</v>
      </c>
      <c r="Q279" s="31">
        <v>1</v>
      </c>
      <c r="R279" s="32">
        <v>2</v>
      </c>
      <c r="S279" s="33" t="s">
        <v>50</v>
      </c>
      <c r="T279" s="32"/>
      <c r="U279" s="32">
        <v>3</v>
      </c>
      <c r="V279" s="33" t="s">
        <v>54</v>
      </c>
      <c r="W279" s="32"/>
      <c r="X279" s="32">
        <v>1</v>
      </c>
      <c r="Y279" s="33" t="s">
        <v>95</v>
      </c>
      <c r="Z279" s="33"/>
      <c r="AA279" s="33"/>
      <c r="AB279" s="34"/>
      <c r="AC279" s="6"/>
      <c r="AD279" s="6"/>
      <c r="AE279" s="7"/>
    </row>
    <row r="280" spans="1:31" ht="12.75" x14ac:dyDescent="0.2">
      <c r="A280" s="22"/>
      <c r="B280" s="35" t="s">
        <v>348</v>
      </c>
      <c r="C280" s="36" t="s">
        <v>356</v>
      </c>
      <c r="D280" s="8">
        <v>102</v>
      </c>
      <c r="E280" s="8">
        <v>145</v>
      </c>
      <c r="F280" s="8">
        <v>522</v>
      </c>
      <c r="G280" s="37">
        <v>522</v>
      </c>
      <c r="H280" s="26">
        <f ca="1">IFERROR(__xludf.DUMMYFUNCTION("(R280 * IFERROR(IF(S280&lt;&gt;"""",FILTER($G:$G,$C:$C=S280),0), 0)) + (U280 * IFERROR(IF(V280&lt;&gt;"""",FILTER($G:$G,$C:$C=V280),0), 0)) + (X280 * IFERROR(IF(Y280&lt;&gt;"""",FILTER($G:$G,$C:$C=Y280),0), 0)) + (AA280 * IFERROR(IF(AB280&lt;&gt;"""",FILTER($G:$G,$C:$C=AB280),0)"&amp;", 0))"),496)</f>
        <v>496</v>
      </c>
      <c r="I280" s="27">
        <f t="shared" ca="1" si="8"/>
        <v>26</v>
      </c>
      <c r="J280" s="8">
        <v>35</v>
      </c>
      <c r="K280" s="8">
        <v>30</v>
      </c>
      <c r="L280" s="5">
        <f t="shared" si="12"/>
        <v>35</v>
      </c>
      <c r="M280" s="28">
        <f t="shared" si="9"/>
        <v>14.91</v>
      </c>
      <c r="N280" s="29">
        <f t="shared" ca="1" si="10"/>
        <v>0.74</v>
      </c>
      <c r="O280" s="8">
        <v>62</v>
      </c>
      <c r="P280" s="29">
        <f t="shared" si="11"/>
        <v>1.77</v>
      </c>
      <c r="Q280" s="38">
        <v>1</v>
      </c>
      <c r="R280" s="46">
        <v>3</v>
      </c>
      <c r="S280" s="34" t="s">
        <v>223</v>
      </c>
      <c r="T280" s="46"/>
      <c r="U280" s="46">
        <v>2</v>
      </c>
      <c r="V280" s="34" t="s">
        <v>49</v>
      </c>
      <c r="W280" s="46"/>
      <c r="X280" s="46">
        <v>1</v>
      </c>
      <c r="Y280" s="34" t="s">
        <v>116</v>
      </c>
      <c r="Z280" s="46"/>
      <c r="AA280" s="46">
        <v>1</v>
      </c>
      <c r="AB280" s="34" t="s">
        <v>62</v>
      </c>
      <c r="AC280" s="7"/>
      <c r="AD280" s="7"/>
      <c r="AE280" s="7"/>
    </row>
    <row r="281" spans="1:31" ht="12.75" x14ac:dyDescent="0.2">
      <c r="A281" s="22"/>
      <c r="B281" s="39" t="s">
        <v>357</v>
      </c>
      <c r="C281" s="40" t="s">
        <v>358</v>
      </c>
      <c r="D281" s="5">
        <v>46</v>
      </c>
      <c r="E281" s="5">
        <v>170</v>
      </c>
      <c r="F281" s="5">
        <v>612</v>
      </c>
      <c r="G281" s="25">
        <v>612</v>
      </c>
      <c r="H281" s="26">
        <f ca="1">IFERROR(__xludf.DUMMYFUNCTION("(R281 * IFERROR(IF(S281&lt;&gt;"""",FILTER($G:$G,$C:$C=S281),0), 0)) + (U281 * IFERROR(IF(V281&lt;&gt;"""",FILTER($G:$G,$C:$C=V281),0), 0)) + (X281 * IFERROR(IF(Y281&lt;&gt;"""",FILTER($G:$G,$C:$C=Y281),0), 0)) + (AA281 * IFERROR(IF(AB281&lt;&gt;"""",FILTER($G:$G,$C:$C=AB281),0)"&amp;", 0))"),567)</f>
        <v>567</v>
      </c>
      <c r="I281" s="27">
        <f t="shared" ca="1" si="8"/>
        <v>45</v>
      </c>
      <c r="J281" s="5">
        <v>150</v>
      </c>
      <c r="K281" s="5">
        <v>127</v>
      </c>
      <c r="L281" s="5">
        <f t="shared" si="12"/>
        <v>150</v>
      </c>
      <c r="M281" s="28">
        <f t="shared" si="9"/>
        <v>4.08</v>
      </c>
      <c r="N281" s="29">
        <f t="shared" ca="1" si="10"/>
        <v>0.3</v>
      </c>
      <c r="O281" s="5">
        <v>73</v>
      </c>
      <c r="P281" s="43">
        <f t="shared" si="11"/>
        <v>0.49</v>
      </c>
      <c r="Q281" s="31">
        <v>1</v>
      </c>
      <c r="R281" s="32">
        <v>2</v>
      </c>
      <c r="S281" s="33" t="s">
        <v>44</v>
      </c>
      <c r="T281" s="32"/>
      <c r="U281" s="32">
        <v>1</v>
      </c>
      <c r="V281" s="33" t="s">
        <v>34</v>
      </c>
      <c r="W281" s="32"/>
      <c r="X281" s="32">
        <v>1</v>
      </c>
      <c r="Y281" s="33" t="s">
        <v>71</v>
      </c>
      <c r="Z281" s="32"/>
      <c r="AA281" s="32">
        <v>2</v>
      </c>
      <c r="AB281" s="34" t="s">
        <v>37</v>
      </c>
      <c r="AC281" s="6"/>
      <c r="AD281" s="6"/>
      <c r="AE281" s="7"/>
    </row>
    <row r="282" spans="1:31" ht="12.75" x14ac:dyDescent="0.2">
      <c r="A282" s="22"/>
      <c r="B282" s="39" t="s">
        <v>357</v>
      </c>
      <c r="C282" s="40" t="s">
        <v>359</v>
      </c>
      <c r="D282" s="5">
        <v>47</v>
      </c>
      <c r="E282" s="5">
        <v>133</v>
      </c>
      <c r="F282" s="5">
        <v>478</v>
      </c>
      <c r="G282" s="25">
        <v>478</v>
      </c>
      <c r="H282" s="26">
        <f ca="1">IFERROR(__xludf.DUMMYFUNCTION("(R282 * IFERROR(IF(S282&lt;&gt;"""",FILTER($G:$G,$C:$C=S282),0), 0)) + (U282 * IFERROR(IF(V282&lt;&gt;"""",FILTER($G:$G,$C:$C=V282),0), 0)) + (X282 * IFERROR(IF(Y282&lt;&gt;"""",FILTER($G:$G,$C:$C=Y282),0), 0)) + (AA282 * IFERROR(IF(AB282&lt;&gt;"""",FILTER($G:$G,$C:$C=AB282),0)"&amp;", 0))"),446)</f>
        <v>446</v>
      </c>
      <c r="I282" s="27">
        <f t="shared" ca="1" si="8"/>
        <v>32</v>
      </c>
      <c r="J282" s="5">
        <v>90</v>
      </c>
      <c r="K282" s="5">
        <v>76</v>
      </c>
      <c r="L282" s="5">
        <f t="shared" si="12"/>
        <v>90</v>
      </c>
      <c r="M282" s="28">
        <f t="shared" si="9"/>
        <v>5.31</v>
      </c>
      <c r="N282" s="29">
        <f t="shared" ca="1" si="10"/>
        <v>0.36</v>
      </c>
      <c r="O282" s="5">
        <v>57</v>
      </c>
      <c r="P282" s="43">
        <f t="shared" si="11"/>
        <v>0.63</v>
      </c>
      <c r="Q282" s="31">
        <v>2</v>
      </c>
      <c r="R282" s="32">
        <v>2</v>
      </c>
      <c r="S282" s="33" t="s">
        <v>34</v>
      </c>
      <c r="T282" s="32"/>
      <c r="U282" s="32">
        <v>1</v>
      </c>
      <c r="V282" s="33" t="s">
        <v>37</v>
      </c>
      <c r="W282" s="32"/>
      <c r="X282" s="32">
        <v>1</v>
      </c>
      <c r="Y282" s="33" t="s">
        <v>239</v>
      </c>
      <c r="Z282" s="32"/>
      <c r="AA282" s="32">
        <v>1</v>
      </c>
      <c r="AB282" s="34" t="s">
        <v>103</v>
      </c>
      <c r="AC282" s="6"/>
      <c r="AD282" s="6"/>
      <c r="AE282" s="7"/>
    </row>
    <row r="283" spans="1:31" ht="12.75" x14ac:dyDescent="0.2">
      <c r="A283" s="22"/>
      <c r="B283" s="39" t="s">
        <v>357</v>
      </c>
      <c r="C283" s="40" t="s">
        <v>360</v>
      </c>
      <c r="D283" s="5">
        <v>49</v>
      </c>
      <c r="E283" s="5">
        <v>109</v>
      </c>
      <c r="F283" s="5">
        <v>392</v>
      </c>
      <c r="G283" s="25">
        <v>392</v>
      </c>
      <c r="H283" s="26">
        <f ca="1">IFERROR(__xludf.DUMMYFUNCTION("(R283 * IFERROR(IF(S283&lt;&gt;"""",FILTER($G:$G,$C:$C=S283),0), 0)) + (U283 * IFERROR(IF(V283&lt;&gt;"""",FILTER($G:$G,$C:$C=V283),0), 0)) + (X283 * IFERROR(IF(Y283&lt;&gt;"""",FILTER($G:$G,$C:$C=Y283),0), 0)) + (AA283 * IFERROR(IF(AB283&lt;&gt;"""",FILTER($G:$G,$C:$C=AB283),0)"&amp;", 0))"),346)</f>
        <v>346</v>
      </c>
      <c r="I283" s="27">
        <f t="shared" ca="1" si="8"/>
        <v>46</v>
      </c>
      <c r="J283" s="5">
        <v>120</v>
      </c>
      <c r="K283" s="5">
        <v>102</v>
      </c>
      <c r="L283" s="5">
        <f t="shared" si="12"/>
        <v>120</v>
      </c>
      <c r="M283" s="28">
        <f t="shared" si="9"/>
        <v>3.27</v>
      </c>
      <c r="N283" s="29">
        <f t="shared" ca="1" si="10"/>
        <v>0.38</v>
      </c>
      <c r="O283" s="5">
        <v>47</v>
      </c>
      <c r="P283" s="43">
        <f t="shared" si="11"/>
        <v>0.39</v>
      </c>
      <c r="Q283" s="31" t="s">
        <v>444</v>
      </c>
      <c r="R283" s="32">
        <v>3</v>
      </c>
      <c r="S283" s="33" t="s">
        <v>81</v>
      </c>
      <c r="T283" s="32"/>
      <c r="U283" s="32">
        <v>1</v>
      </c>
      <c r="V283" s="33" t="s">
        <v>41</v>
      </c>
      <c r="W283" s="32"/>
      <c r="X283" s="32">
        <v>2</v>
      </c>
      <c r="Y283" s="33" t="s">
        <v>80</v>
      </c>
      <c r="Z283" s="32"/>
      <c r="AA283" s="32">
        <v>1</v>
      </c>
      <c r="AB283" s="34" t="s">
        <v>62</v>
      </c>
      <c r="AC283" s="6"/>
      <c r="AD283" s="6"/>
      <c r="AE283" s="7"/>
    </row>
    <row r="284" spans="1:31" ht="12.75" x14ac:dyDescent="0.2">
      <c r="A284" s="22"/>
      <c r="B284" s="39" t="s">
        <v>357</v>
      </c>
      <c r="C284" s="40" t="s">
        <v>361</v>
      </c>
      <c r="D284" s="5">
        <v>53</v>
      </c>
      <c r="E284" s="5">
        <v>83</v>
      </c>
      <c r="F284" s="5">
        <v>298</v>
      </c>
      <c r="G284" s="25">
        <v>298</v>
      </c>
      <c r="H284" s="26">
        <f ca="1">IFERROR(__xludf.DUMMYFUNCTION("(R284 * IFERROR(IF(S284&lt;&gt;"""",FILTER($G:$G,$C:$C=S284),0), 0)) + (U284 * IFERROR(IF(V284&lt;&gt;"""",FILTER($G:$G,$C:$C=V284),0), 0)) + (X284 * IFERROR(IF(Y284&lt;&gt;"""",FILTER($G:$G,$C:$C=Y284),0), 0)) + (AA284 * IFERROR(IF(AB284&lt;&gt;"""",FILTER($G:$G,$C:$C=AB284),0)"&amp;", 0))"),255)</f>
        <v>255</v>
      </c>
      <c r="I284" s="27">
        <f t="shared" ca="1" si="8"/>
        <v>43</v>
      </c>
      <c r="J284" s="5">
        <v>180</v>
      </c>
      <c r="K284" s="5">
        <v>153</v>
      </c>
      <c r="L284" s="5">
        <f t="shared" si="12"/>
        <v>180</v>
      </c>
      <c r="M284" s="28">
        <f t="shared" si="9"/>
        <v>1.66</v>
      </c>
      <c r="N284" s="29">
        <f t="shared" ca="1" si="10"/>
        <v>0.24</v>
      </c>
      <c r="O284" s="5">
        <v>35</v>
      </c>
      <c r="P284" s="43">
        <f t="shared" si="11"/>
        <v>0.19</v>
      </c>
      <c r="Q284" s="31" t="s">
        <v>444</v>
      </c>
      <c r="R284" s="32">
        <v>3</v>
      </c>
      <c r="S284" s="33" t="s">
        <v>39</v>
      </c>
      <c r="T284" s="32"/>
      <c r="U284" s="32">
        <v>2</v>
      </c>
      <c r="V284" s="33" t="s">
        <v>43</v>
      </c>
      <c r="W284" s="32"/>
      <c r="X284" s="32">
        <v>1</v>
      </c>
      <c r="Y284" s="33" t="s">
        <v>95</v>
      </c>
      <c r="Z284" s="32"/>
      <c r="AA284" s="32">
        <v>1</v>
      </c>
      <c r="AB284" s="34" t="s">
        <v>80</v>
      </c>
      <c r="AC284" s="6"/>
      <c r="AD284" s="6"/>
      <c r="AE284" s="7"/>
    </row>
    <row r="285" spans="1:31" ht="12.75" x14ac:dyDescent="0.2">
      <c r="A285" s="22"/>
      <c r="B285" s="39" t="s">
        <v>357</v>
      </c>
      <c r="C285" s="40" t="s">
        <v>362</v>
      </c>
      <c r="D285" s="5">
        <v>65</v>
      </c>
      <c r="E285" s="5">
        <v>75</v>
      </c>
      <c r="F285" s="5">
        <v>270</v>
      </c>
      <c r="G285" s="25">
        <v>270</v>
      </c>
      <c r="H285" s="26">
        <f ca="1">IFERROR(__xludf.DUMMYFUNCTION("(R285 * IFERROR(IF(S285&lt;&gt;"""",FILTER($G:$G,$C:$C=S285),0), 0)) + (U285 * IFERROR(IF(V285&lt;&gt;"""",FILTER($G:$G,$C:$C=V285),0), 0)) + (X285 * IFERROR(IF(Y285&lt;&gt;"""",FILTER($G:$G,$C:$C=Y285),0), 0)) + (AA285 * IFERROR(IF(AB285&lt;&gt;"""",FILTER($G:$G,$C:$C=AB285),0)"&amp;", 0))"),240)</f>
        <v>240</v>
      </c>
      <c r="I285" s="27">
        <f t="shared" ca="1" si="8"/>
        <v>30</v>
      </c>
      <c r="J285" s="5">
        <v>90</v>
      </c>
      <c r="K285" s="5">
        <v>76</v>
      </c>
      <c r="L285" s="5">
        <f t="shared" si="12"/>
        <v>90</v>
      </c>
      <c r="M285" s="28">
        <f t="shared" si="9"/>
        <v>3</v>
      </c>
      <c r="N285" s="29">
        <f t="shared" ca="1" si="10"/>
        <v>0.33</v>
      </c>
      <c r="O285" s="5">
        <v>32</v>
      </c>
      <c r="P285" s="43">
        <f t="shared" si="11"/>
        <v>0.36</v>
      </c>
      <c r="Q285" s="31">
        <v>2</v>
      </c>
      <c r="R285" s="32">
        <v>3</v>
      </c>
      <c r="S285" s="33" t="s">
        <v>293</v>
      </c>
      <c r="T285" s="32"/>
      <c r="U285" s="32">
        <v>2</v>
      </c>
      <c r="V285" s="33" t="s">
        <v>66</v>
      </c>
      <c r="W285" s="32"/>
      <c r="X285" s="32">
        <v>2</v>
      </c>
      <c r="Y285" s="33" t="s">
        <v>39</v>
      </c>
      <c r="Z285" s="32"/>
      <c r="AA285" s="32">
        <v>2</v>
      </c>
      <c r="AB285" s="34" t="s">
        <v>80</v>
      </c>
      <c r="AC285" s="6"/>
      <c r="AD285" s="6"/>
      <c r="AE285" s="7"/>
    </row>
    <row r="286" spans="1:31" ht="12.75" x14ac:dyDescent="0.2">
      <c r="A286" s="22"/>
      <c r="B286" s="39" t="s">
        <v>357</v>
      </c>
      <c r="C286" s="40" t="s">
        <v>363</v>
      </c>
      <c r="D286" s="5">
        <v>72</v>
      </c>
      <c r="E286" s="5">
        <v>91</v>
      </c>
      <c r="F286" s="5">
        <v>327</v>
      </c>
      <c r="G286" s="25">
        <v>327</v>
      </c>
      <c r="H286" s="26">
        <f ca="1">IFERROR(__xludf.DUMMYFUNCTION("(R286 * IFERROR(IF(S286&lt;&gt;"""",FILTER($G:$G,$C:$C=S286),0), 0)) + (U286 * IFERROR(IF(V286&lt;&gt;"""",FILTER($G:$G,$C:$C=V286),0), 0)) + (X286 * IFERROR(IF(Y286&lt;&gt;"""",FILTER($G:$G,$C:$C=Y286),0), 0)) + (AA286 * IFERROR(IF(AB286&lt;&gt;"""",FILTER($G:$G,$C:$C=AB286),0)"&amp;", 0))"),281)</f>
        <v>281</v>
      </c>
      <c r="I286" s="27">
        <f t="shared" ca="1" si="8"/>
        <v>46</v>
      </c>
      <c r="J286" s="5">
        <v>150</v>
      </c>
      <c r="K286" s="5">
        <v>127</v>
      </c>
      <c r="L286" s="5">
        <f t="shared" si="12"/>
        <v>150</v>
      </c>
      <c r="M286" s="28">
        <f t="shared" si="9"/>
        <v>2.1800000000000002</v>
      </c>
      <c r="N286" s="29">
        <f t="shared" ca="1" si="10"/>
        <v>0.31</v>
      </c>
      <c r="O286" s="5">
        <v>36</v>
      </c>
      <c r="P286" s="43">
        <f t="shared" si="11"/>
        <v>0.24</v>
      </c>
      <c r="Q286" s="31">
        <v>2</v>
      </c>
      <c r="R286" s="32">
        <v>2</v>
      </c>
      <c r="S286" s="33" t="s">
        <v>21</v>
      </c>
      <c r="T286" s="32"/>
      <c r="U286" s="32">
        <v>1</v>
      </c>
      <c r="V286" s="33" t="s">
        <v>35</v>
      </c>
      <c r="W286" s="32"/>
      <c r="X286" s="32">
        <v>3</v>
      </c>
      <c r="Y286" s="33" t="s">
        <v>77</v>
      </c>
      <c r="Z286" s="33"/>
      <c r="AA286" s="33"/>
      <c r="AB286" s="34"/>
      <c r="AC286" s="6"/>
      <c r="AD286" s="6"/>
      <c r="AE286" s="7"/>
    </row>
    <row r="287" spans="1:31" ht="12.75" x14ac:dyDescent="0.2">
      <c r="A287" s="22"/>
      <c r="B287" s="39" t="s">
        <v>357</v>
      </c>
      <c r="C287" s="40" t="s">
        <v>364</v>
      </c>
      <c r="D287" s="5">
        <v>73</v>
      </c>
      <c r="E287" s="5">
        <v>120</v>
      </c>
      <c r="F287" s="5">
        <v>432</v>
      </c>
      <c r="G287" s="25">
        <v>432</v>
      </c>
      <c r="H287" s="26">
        <f ca="1">IFERROR(__xludf.DUMMYFUNCTION("(R287 * IFERROR(IF(S287&lt;&gt;"""",FILTER($G:$G,$C:$C=S287),0), 0)) + (U287 * IFERROR(IF(V287&lt;&gt;"""",FILTER($G:$G,$C:$C=V287),0), 0)) + (X287 * IFERROR(IF(Y287&lt;&gt;"""",FILTER($G:$G,$C:$C=Y287),0), 0)) + (AA287 * IFERROR(IF(AB287&lt;&gt;"""",FILTER($G:$G,$C:$C=AB287),0)"&amp;", 0))"),386)</f>
        <v>386</v>
      </c>
      <c r="I287" s="27">
        <f t="shared" ca="1" si="8"/>
        <v>46</v>
      </c>
      <c r="J287" s="5">
        <v>120</v>
      </c>
      <c r="K287" s="5">
        <v>102</v>
      </c>
      <c r="L287" s="5">
        <f t="shared" si="12"/>
        <v>120</v>
      </c>
      <c r="M287" s="28">
        <f t="shared" si="9"/>
        <v>3.6</v>
      </c>
      <c r="N287" s="29">
        <f t="shared" ca="1" si="10"/>
        <v>0.38</v>
      </c>
      <c r="O287" s="5">
        <v>52</v>
      </c>
      <c r="P287" s="43">
        <f t="shared" si="11"/>
        <v>0.43</v>
      </c>
      <c r="Q287" s="31">
        <v>2</v>
      </c>
      <c r="R287" s="32">
        <v>2</v>
      </c>
      <c r="S287" s="33" t="s">
        <v>80</v>
      </c>
      <c r="T287" s="32"/>
      <c r="U287" s="32">
        <v>1</v>
      </c>
      <c r="V287" s="33" t="s">
        <v>37</v>
      </c>
      <c r="W287" s="32"/>
      <c r="X287" s="32">
        <v>2</v>
      </c>
      <c r="Y287" s="33" t="s">
        <v>26</v>
      </c>
      <c r="Z287" s="32"/>
      <c r="AA287" s="32">
        <v>3</v>
      </c>
      <c r="AB287" s="34" t="s">
        <v>500</v>
      </c>
      <c r="AC287" s="6"/>
      <c r="AD287" s="6"/>
      <c r="AE287" s="7"/>
    </row>
    <row r="288" spans="1:31" ht="12.75" x14ac:dyDescent="0.2">
      <c r="A288" s="22"/>
      <c r="B288" s="39" t="s">
        <v>357</v>
      </c>
      <c r="C288" s="40" t="s">
        <v>365</v>
      </c>
      <c r="D288" s="5">
        <v>78</v>
      </c>
      <c r="E288" s="5">
        <v>71</v>
      </c>
      <c r="F288" s="5">
        <v>255</v>
      </c>
      <c r="G288" s="25">
        <v>255</v>
      </c>
      <c r="H288" s="26">
        <f ca="1">IFERROR(__xludf.DUMMYFUNCTION("(R288 * IFERROR(IF(S288&lt;&gt;"""",FILTER($G:$G,$C:$C=S288),0), 0)) + (U288 * IFERROR(IF(V288&lt;&gt;"""",FILTER($G:$G,$C:$C=V288),0), 0)) + (X288 * IFERROR(IF(Y288&lt;&gt;"""",FILTER($G:$G,$C:$C=Y288),0), 0)) + (AA288 * IFERROR(IF(AB288&lt;&gt;"""",FILTER($G:$G,$C:$C=AB288),0)"&amp;", 0))"),218)</f>
        <v>218</v>
      </c>
      <c r="I288" s="27">
        <f t="shared" ca="1" si="8"/>
        <v>37</v>
      </c>
      <c r="J288" s="5">
        <v>150</v>
      </c>
      <c r="K288" s="5">
        <v>127</v>
      </c>
      <c r="L288" s="5">
        <f t="shared" si="12"/>
        <v>150</v>
      </c>
      <c r="M288" s="28">
        <f t="shared" si="9"/>
        <v>1.7</v>
      </c>
      <c r="N288" s="29">
        <f t="shared" ca="1" si="10"/>
        <v>0.25</v>
      </c>
      <c r="O288" s="5">
        <v>31</v>
      </c>
      <c r="P288" s="43">
        <f t="shared" si="11"/>
        <v>0.21</v>
      </c>
      <c r="Q288" s="31">
        <v>2</v>
      </c>
      <c r="R288" s="32">
        <v>1</v>
      </c>
      <c r="S288" s="33" t="s">
        <v>95</v>
      </c>
      <c r="T288" s="32"/>
      <c r="U288" s="32">
        <v>3</v>
      </c>
      <c r="V288" s="33" t="s">
        <v>39</v>
      </c>
      <c r="W288" s="32"/>
      <c r="X288" s="32">
        <v>2</v>
      </c>
      <c r="Y288" s="33" t="s">
        <v>77</v>
      </c>
      <c r="Z288" s="33"/>
      <c r="AA288" s="33"/>
      <c r="AB288" s="34"/>
      <c r="AC288" s="6"/>
      <c r="AD288" s="6"/>
      <c r="AE288" s="7"/>
    </row>
    <row r="289" spans="1:31" ht="12.75" x14ac:dyDescent="0.2">
      <c r="A289" s="22"/>
      <c r="B289" s="39" t="s">
        <v>357</v>
      </c>
      <c r="C289" s="40" t="s">
        <v>366</v>
      </c>
      <c r="D289" s="5">
        <v>81</v>
      </c>
      <c r="E289" s="5">
        <v>122</v>
      </c>
      <c r="F289" s="5">
        <v>439</v>
      </c>
      <c r="G289" s="25">
        <v>439</v>
      </c>
      <c r="H289" s="26">
        <f ca="1">IFERROR(__xludf.DUMMYFUNCTION("(R289 * IFERROR(IF(S289&lt;&gt;"""",FILTER($G:$G,$C:$C=S289),0), 0)) + (U289 * IFERROR(IF(V289&lt;&gt;"""",FILTER($G:$G,$C:$C=V289),0), 0)) + (X289 * IFERROR(IF(Y289&lt;&gt;"""",FILTER($G:$G,$C:$C=Y289),0), 0)) + (AA289 * IFERROR(IF(AB289&lt;&gt;"""",FILTER($G:$G,$C:$C=AB289),0)"&amp;", 0))"),370)</f>
        <v>370</v>
      </c>
      <c r="I289" s="27">
        <f t="shared" ca="1" si="8"/>
        <v>69</v>
      </c>
      <c r="J289" s="5">
        <v>60</v>
      </c>
      <c r="K289" s="5">
        <v>51</v>
      </c>
      <c r="L289" s="5">
        <f t="shared" si="12"/>
        <v>60</v>
      </c>
      <c r="M289" s="28">
        <f t="shared" si="9"/>
        <v>7.32</v>
      </c>
      <c r="N289" s="29">
        <f t="shared" ca="1" si="10"/>
        <v>1.1499999999999999</v>
      </c>
      <c r="O289" s="5">
        <v>52</v>
      </c>
      <c r="P289" s="43">
        <f t="shared" si="11"/>
        <v>0.87</v>
      </c>
      <c r="Q289" s="60">
        <v>43102</v>
      </c>
      <c r="R289" s="32">
        <v>1</v>
      </c>
      <c r="S289" s="33" t="s">
        <v>21</v>
      </c>
      <c r="T289" s="32"/>
      <c r="U289" s="32">
        <v>1</v>
      </c>
      <c r="V289" s="33" t="s">
        <v>57</v>
      </c>
      <c r="W289" s="32"/>
      <c r="X289" s="32">
        <v>1</v>
      </c>
      <c r="Y289" s="33" t="s">
        <v>37</v>
      </c>
      <c r="Z289" s="32"/>
      <c r="AA289" s="32">
        <v>1</v>
      </c>
      <c r="AB289" s="34" t="s">
        <v>83</v>
      </c>
      <c r="AC289" s="6"/>
      <c r="AD289" s="6"/>
      <c r="AE289" s="7"/>
    </row>
    <row r="290" spans="1:31" ht="12.75" x14ac:dyDescent="0.2">
      <c r="A290" s="22"/>
      <c r="B290" s="39" t="s">
        <v>357</v>
      </c>
      <c r="C290" s="40" t="s">
        <v>367</v>
      </c>
      <c r="D290" s="5">
        <v>87</v>
      </c>
      <c r="E290" s="5">
        <v>66</v>
      </c>
      <c r="F290" s="5">
        <v>237</v>
      </c>
      <c r="G290" s="25">
        <v>237</v>
      </c>
      <c r="H290" s="26">
        <f ca="1">IFERROR(__xludf.DUMMYFUNCTION("(R290 * IFERROR(IF(S290&lt;&gt;"""",FILTER($G:$G,$C:$C=S290),0), 0)) + (U290 * IFERROR(IF(V290&lt;&gt;"""",FILTER($G:$G,$C:$C=V290),0), 0)) + (X290 * IFERROR(IF(Y290&lt;&gt;"""",FILTER($G:$G,$C:$C=Y290),0), 0)) + (AA290 * IFERROR(IF(AB290&lt;&gt;"""",FILTER($G:$G,$C:$C=AB290),0)"&amp;", 0))"),210)</f>
        <v>210</v>
      </c>
      <c r="I290" s="27">
        <f t="shared" ca="1" si="8"/>
        <v>27</v>
      </c>
      <c r="J290" s="5">
        <v>74</v>
      </c>
      <c r="K290" s="5">
        <v>63</v>
      </c>
      <c r="L290" s="5">
        <f t="shared" si="12"/>
        <v>74</v>
      </c>
      <c r="M290" s="28">
        <f t="shared" si="9"/>
        <v>3.2</v>
      </c>
      <c r="N290" s="29">
        <f t="shared" ca="1" si="10"/>
        <v>0.36</v>
      </c>
      <c r="O290" s="5">
        <v>28</v>
      </c>
      <c r="P290" s="43">
        <f t="shared" si="11"/>
        <v>0.38</v>
      </c>
      <c r="Q290" s="31">
        <v>2</v>
      </c>
      <c r="R290" s="32">
        <v>3</v>
      </c>
      <c r="S290" s="33" t="s">
        <v>182</v>
      </c>
      <c r="T290" s="32"/>
      <c r="U290" s="32">
        <v>1</v>
      </c>
      <c r="V290" s="33" t="s">
        <v>77</v>
      </c>
      <c r="W290" s="32"/>
      <c r="X290" s="32">
        <v>3</v>
      </c>
      <c r="Y290" s="33" t="s">
        <v>39</v>
      </c>
      <c r="Z290" s="33"/>
      <c r="AA290" s="33"/>
      <c r="AB290" s="34"/>
      <c r="AC290" s="6"/>
      <c r="AD290" s="6"/>
      <c r="AE290" s="7"/>
    </row>
    <row r="291" spans="1:31" ht="12.75" x14ac:dyDescent="0.2">
      <c r="A291" s="22"/>
      <c r="B291" s="44" t="s">
        <v>357</v>
      </c>
      <c r="C291" s="45" t="s">
        <v>368</v>
      </c>
      <c r="D291" s="8">
        <v>104</v>
      </c>
      <c r="E291" s="8">
        <v>49</v>
      </c>
      <c r="F291" s="8">
        <v>176</v>
      </c>
      <c r="G291" s="37">
        <v>176</v>
      </c>
      <c r="H291" s="26">
        <f ca="1">IFERROR(__xludf.DUMMYFUNCTION("(R291 * IFERROR(IF(S291&lt;&gt;"""",FILTER($G:$G,$C:$C=S291),0), 0)) + (U291 * IFERROR(IF(V291&lt;&gt;"""",FILTER($G:$G,$C:$C=V291),0), 0)) + (X291 * IFERROR(IF(Y291&lt;&gt;"""",FILTER($G:$G,$C:$C=Y291),0), 0)) + (AA291 * IFERROR(IF(AB291&lt;&gt;"""",FILTER($G:$G,$C:$C=AB291),0)"&amp;", 0))"),140)</f>
        <v>140</v>
      </c>
      <c r="I291" s="27">
        <f t="shared" ca="1" si="8"/>
        <v>36</v>
      </c>
      <c r="J291" s="8">
        <v>80</v>
      </c>
      <c r="K291" s="8">
        <v>68</v>
      </c>
      <c r="L291" s="5">
        <f t="shared" si="12"/>
        <v>80</v>
      </c>
      <c r="M291" s="28">
        <f t="shared" si="9"/>
        <v>2.2000000000000002</v>
      </c>
      <c r="N291" s="29">
        <f t="shared" ca="1" si="10"/>
        <v>0.45</v>
      </c>
      <c r="O291" s="8">
        <v>21</v>
      </c>
      <c r="P291" s="29">
        <f t="shared" si="11"/>
        <v>0.26</v>
      </c>
      <c r="Q291" s="50"/>
      <c r="R291" s="46">
        <v>3</v>
      </c>
      <c r="S291" s="34" t="s">
        <v>90</v>
      </c>
      <c r="T291" s="46"/>
      <c r="U291" s="46">
        <v>1</v>
      </c>
      <c r="V291" s="34" t="s">
        <v>95</v>
      </c>
      <c r="W291" s="46"/>
      <c r="X291" s="46">
        <v>2</v>
      </c>
      <c r="Y291" s="34" t="s">
        <v>77</v>
      </c>
      <c r="Z291" s="34"/>
      <c r="AA291" s="34"/>
      <c r="AB291" s="34"/>
      <c r="AC291" s="7"/>
      <c r="AD291" s="7"/>
      <c r="AE291" s="7"/>
    </row>
    <row r="292" spans="1:31" ht="12.75" x14ac:dyDescent="0.2">
      <c r="A292" s="22"/>
      <c r="B292" s="54" t="s">
        <v>507</v>
      </c>
      <c r="C292" s="55" t="s">
        <v>437</v>
      </c>
      <c r="D292" s="8">
        <v>1</v>
      </c>
      <c r="E292" s="8">
        <v>1</v>
      </c>
      <c r="F292" s="8">
        <v>1</v>
      </c>
      <c r="G292" s="37">
        <v>1</v>
      </c>
      <c r="H292" s="26">
        <f ca="1">IFERROR(__xludf.DUMMYFUNCTION("(R292 * IFERROR(IF(S292&lt;&gt;"""",FILTER($G:$G,$C:$C=S292),0), 0)) + (U292 * IFERROR(IF(V292&lt;&gt;"""",FILTER($G:$G,$C:$C=V292),0), 0)) + (X292 * IFERROR(IF(Y292&lt;&gt;"""",FILTER($G:$G,$C:$C=Y292),0), 0)) + (AA292 * IFERROR(IF(AB292&lt;&gt;"""",FILTER($G:$G,$C:$C=AB292),0)"&amp;", 0))"),0)</f>
        <v>0</v>
      </c>
      <c r="I292" s="27">
        <f t="shared" ca="1" si="8"/>
        <v>1</v>
      </c>
      <c r="J292" s="7"/>
      <c r="K292" s="7"/>
      <c r="L292" s="5"/>
      <c r="M292" s="28" t="str">
        <f t="shared" si="9"/>
        <v>?</v>
      </c>
      <c r="N292" s="29" t="str">
        <f t="shared" ca="1" si="10"/>
        <v>?</v>
      </c>
      <c r="O292" s="7"/>
      <c r="P292" s="29" t="str">
        <f t="shared" si="11"/>
        <v>?</v>
      </c>
      <c r="Q292" s="7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7"/>
      <c r="AD292" s="7"/>
      <c r="AE292" s="7"/>
    </row>
    <row r="293" spans="1:31" ht="12.75" x14ac:dyDescent="0.2">
      <c r="A293" s="22"/>
      <c r="B293" s="23" t="s">
        <v>369</v>
      </c>
      <c r="C293" s="24" t="s">
        <v>28</v>
      </c>
      <c r="D293" s="5">
        <v>7</v>
      </c>
      <c r="E293" s="5">
        <v>9</v>
      </c>
      <c r="F293" s="5">
        <v>32</v>
      </c>
      <c r="G293" s="25">
        <v>32</v>
      </c>
      <c r="H293" s="26">
        <f ca="1">IFERROR(__xludf.DUMMYFUNCTION("(R293 * IFERROR(IF(S293&lt;&gt;"""",FILTER($G:$G,$C:$C=S293),0), 0)) + (U293 * IFERROR(IF(V293&lt;&gt;"""",FILTER($G:$G,$C:$C=V293),0), 0)) + (X293 * IFERROR(IF(Y293&lt;&gt;"""",FILTER($G:$G,$C:$C=Y293),0), 0)) + (AA293 * IFERROR(IF(AB293&lt;&gt;"""",FILTER($G:$G,$C:$C=AB293),0)"&amp;", 0))"),14)</f>
        <v>14</v>
      </c>
      <c r="I293" s="27">
        <f t="shared" ca="1" si="8"/>
        <v>18</v>
      </c>
      <c r="J293" s="5">
        <v>20</v>
      </c>
      <c r="K293" s="5">
        <v>17</v>
      </c>
      <c r="L293" s="5">
        <f t="shared" si="12"/>
        <v>20</v>
      </c>
      <c r="M293" s="28">
        <f t="shared" si="9"/>
        <v>1.6</v>
      </c>
      <c r="N293" s="29">
        <f t="shared" ca="1" si="10"/>
        <v>0.9</v>
      </c>
      <c r="O293" s="5">
        <v>4</v>
      </c>
      <c r="P293" s="43">
        <f t="shared" si="11"/>
        <v>0.2</v>
      </c>
      <c r="Q293" s="31" t="s">
        <v>508</v>
      </c>
      <c r="R293" s="32">
        <v>1</v>
      </c>
      <c r="S293" s="33" t="s">
        <v>463</v>
      </c>
      <c r="T293" s="33"/>
      <c r="U293" s="33"/>
      <c r="V293" s="33"/>
      <c r="W293" s="33"/>
      <c r="X293" s="33"/>
      <c r="Y293" s="33"/>
      <c r="Z293" s="33"/>
      <c r="AA293" s="33"/>
      <c r="AB293" s="34"/>
      <c r="AC293" s="6"/>
      <c r="AD293" s="6"/>
      <c r="AE293" s="7"/>
    </row>
    <row r="294" spans="1:31" ht="12.75" x14ac:dyDescent="0.2">
      <c r="A294" s="22"/>
      <c r="B294" s="23" t="s">
        <v>369</v>
      </c>
      <c r="C294" s="24" t="s">
        <v>40</v>
      </c>
      <c r="D294" s="5">
        <v>13</v>
      </c>
      <c r="E294" s="5">
        <v>14</v>
      </c>
      <c r="F294" s="5">
        <v>50</v>
      </c>
      <c r="G294" s="25">
        <v>50</v>
      </c>
      <c r="H294" s="26">
        <f ca="1">IFERROR(__xludf.DUMMYFUNCTION("(R294 * IFERROR(IF(S294&lt;&gt;"""",FILTER($G:$G,$C:$C=S294),0), 0)) + (U294 * IFERROR(IF(V294&lt;&gt;"""",FILTER($G:$G,$C:$C=V294),0), 0)) + (X294 * IFERROR(IF(Y294&lt;&gt;"""",FILTER($G:$G,$C:$C=Y294),0), 0)) + (AA294 * IFERROR(IF(AB294&lt;&gt;"""",FILTER($G:$G,$C:$C=AB294),0)"&amp;", 0))"),28)</f>
        <v>28</v>
      </c>
      <c r="I294" s="27">
        <f t="shared" ca="1" si="8"/>
        <v>22</v>
      </c>
      <c r="J294" s="5">
        <v>40</v>
      </c>
      <c r="K294" s="5">
        <v>34</v>
      </c>
      <c r="L294" s="5">
        <f t="shared" si="12"/>
        <v>40</v>
      </c>
      <c r="M294" s="28">
        <f t="shared" si="9"/>
        <v>1.25</v>
      </c>
      <c r="N294" s="29">
        <f t="shared" ca="1" si="10"/>
        <v>0.55000000000000004</v>
      </c>
      <c r="O294" s="5">
        <v>6</v>
      </c>
      <c r="P294" s="43">
        <f t="shared" si="11"/>
        <v>0.15</v>
      </c>
      <c r="Q294" s="31" t="s">
        <v>509</v>
      </c>
      <c r="R294" s="32">
        <v>2</v>
      </c>
      <c r="S294" s="33" t="s">
        <v>463</v>
      </c>
      <c r="T294" s="33"/>
      <c r="U294" s="33"/>
      <c r="V294" s="33"/>
      <c r="W294" s="33"/>
      <c r="X294" s="33"/>
      <c r="Y294" s="33"/>
      <c r="Z294" s="33"/>
      <c r="AA294" s="33"/>
      <c r="AB294" s="34"/>
      <c r="AC294" s="6"/>
      <c r="AD294" s="6"/>
      <c r="AE294" s="7"/>
    </row>
    <row r="295" spans="1:31" ht="12.75" x14ac:dyDescent="0.2">
      <c r="A295" s="22"/>
      <c r="B295" s="35" t="s">
        <v>369</v>
      </c>
      <c r="C295" s="36" t="s">
        <v>47</v>
      </c>
      <c r="D295" s="8">
        <v>18</v>
      </c>
      <c r="E295" s="8">
        <v>25</v>
      </c>
      <c r="F295" s="8">
        <v>90</v>
      </c>
      <c r="G295" s="37">
        <v>90</v>
      </c>
      <c r="H295" s="26">
        <f ca="1">IFERROR(__xludf.DUMMYFUNCTION("(R295 * IFERROR(IF(S295&lt;&gt;"""",FILTER($G:$G,$C:$C=S295),0), 0)) + (U295 * IFERROR(IF(V295&lt;&gt;"""",FILTER($G:$G,$C:$C=V295),0), 0)) + (X295 * IFERROR(IF(Y295&lt;&gt;"""",FILTER($G:$G,$C:$C=Y295),0), 0)) + (AA295 * IFERROR(IF(AB295&lt;&gt;"""",FILTER($G:$G,$C:$C=AB295),0)"&amp;", 0))"),56)</f>
        <v>56</v>
      </c>
      <c r="I295" s="27">
        <f t="shared" ca="1" si="8"/>
        <v>34</v>
      </c>
      <c r="J295" s="8">
        <v>90</v>
      </c>
      <c r="K295" s="8">
        <v>76</v>
      </c>
      <c r="L295" s="5">
        <f t="shared" si="12"/>
        <v>90</v>
      </c>
      <c r="M295" s="28">
        <f t="shared" si="9"/>
        <v>1</v>
      </c>
      <c r="N295" s="29">
        <f t="shared" ca="1" si="10"/>
        <v>0.38</v>
      </c>
      <c r="O295" s="8">
        <v>11</v>
      </c>
      <c r="P295" s="29">
        <f t="shared" si="11"/>
        <v>0.12</v>
      </c>
      <c r="Q295" s="38" t="s">
        <v>438</v>
      </c>
      <c r="R295" s="46">
        <v>4</v>
      </c>
      <c r="S295" s="34" t="s">
        <v>463</v>
      </c>
      <c r="T295" s="34"/>
      <c r="U295" s="34"/>
      <c r="V295" s="34"/>
      <c r="W295" s="34"/>
      <c r="X295" s="34"/>
      <c r="Y295" s="34"/>
      <c r="Z295" s="34"/>
      <c r="AA295" s="34"/>
      <c r="AB295" s="34"/>
      <c r="AC295" s="7"/>
      <c r="AD295" s="7"/>
      <c r="AE295" s="7"/>
    </row>
    <row r="296" spans="1:31" ht="12.75" x14ac:dyDescent="0.2">
      <c r="A296" s="22"/>
      <c r="B296" s="39" t="s">
        <v>371</v>
      </c>
      <c r="C296" s="40" t="s">
        <v>372</v>
      </c>
      <c r="D296" s="5">
        <v>56</v>
      </c>
      <c r="E296" s="5">
        <v>136</v>
      </c>
      <c r="F296" s="5">
        <v>489</v>
      </c>
      <c r="G296" s="25">
        <v>489</v>
      </c>
      <c r="H296" s="26">
        <f ca="1">IFERROR(__xludf.DUMMYFUNCTION("(R296 * IFERROR(IF(S296&lt;&gt;"""",FILTER($G:$G,$C:$C=S296),0), 0)) + (U296 * IFERROR(IF(V296&lt;&gt;"""",FILTER($G:$G,$C:$C=V296),0), 0)) + (X296 * IFERROR(IF(Y296&lt;&gt;"""",FILTER($G:$G,$C:$C=Y296),0), 0)) + (AA296 * IFERROR(IF(AB296&lt;&gt;"""",FILTER($G:$G,$C:$C=AB296),0)"&amp;", 0))"),478)</f>
        <v>478</v>
      </c>
      <c r="I296" s="27">
        <f t="shared" ca="1" si="8"/>
        <v>11</v>
      </c>
      <c r="J296" s="5">
        <v>60</v>
      </c>
      <c r="K296" s="5">
        <v>51</v>
      </c>
      <c r="L296" s="5">
        <f t="shared" si="12"/>
        <v>60</v>
      </c>
      <c r="M296" s="28">
        <f t="shared" si="9"/>
        <v>8.15</v>
      </c>
      <c r="N296" s="29">
        <f t="shared" ca="1" si="10"/>
        <v>0.18</v>
      </c>
      <c r="O296" s="5">
        <v>58</v>
      </c>
      <c r="P296" s="43">
        <f t="shared" si="11"/>
        <v>0.97</v>
      </c>
      <c r="Q296" s="31" t="s">
        <v>444</v>
      </c>
      <c r="R296" s="32">
        <v>15</v>
      </c>
      <c r="S296" s="33" t="s">
        <v>84</v>
      </c>
      <c r="T296" s="32"/>
      <c r="U296" s="32">
        <v>1</v>
      </c>
      <c r="V296" s="33" t="s">
        <v>43</v>
      </c>
      <c r="W296" s="32"/>
      <c r="X296" s="32">
        <v>1</v>
      </c>
      <c r="Y296" s="33" t="s">
        <v>338</v>
      </c>
      <c r="Z296" s="33"/>
      <c r="AA296" s="33"/>
      <c r="AB296" s="34"/>
      <c r="AC296" s="6"/>
      <c r="AD296" s="6"/>
      <c r="AE296" s="7"/>
    </row>
    <row r="297" spans="1:31" ht="12.75" x14ac:dyDescent="0.2">
      <c r="A297" s="22"/>
      <c r="B297" s="39" t="s">
        <v>371</v>
      </c>
      <c r="C297" s="40" t="s">
        <v>373</v>
      </c>
      <c r="D297" s="5">
        <v>59</v>
      </c>
      <c r="E297" s="5">
        <v>177</v>
      </c>
      <c r="F297" s="5">
        <v>637</v>
      </c>
      <c r="G297" s="25">
        <v>637</v>
      </c>
      <c r="H297" s="26">
        <f ca="1">IFERROR(__xludf.DUMMYFUNCTION("(R297 * IFERROR(IF(S297&lt;&gt;"""",FILTER($G:$G,$C:$C=S297),0), 0)) + (U297 * IFERROR(IF(V297&lt;&gt;"""",FILTER($G:$G,$C:$C=V297),0), 0)) + (X297 * IFERROR(IF(Y297&lt;&gt;"""",FILTER($G:$G,$C:$C=Y297),0), 0)) + (AA297 * IFERROR(IF(AB297&lt;&gt;"""",FILTER($G:$G,$C:$C=AB297),0)"&amp;", 0))"),625)</f>
        <v>625</v>
      </c>
      <c r="I297" s="27">
        <f t="shared" ca="1" si="8"/>
        <v>12</v>
      </c>
      <c r="J297" s="5">
        <v>60</v>
      </c>
      <c r="K297" s="5">
        <v>51</v>
      </c>
      <c r="L297" s="5">
        <f t="shared" si="12"/>
        <v>60</v>
      </c>
      <c r="M297" s="28">
        <f t="shared" si="9"/>
        <v>10.62</v>
      </c>
      <c r="N297" s="29">
        <f t="shared" ca="1" si="10"/>
        <v>0.2</v>
      </c>
      <c r="O297" s="5">
        <v>76</v>
      </c>
      <c r="P297" s="43">
        <f t="shared" si="11"/>
        <v>1.27</v>
      </c>
      <c r="Q297" s="31">
        <v>1</v>
      </c>
      <c r="R297" s="32">
        <v>15</v>
      </c>
      <c r="S297" s="33" t="s">
        <v>84</v>
      </c>
      <c r="T297" s="32"/>
      <c r="U297" s="32">
        <v>1</v>
      </c>
      <c r="V297" s="33" t="s">
        <v>44</v>
      </c>
      <c r="W297" s="32"/>
      <c r="X297" s="32">
        <v>1</v>
      </c>
      <c r="Y297" s="33" t="s">
        <v>338</v>
      </c>
      <c r="Z297" s="33"/>
      <c r="AA297" s="33"/>
      <c r="AB297" s="34"/>
      <c r="AC297" s="6"/>
      <c r="AD297" s="6"/>
      <c r="AE297" s="7"/>
    </row>
    <row r="298" spans="1:31" ht="12.75" x14ac:dyDescent="0.2">
      <c r="A298" s="22"/>
      <c r="B298" s="39" t="s">
        <v>371</v>
      </c>
      <c r="C298" s="40" t="s">
        <v>374</v>
      </c>
      <c r="D298" s="5">
        <v>63</v>
      </c>
      <c r="E298" s="5">
        <v>153</v>
      </c>
      <c r="F298" s="5">
        <v>550</v>
      </c>
      <c r="G298" s="25">
        <v>550</v>
      </c>
      <c r="H298" s="41">
        <f ca="1">IFERROR(__xludf.DUMMYFUNCTION("(R298 * IFERROR(IF(S298&lt;&gt;"""",FILTER($G:$G,$C:$C=S298),0), 0)) + (U298 * IFERROR(IF(V298&lt;&gt;"""",FILTER($G:$G,$C:$C=V298),0), 0)) + (X298 * IFERROR(IF(Y298&lt;&gt;"""",FILTER($G:$G,$C:$C=Y298),0), 0)) + (AA298 * IFERROR(IF(AB298&lt;&gt;"""",FILTER($G:$G,$C:$C=AB298),0)"&amp;", 0))"),528)</f>
        <v>528</v>
      </c>
      <c r="I298" s="30">
        <f t="shared" ca="1" si="8"/>
        <v>22</v>
      </c>
      <c r="J298" s="5">
        <v>120</v>
      </c>
      <c r="K298" s="5">
        <v>102</v>
      </c>
      <c r="L298" s="5">
        <f t="shared" si="12"/>
        <v>120</v>
      </c>
      <c r="M298" s="42">
        <f t="shared" si="9"/>
        <v>4.58</v>
      </c>
      <c r="N298" s="43">
        <f t="shared" ca="1" si="10"/>
        <v>0.18</v>
      </c>
      <c r="O298" s="5">
        <v>66</v>
      </c>
      <c r="P298" s="43">
        <f t="shared" si="11"/>
        <v>0.55000000000000004</v>
      </c>
      <c r="Q298" s="31">
        <v>1</v>
      </c>
      <c r="R298" s="32">
        <v>15</v>
      </c>
      <c r="S298" s="33" t="s">
        <v>84</v>
      </c>
      <c r="T298" s="32"/>
      <c r="U298" s="32">
        <v>4</v>
      </c>
      <c r="V298" s="33" t="s">
        <v>26</v>
      </c>
      <c r="W298" s="32"/>
      <c r="X298" s="32">
        <v>1</v>
      </c>
      <c r="Y298" s="33" t="s">
        <v>338</v>
      </c>
      <c r="Z298" s="32"/>
      <c r="AA298" s="32">
        <v>1</v>
      </c>
      <c r="AB298" s="34" t="s">
        <v>28</v>
      </c>
      <c r="AC298" s="6"/>
      <c r="AD298" s="6"/>
      <c r="AE298" s="6"/>
    </row>
    <row r="299" spans="1:31" ht="12.75" x14ac:dyDescent="0.2">
      <c r="A299" s="22"/>
      <c r="B299" s="39" t="s">
        <v>371</v>
      </c>
      <c r="C299" s="40" t="s">
        <v>375</v>
      </c>
      <c r="D299" s="5">
        <v>76</v>
      </c>
      <c r="E299" s="5">
        <v>180</v>
      </c>
      <c r="F299" s="5">
        <v>648</v>
      </c>
      <c r="G299" s="25">
        <v>648</v>
      </c>
      <c r="H299" s="41">
        <f ca="1">IFERROR(__xludf.DUMMYFUNCTION("(R299 * IFERROR(IF(S299&lt;&gt;"""",FILTER($G:$G,$C:$C=S299),0), 0)) + (U299 * IFERROR(IF(V299&lt;&gt;"""",FILTER($G:$G,$C:$C=V299),0), 0)) + (X299 * IFERROR(IF(Y299&lt;&gt;"""",FILTER($G:$G,$C:$C=Y299),0), 0)) + (AA299 * IFERROR(IF(AB299&lt;&gt;"""",FILTER($G:$G,$C:$C=AB299),0)"&amp;", 0))"),574)</f>
        <v>574</v>
      </c>
      <c r="I299" s="30">
        <f t="shared" ca="1" si="8"/>
        <v>74</v>
      </c>
      <c r="J299" s="5">
        <v>90</v>
      </c>
      <c r="K299" s="5">
        <v>76</v>
      </c>
      <c r="L299" s="5">
        <f t="shared" si="12"/>
        <v>90</v>
      </c>
      <c r="M299" s="42">
        <f t="shared" si="9"/>
        <v>7.2</v>
      </c>
      <c r="N299" s="43">
        <f t="shared" ca="1" si="10"/>
        <v>0.82</v>
      </c>
      <c r="O299" s="5">
        <v>77</v>
      </c>
      <c r="P299" s="43">
        <f t="shared" si="11"/>
        <v>0.86</v>
      </c>
      <c r="Q299" s="31">
        <v>1</v>
      </c>
      <c r="R299" s="32">
        <v>20</v>
      </c>
      <c r="S299" s="33" t="s">
        <v>84</v>
      </c>
      <c r="T299" s="32"/>
      <c r="U299" s="32">
        <v>3</v>
      </c>
      <c r="V299" s="33" t="s">
        <v>26</v>
      </c>
      <c r="W299" s="32"/>
      <c r="X299" s="32">
        <v>5</v>
      </c>
      <c r="Y299" s="33" t="s">
        <v>200</v>
      </c>
      <c r="Z299" s="32"/>
      <c r="AA299" s="32">
        <v>1</v>
      </c>
      <c r="AB299" s="34" t="s">
        <v>510</v>
      </c>
      <c r="AC299" s="6"/>
      <c r="AD299" s="6"/>
      <c r="AE299" s="6"/>
    </row>
    <row r="300" spans="1:31" ht="12.75" x14ac:dyDescent="0.2">
      <c r="A300" s="22"/>
      <c r="B300" s="44" t="s">
        <v>371</v>
      </c>
      <c r="C300" s="45" t="s">
        <v>376</v>
      </c>
      <c r="D300" s="8">
        <v>110</v>
      </c>
      <c r="E300" s="8">
        <v>129</v>
      </c>
      <c r="F300" s="8">
        <v>464</v>
      </c>
      <c r="G300" s="37">
        <v>464</v>
      </c>
      <c r="H300" s="26">
        <f ca="1">IFERROR(__xludf.DUMMYFUNCTION("(R300 * IFERROR(IF(S300&lt;&gt;"""",FILTER($G:$G,$C:$C=S300),0), 0)) + (U300 * IFERROR(IF(V300&lt;&gt;"""",FILTER($G:$G,$C:$C=V300),0), 0)) + (X300 * IFERROR(IF(Y300&lt;&gt;"""",FILTER($G:$G,$C:$C=Y300),0), 0)) + (AA300 * IFERROR(IF(AB300&lt;&gt;"""",FILTER($G:$G,$C:$C=AB300),0)"&amp;", 0))"),460)</f>
        <v>460</v>
      </c>
      <c r="I300" s="27">
        <f t="shared" ca="1" si="8"/>
        <v>4</v>
      </c>
      <c r="J300" s="8">
        <v>45</v>
      </c>
      <c r="K300" s="8">
        <v>38</v>
      </c>
      <c r="L300" s="5">
        <f t="shared" si="12"/>
        <v>45</v>
      </c>
      <c r="M300" s="28">
        <f t="shared" si="9"/>
        <v>10.31</v>
      </c>
      <c r="N300" s="29">
        <f t="shared" ca="1" si="10"/>
        <v>0.09</v>
      </c>
      <c r="O300" s="8">
        <v>55</v>
      </c>
      <c r="P300" s="29">
        <f t="shared" si="11"/>
        <v>1.22</v>
      </c>
      <c r="Q300" s="38"/>
      <c r="R300" s="46">
        <v>20</v>
      </c>
      <c r="S300" s="34" t="s">
        <v>84</v>
      </c>
      <c r="T300" s="46"/>
      <c r="U300" s="46">
        <v>1</v>
      </c>
      <c r="V300" s="34" t="s">
        <v>91</v>
      </c>
      <c r="W300" s="46"/>
      <c r="X300" s="46">
        <v>1</v>
      </c>
      <c r="Y300" s="34" t="s">
        <v>223</v>
      </c>
      <c r="Z300" s="34"/>
      <c r="AA300" s="34"/>
      <c r="AB300" s="34"/>
      <c r="AC300" s="7"/>
      <c r="AD300" s="7"/>
      <c r="AE300" s="7"/>
    </row>
    <row r="301" spans="1:31" ht="12.75" x14ac:dyDescent="0.2">
      <c r="A301" s="22"/>
      <c r="B301" s="23" t="s">
        <v>377</v>
      </c>
      <c r="C301" s="24" t="s">
        <v>378</v>
      </c>
      <c r="D301" s="5">
        <v>77</v>
      </c>
      <c r="E301" s="5">
        <v>110</v>
      </c>
      <c r="F301" s="5">
        <v>396</v>
      </c>
      <c r="G301" s="25">
        <v>396</v>
      </c>
      <c r="H301" s="26">
        <f ca="1">IFERROR(__xludf.DUMMYFUNCTION("(R301 * IFERROR(IF(S301&lt;&gt;"""",FILTER($G:$G,$C:$C=S301),0), 0)) + (U301 * IFERROR(IF(V301&lt;&gt;"""",FILTER($G:$G,$C:$C=V301),0), 0)) + (X301 * IFERROR(IF(Y301&lt;&gt;"""",FILTER($G:$G,$C:$C=Y301),0), 0)) + (AA301 * IFERROR(IF(AB301&lt;&gt;"""",FILTER($G:$G,$C:$C=AB301),0)"&amp;", 0))"),374)</f>
        <v>374</v>
      </c>
      <c r="I301" s="27">
        <f t="shared" ca="1" si="8"/>
        <v>22</v>
      </c>
      <c r="J301" s="5">
        <v>45</v>
      </c>
      <c r="K301" s="5">
        <v>38</v>
      </c>
      <c r="L301" s="5">
        <f t="shared" si="12"/>
        <v>45</v>
      </c>
      <c r="M301" s="28">
        <f t="shared" si="9"/>
        <v>8.8000000000000007</v>
      </c>
      <c r="N301" s="29">
        <f t="shared" ca="1" si="10"/>
        <v>0.49</v>
      </c>
      <c r="O301" s="5">
        <v>47</v>
      </c>
      <c r="P301" s="43">
        <f t="shared" si="11"/>
        <v>1.04</v>
      </c>
      <c r="Q301" s="31">
        <v>2</v>
      </c>
      <c r="R301" s="32">
        <v>1</v>
      </c>
      <c r="S301" s="33" t="s">
        <v>24</v>
      </c>
      <c r="T301" s="32"/>
      <c r="U301" s="32">
        <v>1</v>
      </c>
      <c r="V301" s="33" t="s">
        <v>66</v>
      </c>
      <c r="W301" s="32"/>
      <c r="X301" s="32">
        <v>1</v>
      </c>
      <c r="Y301" s="33" t="s">
        <v>87</v>
      </c>
      <c r="Z301" s="33"/>
      <c r="AA301" s="33"/>
      <c r="AB301" s="34"/>
      <c r="AC301" s="6"/>
      <c r="AD301" s="6"/>
      <c r="AE301" s="7"/>
    </row>
    <row r="302" spans="1:31" ht="12.75" x14ac:dyDescent="0.2">
      <c r="A302" s="22"/>
      <c r="B302" s="23" t="s">
        <v>377</v>
      </c>
      <c r="C302" s="24" t="s">
        <v>379</v>
      </c>
      <c r="D302" s="5">
        <v>79</v>
      </c>
      <c r="E302" s="5">
        <v>109</v>
      </c>
      <c r="F302" s="5">
        <v>392</v>
      </c>
      <c r="G302" s="25">
        <v>392</v>
      </c>
      <c r="H302" s="26">
        <f ca="1">IFERROR(__xludf.DUMMYFUNCTION("(R302 * IFERROR(IF(S302&lt;&gt;"""",FILTER($G:$G,$C:$C=S302),0), 0)) + (U302 * IFERROR(IF(V302&lt;&gt;"""",FILTER($G:$G,$C:$C=V302),0), 0)) + (X302 * IFERROR(IF(Y302&lt;&gt;"""",FILTER($G:$G,$C:$C=Y302),0), 0)) + (AA302 * IFERROR(IF(AB302&lt;&gt;"""",FILTER($G:$G,$C:$C=AB302),0)"&amp;", 0))"),363)</f>
        <v>363</v>
      </c>
      <c r="I302" s="27">
        <f t="shared" ca="1" si="8"/>
        <v>29</v>
      </c>
      <c r="J302" s="5">
        <v>90</v>
      </c>
      <c r="K302" s="5">
        <v>76</v>
      </c>
      <c r="L302" s="5">
        <f t="shared" si="12"/>
        <v>90</v>
      </c>
      <c r="M302" s="28">
        <f t="shared" si="9"/>
        <v>4.3600000000000003</v>
      </c>
      <c r="N302" s="29">
        <f t="shared" ca="1" si="10"/>
        <v>0.32</v>
      </c>
      <c r="O302" s="5">
        <v>44</v>
      </c>
      <c r="P302" s="43">
        <f t="shared" si="11"/>
        <v>0.49</v>
      </c>
      <c r="Q302" s="31" t="s">
        <v>444</v>
      </c>
      <c r="R302" s="32">
        <v>2</v>
      </c>
      <c r="S302" s="33" t="s">
        <v>37</v>
      </c>
      <c r="T302" s="32"/>
      <c r="U302" s="32">
        <v>2</v>
      </c>
      <c r="V302" s="33" t="s">
        <v>24</v>
      </c>
      <c r="W302" s="32"/>
      <c r="X302" s="32">
        <v>1</v>
      </c>
      <c r="Y302" s="33" t="s">
        <v>43</v>
      </c>
      <c r="Z302" s="32"/>
      <c r="AA302" s="32">
        <v>1</v>
      </c>
      <c r="AB302" s="34" t="s">
        <v>58</v>
      </c>
      <c r="AC302" s="6"/>
      <c r="AD302" s="6"/>
      <c r="AE302" s="7"/>
    </row>
    <row r="303" spans="1:31" ht="12.75" x14ac:dyDescent="0.2">
      <c r="A303" s="22"/>
      <c r="B303" s="23" t="s">
        <v>377</v>
      </c>
      <c r="C303" s="24" t="s">
        <v>380</v>
      </c>
      <c r="D303" s="5">
        <v>82</v>
      </c>
      <c r="E303" s="5">
        <v>67</v>
      </c>
      <c r="F303" s="5">
        <v>241</v>
      </c>
      <c r="G303" s="25">
        <v>241</v>
      </c>
      <c r="H303" s="26">
        <f ca="1">IFERROR(__xludf.DUMMYFUNCTION("(R303 * IFERROR(IF(S303&lt;&gt;"""",FILTER($G:$G,$C:$C=S303),0), 0)) + (U303 * IFERROR(IF(V303&lt;&gt;"""",FILTER($G:$G,$C:$C=V303),0), 0)) + (X303 * IFERROR(IF(Y303&lt;&gt;"""",FILTER($G:$G,$C:$C=Y303),0), 0)) + (AA303 * IFERROR(IF(AB303&lt;&gt;"""",FILTER($G:$G,$C:$C=AB303),0)"&amp;", 0))"),206)</f>
        <v>206</v>
      </c>
      <c r="I303" s="27">
        <f t="shared" ca="1" si="8"/>
        <v>35</v>
      </c>
      <c r="J303" s="5">
        <v>60</v>
      </c>
      <c r="K303" s="5">
        <v>51</v>
      </c>
      <c r="L303" s="5">
        <f t="shared" si="12"/>
        <v>60</v>
      </c>
      <c r="M303" s="28">
        <f t="shared" si="9"/>
        <v>4.0199999999999996</v>
      </c>
      <c r="N303" s="29">
        <f t="shared" ca="1" si="10"/>
        <v>0.57999999999999996</v>
      </c>
      <c r="O303" s="5">
        <v>29</v>
      </c>
      <c r="P303" s="43">
        <f t="shared" si="11"/>
        <v>0.48</v>
      </c>
      <c r="Q303" s="31" t="s">
        <v>446</v>
      </c>
      <c r="R303" s="32">
        <v>1</v>
      </c>
      <c r="S303" s="33" t="s">
        <v>35</v>
      </c>
      <c r="T303" s="32"/>
      <c r="U303" s="32">
        <v>2</v>
      </c>
      <c r="V303" s="33" t="s">
        <v>37</v>
      </c>
      <c r="W303" s="32"/>
      <c r="X303" s="32">
        <v>4</v>
      </c>
      <c r="Y303" s="33" t="s">
        <v>22</v>
      </c>
      <c r="Z303" s="33"/>
      <c r="AA303" s="33"/>
      <c r="AB303" s="34"/>
      <c r="AC303" s="6"/>
      <c r="AD303" s="6"/>
      <c r="AE303" s="7"/>
    </row>
    <row r="304" spans="1:31" ht="12.75" x14ac:dyDescent="0.2">
      <c r="A304" s="22"/>
      <c r="B304" s="35" t="s">
        <v>377</v>
      </c>
      <c r="C304" s="36" t="s">
        <v>381</v>
      </c>
      <c r="D304" s="8">
        <v>87</v>
      </c>
      <c r="E304" s="8">
        <v>120</v>
      </c>
      <c r="F304" s="8">
        <v>430</v>
      </c>
      <c r="G304" s="37">
        <v>430</v>
      </c>
      <c r="H304" s="26">
        <f ca="1">IFERROR(__xludf.DUMMYFUNCTION("(R304 * IFERROR(IF(S304&lt;&gt;"""",FILTER($G:$G,$C:$C=S304),0), 0)) + (U304 * IFERROR(IF(V304&lt;&gt;"""",FILTER($G:$G,$C:$C=V304),0), 0)) + (X304 * IFERROR(IF(Y304&lt;&gt;"""",FILTER($G:$G,$C:$C=Y304),0), 0)) + (AA304 * IFERROR(IF(AB304&lt;&gt;"""",FILTER($G:$G,$C:$C=AB304),0)"&amp;", 0))"),402)</f>
        <v>402</v>
      </c>
      <c r="I304" s="27">
        <f t="shared" ca="1" si="8"/>
        <v>28</v>
      </c>
      <c r="J304" s="8">
        <v>75</v>
      </c>
      <c r="K304" s="8">
        <v>64</v>
      </c>
      <c r="L304" s="5">
        <f t="shared" si="12"/>
        <v>75</v>
      </c>
      <c r="M304" s="28">
        <f t="shared" si="9"/>
        <v>5.73</v>
      </c>
      <c r="N304" s="29">
        <f t="shared" ca="1" si="10"/>
        <v>0.37</v>
      </c>
      <c r="O304" s="8">
        <v>52</v>
      </c>
      <c r="P304" s="29">
        <f t="shared" si="11"/>
        <v>0.69</v>
      </c>
      <c r="Q304" s="38" t="s">
        <v>446</v>
      </c>
      <c r="R304" s="46">
        <v>1</v>
      </c>
      <c r="S304" s="34" t="s">
        <v>35</v>
      </c>
      <c r="T304" s="46"/>
      <c r="U304" s="46">
        <v>4</v>
      </c>
      <c r="V304" s="34" t="s">
        <v>25</v>
      </c>
      <c r="W304" s="46"/>
      <c r="X304" s="46">
        <v>1</v>
      </c>
      <c r="Y304" s="34" t="s">
        <v>87</v>
      </c>
      <c r="Z304" s="34"/>
      <c r="AA304" s="34"/>
      <c r="AB304" s="34"/>
      <c r="AC304" s="7"/>
      <c r="AD304" s="7"/>
      <c r="AE304" s="7"/>
    </row>
    <row r="305" spans="1:31" ht="12.75" x14ac:dyDescent="0.2">
      <c r="A305" s="22"/>
      <c r="B305" s="39" t="s">
        <v>382</v>
      </c>
      <c r="C305" s="40" t="s">
        <v>383</v>
      </c>
      <c r="D305" s="5">
        <v>80</v>
      </c>
      <c r="E305" s="5">
        <v>67</v>
      </c>
      <c r="F305" s="5">
        <v>241</v>
      </c>
      <c r="G305" s="25">
        <v>241</v>
      </c>
      <c r="H305" s="26">
        <f ca="1">IFERROR(__xludf.DUMMYFUNCTION("(R305 * IFERROR(IF(S305&lt;&gt;"""",FILTER($G:$G,$C:$C=S305),0), 0)) + (U305 * IFERROR(IF(V305&lt;&gt;"""",FILTER($G:$G,$C:$C=V305),0), 0)) + (X305 * IFERROR(IF(Y305&lt;&gt;"""",FILTER($G:$G,$C:$C=Y305),0), 0)) + (AA305 * IFERROR(IF(AB305&lt;&gt;"""",FILTER($G:$G,$C:$C=AB305),0)"&amp;", 0))"),215)</f>
        <v>215</v>
      </c>
      <c r="I305" s="27">
        <f t="shared" ca="1" si="8"/>
        <v>26</v>
      </c>
      <c r="J305" s="5">
        <v>30</v>
      </c>
      <c r="K305" s="5">
        <v>25</v>
      </c>
      <c r="L305" s="5">
        <f t="shared" si="12"/>
        <v>30</v>
      </c>
      <c r="M305" s="28">
        <f t="shared" si="9"/>
        <v>8.0299999999999994</v>
      </c>
      <c r="N305" s="29">
        <f t="shared" ca="1" si="10"/>
        <v>0.87</v>
      </c>
      <c r="O305" s="5">
        <v>19</v>
      </c>
      <c r="P305" s="43">
        <f t="shared" si="11"/>
        <v>0.63</v>
      </c>
      <c r="Q305" s="31">
        <v>2</v>
      </c>
      <c r="R305" s="32">
        <v>5</v>
      </c>
      <c r="S305" s="33" t="s">
        <v>384</v>
      </c>
      <c r="T305" s="33"/>
      <c r="U305" s="33"/>
      <c r="V305" s="33"/>
      <c r="W305" s="33"/>
      <c r="X305" s="33"/>
      <c r="Y305" s="33"/>
      <c r="Z305" s="33"/>
      <c r="AA305" s="33"/>
      <c r="AB305" s="34"/>
      <c r="AC305" s="6"/>
      <c r="AD305" s="6"/>
      <c r="AE305" s="7"/>
    </row>
    <row r="306" spans="1:31" ht="12.75" x14ac:dyDescent="0.2">
      <c r="A306" s="22"/>
      <c r="B306" s="39" t="s">
        <v>382</v>
      </c>
      <c r="C306" s="40" t="s">
        <v>385</v>
      </c>
      <c r="D306" s="5">
        <v>81</v>
      </c>
      <c r="E306" s="5">
        <v>53</v>
      </c>
      <c r="F306" s="5">
        <v>190</v>
      </c>
      <c r="G306" s="25">
        <v>190</v>
      </c>
      <c r="H306" s="26">
        <f ca="1">IFERROR(__xludf.DUMMYFUNCTION("(R306 * IFERROR(IF(S306&lt;&gt;"""",FILTER($G:$G,$C:$C=S306),0), 0)) + (U306 * IFERROR(IF(V306&lt;&gt;"""",FILTER($G:$G,$C:$C=V306),0), 0)) + (X306 * IFERROR(IF(Y306&lt;&gt;"""",FILTER($G:$G,$C:$C=Y306),0), 0)) + (AA306 * IFERROR(IF(AB306&lt;&gt;"""",FILTER($G:$G,$C:$C=AB306),0)"&amp;", 0))"),161)</f>
        <v>161</v>
      </c>
      <c r="I306" s="27">
        <f t="shared" ca="1" si="8"/>
        <v>29</v>
      </c>
      <c r="J306" s="5">
        <v>45</v>
      </c>
      <c r="K306" s="5">
        <v>38</v>
      </c>
      <c r="L306" s="5">
        <f t="shared" si="12"/>
        <v>45</v>
      </c>
      <c r="M306" s="28">
        <f t="shared" si="9"/>
        <v>4.22</v>
      </c>
      <c r="N306" s="29">
        <f t="shared" ca="1" si="10"/>
        <v>0.64</v>
      </c>
      <c r="O306" s="5">
        <v>23</v>
      </c>
      <c r="P306" s="43">
        <f t="shared" si="11"/>
        <v>0.51</v>
      </c>
      <c r="Q306" s="31" t="s">
        <v>446</v>
      </c>
      <c r="R306" s="32">
        <v>3</v>
      </c>
      <c r="S306" s="33" t="s">
        <v>384</v>
      </c>
      <c r="T306" s="32"/>
      <c r="U306" s="32">
        <v>1</v>
      </c>
      <c r="V306" s="33" t="s">
        <v>95</v>
      </c>
      <c r="W306" s="33"/>
      <c r="X306" s="33"/>
      <c r="Y306" s="33"/>
      <c r="Z306" s="33"/>
      <c r="AA306" s="33"/>
      <c r="AB306" s="34"/>
      <c r="AC306" s="6"/>
      <c r="AD306" s="6"/>
      <c r="AE306" s="7"/>
    </row>
    <row r="307" spans="1:31" ht="12.75" x14ac:dyDescent="0.2">
      <c r="A307" s="22"/>
      <c r="B307" s="39" t="s">
        <v>382</v>
      </c>
      <c r="C307" s="40" t="s">
        <v>386</v>
      </c>
      <c r="D307" s="5">
        <v>83</v>
      </c>
      <c r="E307" s="5">
        <v>87</v>
      </c>
      <c r="F307" s="5">
        <v>313</v>
      </c>
      <c r="G307" s="25">
        <v>313</v>
      </c>
      <c r="H307" s="26">
        <f ca="1">IFERROR(__xludf.DUMMYFUNCTION("(R307 * IFERROR(IF(S307&lt;&gt;"""",FILTER($G:$G,$C:$C=S307),0), 0)) + (U307 * IFERROR(IF(V307&lt;&gt;"""",FILTER($G:$G,$C:$C=V307),0), 0)) + (X307 * IFERROR(IF(Y307&lt;&gt;"""",FILTER($G:$G,$C:$C=Y307),0), 0)) + (AA307 * IFERROR(IF(AB307&lt;&gt;"""",FILTER($G:$G,$C:$C=AB307),0)"&amp;", 0))"),283)</f>
        <v>283</v>
      </c>
      <c r="I307" s="27">
        <f t="shared" ca="1" si="8"/>
        <v>30</v>
      </c>
      <c r="J307" s="5">
        <v>40</v>
      </c>
      <c r="K307" s="5">
        <v>24</v>
      </c>
      <c r="L307" s="5">
        <f t="shared" si="12"/>
        <v>40</v>
      </c>
      <c r="M307" s="28">
        <f t="shared" si="9"/>
        <v>7.83</v>
      </c>
      <c r="N307" s="29">
        <f t="shared" ca="1" si="10"/>
        <v>0.75</v>
      </c>
      <c r="O307" s="5">
        <v>37</v>
      </c>
      <c r="P307" s="43">
        <f t="shared" si="11"/>
        <v>0.93</v>
      </c>
      <c r="Q307" s="31" t="s">
        <v>446</v>
      </c>
      <c r="R307" s="32">
        <v>3</v>
      </c>
      <c r="S307" s="33" t="s">
        <v>384</v>
      </c>
      <c r="T307" s="32"/>
      <c r="U307" s="32">
        <v>1</v>
      </c>
      <c r="V307" s="33" t="s">
        <v>62</v>
      </c>
      <c r="W307" s="33"/>
      <c r="X307" s="33"/>
      <c r="Y307" s="33"/>
      <c r="Z307" s="33"/>
      <c r="AA307" s="33"/>
      <c r="AB307" s="34"/>
      <c r="AC307" s="6"/>
      <c r="AD307" s="6"/>
      <c r="AE307" s="7"/>
    </row>
    <row r="308" spans="1:31" ht="12.75" x14ac:dyDescent="0.2">
      <c r="A308" s="22"/>
      <c r="B308" s="39" t="s">
        <v>382</v>
      </c>
      <c r="C308" s="40" t="s">
        <v>387</v>
      </c>
      <c r="D308" s="5">
        <v>86</v>
      </c>
      <c r="E308" s="5">
        <v>67</v>
      </c>
      <c r="F308" s="5">
        <v>241</v>
      </c>
      <c r="G308" s="25">
        <v>241</v>
      </c>
      <c r="H308" s="26">
        <f ca="1">IFERROR(__xludf.DUMMYFUNCTION("(R308 * IFERROR(IF(S308&lt;&gt;"""",FILTER($G:$G,$C:$C=S308),0), 0)) + (U308 * IFERROR(IF(V308&lt;&gt;"""",FILTER($G:$G,$C:$C=V308),0), 0)) + (X308 * IFERROR(IF(Y308&lt;&gt;"""",FILTER($G:$G,$C:$C=Y308),0), 0)) + (AA308 * IFERROR(IF(AB308&lt;&gt;"""",FILTER($G:$G,$C:$C=AB308),0)"&amp;", 0))"),222)</f>
        <v>222</v>
      </c>
      <c r="I308" s="27">
        <f t="shared" ca="1" si="8"/>
        <v>19</v>
      </c>
      <c r="J308" s="5">
        <v>20</v>
      </c>
      <c r="K308" s="5">
        <v>17</v>
      </c>
      <c r="L308" s="5">
        <f t="shared" si="12"/>
        <v>20</v>
      </c>
      <c r="M308" s="28">
        <f t="shared" si="9"/>
        <v>12.05</v>
      </c>
      <c r="N308" s="29">
        <f t="shared" ca="1" si="10"/>
        <v>0.95</v>
      </c>
      <c r="O308" s="5">
        <v>29</v>
      </c>
      <c r="P308" s="43">
        <f t="shared" si="11"/>
        <v>1.45</v>
      </c>
      <c r="Q308" s="31">
        <v>2</v>
      </c>
      <c r="R308" s="32">
        <v>3</v>
      </c>
      <c r="S308" s="33" t="s">
        <v>384</v>
      </c>
      <c r="T308" s="32"/>
      <c r="U308" s="32">
        <v>1</v>
      </c>
      <c r="V308" s="33" t="s">
        <v>58</v>
      </c>
      <c r="W308" s="33"/>
      <c r="X308" s="33"/>
      <c r="Y308" s="33"/>
      <c r="Z308" s="33"/>
      <c r="AA308" s="33"/>
      <c r="AB308" s="34"/>
      <c r="AC308" s="6"/>
      <c r="AD308" s="6"/>
      <c r="AE308" s="7"/>
    </row>
    <row r="309" spans="1:31" ht="12.75" x14ac:dyDescent="0.2">
      <c r="A309" s="22"/>
      <c r="B309" s="39" t="s">
        <v>382</v>
      </c>
      <c r="C309" s="40" t="s">
        <v>388</v>
      </c>
      <c r="D309" s="5">
        <v>88</v>
      </c>
      <c r="E309" s="5">
        <v>47</v>
      </c>
      <c r="F309" s="5">
        <v>169</v>
      </c>
      <c r="G309" s="25">
        <v>169</v>
      </c>
      <c r="H309" s="26">
        <f ca="1">IFERROR(__xludf.DUMMYFUNCTION("(R309 * IFERROR(IF(S309&lt;&gt;"""",FILTER($G:$G,$C:$C=S309),0), 0)) + (U309 * IFERROR(IF(V309&lt;&gt;"""",FILTER($G:$G,$C:$C=V309),0), 0)) + (X309 * IFERROR(IF(Y309&lt;&gt;"""",FILTER($G:$G,$C:$C=Y309),0), 0)) + (AA309 * IFERROR(IF(AB309&lt;&gt;"""",FILTER($G:$G,$C:$C=AB309),0)"&amp;", 0))"),149)</f>
        <v>149</v>
      </c>
      <c r="I309" s="27">
        <f t="shared" ca="1" si="8"/>
        <v>20</v>
      </c>
      <c r="J309" s="5">
        <v>30</v>
      </c>
      <c r="K309" s="5">
        <v>25</v>
      </c>
      <c r="L309" s="5">
        <f t="shared" si="12"/>
        <v>30</v>
      </c>
      <c r="M309" s="28">
        <f t="shared" si="9"/>
        <v>5.63</v>
      </c>
      <c r="N309" s="29">
        <f t="shared" ca="1" si="10"/>
        <v>0.67</v>
      </c>
      <c r="O309" s="5">
        <v>20</v>
      </c>
      <c r="P309" s="43">
        <f t="shared" si="11"/>
        <v>0.67</v>
      </c>
      <c r="Q309" s="31" t="s">
        <v>438</v>
      </c>
      <c r="R309" s="32">
        <v>1</v>
      </c>
      <c r="S309" s="33" t="s">
        <v>384</v>
      </c>
      <c r="T309" s="32"/>
      <c r="U309" s="32">
        <v>1</v>
      </c>
      <c r="V309" s="33" t="s">
        <v>46</v>
      </c>
      <c r="W309" s="32"/>
      <c r="X309" s="32">
        <v>2</v>
      </c>
      <c r="Y309" s="33" t="s">
        <v>105</v>
      </c>
      <c r="Z309" s="33"/>
      <c r="AA309" s="33"/>
      <c r="AB309" s="34"/>
      <c r="AC309" s="6"/>
      <c r="AD309" s="6"/>
      <c r="AE309" s="7"/>
    </row>
    <row r="310" spans="1:31" ht="12.75" x14ac:dyDescent="0.2">
      <c r="A310" s="22"/>
      <c r="B310" s="39" t="s">
        <v>382</v>
      </c>
      <c r="C310" s="40" t="s">
        <v>389</v>
      </c>
      <c r="D310" s="5">
        <v>89</v>
      </c>
      <c r="E310" s="5">
        <v>71</v>
      </c>
      <c r="F310" s="5">
        <v>255</v>
      </c>
      <c r="G310" s="25">
        <v>255</v>
      </c>
      <c r="H310" s="26">
        <f ca="1">IFERROR(__xludf.DUMMYFUNCTION("(R310 * IFERROR(IF(S310&lt;&gt;"""",FILTER($G:$G,$C:$C=S310),0), 0)) + (U310 * IFERROR(IF(V310&lt;&gt;"""",FILTER($G:$G,$C:$C=V310),0), 0)) + (X310 * IFERROR(IF(Y310&lt;&gt;"""",FILTER($G:$G,$C:$C=Y310),0), 0)) + (AA310 * IFERROR(IF(AB310&lt;&gt;"""",FILTER($G:$G,$C:$C=AB310),0)"&amp;", 0))"),226)</f>
        <v>226</v>
      </c>
      <c r="I310" s="27">
        <f t="shared" ca="1" si="8"/>
        <v>29</v>
      </c>
      <c r="J310" s="5">
        <v>40</v>
      </c>
      <c r="K310" s="5">
        <v>34</v>
      </c>
      <c r="L310" s="5">
        <f t="shared" si="12"/>
        <v>40</v>
      </c>
      <c r="M310" s="28">
        <f t="shared" si="9"/>
        <v>6.38</v>
      </c>
      <c r="N310" s="29">
        <f t="shared" ca="1" si="10"/>
        <v>0.73</v>
      </c>
      <c r="O310" s="5">
        <v>30</v>
      </c>
      <c r="P310" s="43">
        <f t="shared" si="11"/>
        <v>0.75</v>
      </c>
      <c r="Q310" s="31">
        <v>2</v>
      </c>
      <c r="R310" s="32">
        <v>3</v>
      </c>
      <c r="S310" s="33" t="s">
        <v>384</v>
      </c>
      <c r="T310" s="32"/>
      <c r="U310" s="32">
        <v>1</v>
      </c>
      <c r="V310" s="33" t="s">
        <v>114</v>
      </c>
      <c r="W310" s="33"/>
      <c r="X310" s="33"/>
      <c r="Y310" s="33"/>
      <c r="Z310" s="33"/>
      <c r="AA310" s="33"/>
      <c r="AB310" s="34"/>
      <c r="AC310" s="6"/>
      <c r="AD310" s="6"/>
      <c r="AE310" s="7"/>
    </row>
    <row r="311" spans="1:31" ht="12.75" x14ac:dyDescent="0.2">
      <c r="A311" s="22"/>
      <c r="B311" s="39" t="s">
        <v>382</v>
      </c>
      <c r="C311" s="40" t="s">
        <v>390</v>
      </c>
      <c r="D311" s="5">
        <v>92</v>
      </c>
      <c r="E311" s="5">
        <v>70</v>
      </c>
      <c r="F311" s="5">
        <v>252</v>
      </c>
      <c r="G311" s="25">
        <v>252</v>
      </c>
      <c r="H311" s="26">
        <f ca="1">IFERROR(__xludf.DUMMYFUNCTION("(R311 * IFERROR(IF(S311&lt;&gt;"""",FILTER($G:$G,$C:$C=S311),0), 0)) + (U311 * IFERROR(IF(V311&lt;&gt;"""",FILTER($G:$G,$C:$C=V311),0), 0)) + (X311 * IFERROR(IF(Y311&lt;&gt;"""",FILTER($G:$G,$C:$C=Y311),0), 0)) + (AA311 * IFERROR(IF(AB311&lt;&gt;"""",FILTER($G:$G,$C:$C=AB311),0)"&amp;", 0))"),229)</f>
        <v>229</v>
      </c>
      <c r="I311" s="27">
        <f t="shared" ca="1" si="8"/>
        <v>23</v>
      </c>
      <c r="J311" s="5">
        <v>30</v>
      </c>
      <c r="K311" s="5">
        <v>25</v>
      </c>
      <c r="L311" s="5">
        <f t="shared" si="12"/>
        <v>30</v>
      </c>
      <c r="M311" s="28">
        <f t="shared" si="9"/>
        <v>8.4</v>
      </c>
      <c r="N311" s="29">
        <f t="shared" ca="1" si="10"/>
        <v>0.77</v>
      </c>
      <c r="O311" s="5">
        <v>30</v>
      </c>
      <c r="P311" s="43">
        <f t="shared" si="11"/>
        <v>1</v>
      </c>
      <c r="Q311" s="31">
        <v>2</v>
      </c>
      <c r="R311" s="32">
        <v>3</v>
      </c>
      <c r="S311" s="33" t="s">
        <v>384</v>
      </c>
      <c r="T311" s="32"/>
      <c r="U311" s="32">
        <v>1</v>
      </c>
      <c r="V311" s="33" t="s">
        <v>213</v>
      </c>
      <c r="W311" s="33"/>
      <c r="X311" s="33"/>
      <c r="Y311" s="33"/>
      <c r="Z311" s="33"/>
      <c r="AA311" s="33"/>
      <c r="AB311" s="34"/>
      <c r="AC311" s="6"/>
      <c r="AD311" s="6"/>
      <c r="AE311" s="7"/>
    </row>
    <row r="312" spans="1:31" ht="12.75" x14ac:dyDescent="0.2">
      <c r="A312" s="22"/>
      <c r="B312" s="44" t="s">
        <v>382</v>
      </c>
      <c r="C312" s="45" t="s">
        <v>391</v>
      </c>
      <c r="D312" s="8">
        <v>97</v>
      </c>
      <c r="E312" s="8">
        <v>71</v>
      </c>
      <c r="F312" s="8">
        <v>255</v>
      </c>
      <c r="G312" s="37">
        <v>255</v>
      </c>
      <c r="H312" s="26">
        <f ca="1">IFERROR(__xludf.DUMMYFUNCTION("(R312 * IFERROR(IF(S312&lt;&gt;"""",FILTER($G:$G,$C:$C=S312),0), 0)) + (U312 * IFERROR(IF(V312&lt;&gt;"""",FILTER($G:$G,$C:$C=V312),0), 0)) + (X312 * IFERROR(IF(Y312&lt;&gt;"""",FILTER($G:$G,$C:$C=Y312),0), 0)) + (AA312 * IFERROR(IF(AB312&lt;&gt;"""",FILTER($G:$G,$C:$C=AB312),0)"&amp;", 0))"),200)</f>
        <v>200</v>
      </c>
      <c r="I312" s="27">
        <f t="shared" ca="1" si="8"/>
        <v>55</v>
      </c>
      <c r="J312" s="8">
        <v>35</v>
      </c>
      <c r="K312" s="8">
        <v>30</v>
      </c>
      <c r="L312" s="5">
        <f t="shared" si="12"/>
        <v>35</v>
      </c>
      <c r="M312" s="28">
        <f t="shared" si="9"/>
        <v>7.29</v>
      </c>
      <c r="N312" s="29">
        <f t="shared" ca="1" si="10"/>
        <v>1.57</v>
      </c>
      <c r="O312" s="8">
        <v>31</v>
      </c>
      <c r="P312" s="29">
        <f t="shared" si="11"/>
        <v>0.89</v>
      </c>
      <c r="Q312" s="38">
        <v>2</v>
      </c>
      <c r="R312" s="46">
        <v>3</v>
      </c>
      <c r="S312" s="34" t="s">
        <v>384</v>
      </c>
      <c r="T312" s="46"/>
      <c r="U312" s="46">
        <v>1</v>
      </c>
      <c r="V312" s="34" t="s">
        <v>116</v>
      </c>
      <c r="W312" s="46"/>
      <c r="X312" s="46">
        <v>1</v>
      </c>
      <c r="Y312" s="34" t="s">
        <v>246</v>
      </c>
      <c r="Z312" s="34"/>
      <c r="AA312" s="34"/>
      <c r="AB312" s="34"/>
      <c r="AC312" s="7"/>
      <c r="AD312" s="7"/>
      <c r="AE312" s="7"/>
    </row>
    <row r="313" spans="1:31" ht="12.75" x14ac:dyDescent="0.2">
      <c r="A313" s="22"/>
      <c r="B313" s="23" t="s">
        <v>511</v>
      </c>
      <c r="C313" s="24" t="s">
        <v>105</v>
      </c>
      <c r="D313" s="5">
        <v>15</v>
      </c>
      <c r="E313" s="5">
        <v>11</v>
      </c>
      <c r="F313" s="5">
        <v>39</v>
      </c>
      <c r="G313" s="25">
        <v>39</v>
      </c>
      <c r="H313" s="26">
        <f ca="1">IFERROR(__xludf.DUMMYFUNCTION("(R313 * IFERROR(IF(S313&lt;&gt;"""",FILTER($G:$G,$C:$C=S313),0), 0)) + (U313 * IFERROR(IF(V313&lt;&gt;"""",FILTER($G:$G,$C:$C=V313),0), 0)) + (X313 * IFERROR(IF(Y313&lt;&gt;"""",FILTER($G:$G,$C:$C=Y313),0), 0)) + (AA313 * IFERROR(IF(AB313&lt;&gt;"""",FILTER($G:$G,$C:$C=AB313),0)"&amp;", 0))"),16.62)</f>
        <v>16.62</v>
      </c>
      <c r="I313" s="27">
        <f t="shared" ca="1" si="8"/>
        <v>22.38</v>
      </c>
      <c r="J313" s="5">
        <v>296</v>
      </c>
      <c r="K313" s="5">
        <v>296</v>
      </c>
      <c r="L313" s="5">
        <f t="shared" si="12"/>
        <v>296</v>
      </c>
      <c r="M313" s="28">
        <f t="shared" si="9"/>
        <v>0.13</v>
      </c>
      <c r="N313" s="29">
        <f t="shared" ca="1" si="10"/>
        <v>0.08</v>
      </c>
      <c r="O313" s="5">
        <v>7</v>
      </c>
      <c r="P313" s="43">
        <f t="shared" si="11"/>
        <v>0.02</v>
      </c>
      <c r="Q313" s="31" t="s">
        <v>512</v>
      </c>
      <c r="R313" s="32">
        <v>12.3</v>
      </c>
      <c r="S313" s="33" t="s">
        <v>437</v>
      </c>
      <c r="T313" s="32"/>
      <c r="U313" s="32">
        <v>0.08</v>
      </c>
      <c r="V313" s="33" t="s">
        <v>499</v>
      </c>
      <c r="W313" s="33"/>
      <c r="X313" s="33"/>
      <c r="Y313" s="33"/>
      <c r="Z313" s="33"/>
      <c r="AA313" s="33"/>
      <c r="AB313" s="34"/>
      <c r="AC313" s="6"/>
      <c r="AD313" s="6"/>
      <c r="AE313" s="7"/>
    </row>
    <row r="314" spans="1:31" ht="12.75" x14ac:dyDescent="0.2">
      <c r="A314" s="22"/>
      <c r="B314" s="23" t="s">
        <v>511</v>
      </c>
      <c r="C314" s="24" t="s">
        <v>30</v>
      </c>
      <c r="D314" s="5">
        <v>19</v>
      </c>
      <c r="E314" s="5">
        <v>13</v>
      </c>
      <c r="F314" s="5">
        <v>46</v>
      </c>
      <c r="G314" s="25">
        <v>46</v>
      </c>
      <c r="H314" s="26">
        <f ca="1">IFERROR(__xludf.DUMMYFUNCTION("(R314 * IFERROR(IF(S314&lt;&gt;"""",FILTER($G:$G,$C:$C=S314),0), 0)) + (U314 * IFERROR(IF(V314&lt;&gt;"""",FILTER($G:$G,$C:$C=V314),0), 0)) + (X314 * IFERROR(IF(Y314&lt;&gt;"""",FILTER($G:$G,$C:$C=Y314),0), 0)) + (AA314 * IFERROR(IF(AB314&lt;&gt;"""",FILTER($G:$G,$C:$C=AB314),0)"&amp;", 0))"),19.88)</f>
        <v>19.88</v>
      </c>
      <c r="I314" s="27">
        <f t="shared" ca="1" si="8"/>
        <v>26.12</v>
      </c>
      <c r="J314" s="5">
        <v>332</v>
      </c>
      <c r="K314" s="5">
        <v>332</v>
      </c>
      <c r="L314" s="5">
        <f t="shared" si="12"/>
        <v>332</v>
      </c>
      <c r="M314" s="28">
        <f t="shared" si="9"/>
        <v>0.14000000000000001</v>
      </c>
      <c r="N314" s="29">
        <f t="shared" ca="1" si="10"/>
        <v>0.08</v>
      </c>
      <c r="O314" s="5">
        <v>9</v>
      </c>
      <c r="P314" s="43">
        <f t="shared" si="11"/>
        <v>0.03</v>
      </c>
      <c r="Q314" s="31" t="s">
        <v>513</v>
      </c>
      <c r="R314" s="32">
        <v>17</v>
      </c>
      <c r="S314" s="33" t="s">
        <v>437</v>
      </c>
      <c r="T314" s="32"/>
      <c r="U314" s="32">
        <v>0.08</v>
      </c>
      <c r="V314" s="33" t="s">
        <v>436</v>
      </c>
      <c r="W314" s="33"/>
      <c r="X314" s="33"/>
      <c r="Y314" s="33"/>
      <c r="Z314" s="33"/>
      <c r="AA314" s="33"/>
      <c r="AB314" s="34"/>
      <c r="AC314" s="6"/>
      <c r="AD314" s="6"/>
      <c r="AE314" s="7"/>
    </row>
    <row r="315" spans="1:31" ht="12.75" x14ac:dyDescent="0.2">
      <c r="A315" s="22"/>
      <c r="B315" s="23" t="s">
        <v>511</v>
      </c>
      <c r="C315" s="24" t="s">
        <v>96</v>
      </c>
      <c r="D315" s="5">
        <v>22</v>
      </c>
      <c r="E315" s="5">
        <v>19</v>
      </c>
      <c r="F315" s="5">
        <v>68</v>
      </c>
      <c r="G315" s="25">
        <v>68</v>
      </c>
      <c r="H315" s="26">
        <f ca="1">IFERROR(__xludf.DUMMYFUNCTION("(R315 * IFERROR(IF(S315&lt;&gt;"""",FILTER($G:$G,$C:$C=S315),0), 0)) + (U315 * IFERROR(IF(V315&lt;&gt;"""",FILTER($G:$G,$C:$C=V315),0), 0)) + (X315 * IFERROR(IF(Y315&lt;&gt;"""",FILTER($G:$G,$C:$C=Y315),0), 0)) + (AA315 * IFERROR(IF(AB315&lt;&gt;"""",FILTER($G:$G,$C:$C=AB315),0)"&amp;", 0))"),35.82)</f>
        <v>35.82</v>
      </c>
      <c r="I315" s="27">
        <f t="shared" ca="1" si="8"/>
        <v>32.18</v>
      </c>
      <c r="J315" s="5">
        <v>498</v>
      </c>
      <c r="K315" s="5">
        <v>498</v>
      </c>
      <c r="L315" s="5">
        <f t="shared" si="12"/>
        <v>498</v>
      </c>
      <c r="M315" s="28">
        <f t="shared" si="9"/>
        <v>0.14000000000000001</v>
      </c>
      <c r="N315" s="29">
        <f t="shared" ca="1" si="10"/>
        <v>0.06</v>
      </c>
      <c r="O315" s="5">
        <v>16</v>
      </c>
      <c r="P315" s="43">
        <f t="shared" si="11"/>
        <v>0.03</v>
      </c>
      <c r="Q315" s="31" t="s">
        <v>433</v>
      </c>
      <c r="R315" s="32">
        <v>31.5</v>
      </c>
      <c r="S315" s="33" t="s">
        <v>437</v>
      </c>
      <c r="T315" s="32"/>
      <c r="U315" s="32">
        <v>0.08</v>
      </c>
      <c r="V315" s="33" t="s">
        <v>499</v>
      </c>
      <c r="W315" s="33"/>
      <c r="X315" s="33"/>
      <c r="Y315" s="33"/>
      <c r="Z315" s="33"/>
      <c r="AA315" s="33"/>
      <c r="AB315" s="34"/>
      <c r="AC315" s="6"/>
      <c r="AD315" s="6"/>
      <c r="AE315" s="7"/>
    </row>
    <row r="316" spans="1:31" ht="12.75" x14ac:dyDescent="0.2">
      <c r="A316" s="22"/>
      <c r="B316" s="23" t="s">
        <v>511</v>
      </c>
      <c r="C316" s="24" t="s">
        <v>32</v>
      </c>
      <c r="D316" s="5">
        <v>26</v>
      </c>
      <c r="E316" s="5">
        <v>23</v>
      </c>
      <c r="F316" s="5">
        <v>82</v>
      </c>
      <c r="G316" s="25">
        <v>82</v>
      </c>
      <c r="H316" s="26">
        <f ca="1">IFERROR(__xludf.DUMMYFUNCTION("(R316 * IFERROR(IF(S316&lt;&gt;"""",FILTER($G:$G,$C:$C=S316),0), 0)) + (U316 * IFERROR(IF(V316&lt;&gt;"""",FILTER($G:$G,$C:$C=V316),0), 0)) + (X316 * IFERROR(IF(Y316&lt;&gt;"""",FILTER($G:$G,$C:$C=Y316),0), 0)) + (AA316 * IFERROR(IF(AB316&lt;&gt;"""",FILTER($G:$G,$C:$C=AB316),0)"&amp;", 0))"),43.68)</f>
        <v>43.68</v>
      </c>
      <c r="I316" s="27">
        <f t="shared" ca="1" si="8"/>
        <v>38.32</v>
      </c>
      <c r="J316" s="5">
        <v>572</v>
      </c>
      <c r="K316" s="5">
        <v>572</v>
      </c>
      <c r="L316" s="5">
        <f t="shared" si="12"/>
        <v>572</v>
      </c>
      <c r="M316" s="28">
        <f t="shared" si="9"/>
        <v>0.14000000000000001</v>
      </c>
      <c r="N316" s="29">
        <f t="shared" ca="1" si="10"/>
        <v>7.0000000000000007E-2</v>
      </c>
      <c r="O316" s="5">
        <v>16</v>
      </c>
      <c r="P316" s="43">
        <f t="shared" si="11"/>
        <v>0.03</v>
      </c>
      <c r="Q316" s="31" t="s">
        <v>441</v>
      </c>
      <c r="R316" s="32">
        <v>40.799999999999997</v>
      </c>
      <c r="S316" s="33" t="s">
        <v>437</v>
      </c>
      <c r="T316" s="32"/>
      <c r="U316" s="32">
        <v>0.08</v>
      </c>
      <c r="V316" s="33" t="s">
        <v>436</v>
      </c>
      <c r="W316" s="33"/>
      <c r="X316" s="33"/>
      <c r="Y316" s="33"/>
      <c r="Z316" s="33"/>
      <c r="AA316" s="33"/>
      <c r="AB316" s="34"/>
      <c r="AC316" s="6"/>
      <c r="AD316" s="6"/>
      <c r="AE316" s="7"/>
    </row>
    <row r="317" spans="1:31" ht="12.75" x14ac:dyDescent="0.2">
      <c r="A317" s="22"/>
      <c r="B317" s="23" t="s">
        <v>511</v>
      </c>
      <c r="C317" s="24" t="s">
        <v>54</v>
      </c>
      <c r="D317" s="5">
        <v>36</v>
      </c>
      <c r="E317" s="5">
        <v>24</v>
      </c>
      <c r="F317" s="5">
        <v>86</v>
      </c>
      <c r="G317" s="25">
        <v>86</v>
      </c>
      <c r="H317" s="26">
        <f ca="1">IFERROR(__xludf.DUMMYFUNCTION("(R317 * IFERROR(IF(S317&lt;&gt;"""",FILTER($G:$G,$C:$C=S317),0), 0)) + (U317 * IFERROR(IF(V317&lt;&gt;"""",FILTER($G:$G,$C:$C=V317),0), 0)) + (X317 * IFERROR(IF(Y317&lt;&gt;"""",FILTER($G:$G,$C:$C=Y317),0), 0)) + (AA317 * IFERROR(IF(AB317&lt;&gt;"""",FILTER($G:$G,$C:$C=AB317),0)"&amp;", 0))"),46.62)</f>
        <v>46.62</v>
      </c>
      <c r="I317" s="27">
        <f t="shared" ca="1" si="8"/>
        <v>39.380000000000003</v>
      </c>
      <c r="J317" s="5">
        <v>628</v>
      </c>
      <c r="K317" s="5">
        <v>628</v>
      </c>
      <c r="L317" s="5">
        <f t="shared" si="12"/>
        <v>628</v>
      </c>
      <c r="M317" s="28">
        <f t="shared" si="9"/>
        <v>0.14000000000000001</v>
      </c>
      <c r="N317" s="29">
        <f t="shared" ca="1" si="10"/>
        <v>0.06</v>
      </c>
      <c r="O317" s="5">
        <v>16</v>
      </c>
      <c r="P317" s="43">
        <f t="shared" si="11"/>
        <v>0.03</v>
      </c>
      <c r="Q317" s="31" t="s">
        <v>441</v>
      </c>
      <c r="R317" s="32">
        <v>42.3</v>
      </c>
      <c r="S317" s="33" t="s">
        <v>437</v>
      </c>
      <c r="T317" s="32"/>
      <c r="U317" s="32">
        <v>0.08</v>
      </c>
      <c r="V317" s="33" t="s">
        <v>499</v>
      </c>
      <c r="W317" s="33"/>
      <c r="X317" s="33"/>
      <c r="Y317" s="33"/>
      <c r="Z317" s="33"/>
      <c r="AA317" s="33"/>
      <c r="AB317" s="34"/>
      <c r="AC317" s="6"/>
      <c r="AD317" s="6"/>
      <c r="AE317" s="7"/>
    </row>
    <row r="318" spans="1:31" ht="12.75" x14ac:dyDescent="0.2">
      <c r="A318" s="22"/>
      <c r="B318" s="23" t="s">
        <v>511</v>
      </c>
      <c r="C318" s="24" t="s">
        <v>60</v>
      </c>
      <c r="D318" s="5">
        <v>42</v>
      </c>
      <c r="E318" s="5">
        <v>18</v>
      </c>
      <c r="F318" s="5">
        <v>64</v>
      </c>
      <c r="G318" s="25">
        <v>64</v>
      </c>
      <c r="H318" s="26">
        <f ca="1">IFERROR(__xludf.DUMMYFUNCTION("(R318 * IFERROR(IF(S318&lt;&gt;"""",FILTER($G:$G,$C:$C=S318),0), 0)) + (U318 * IFERROR(IF(V318&lt;&gt;"""",FILTER($G:$G,$C:$C=V318),0), 0)) + (X318 * IFERROR(IF(Y318&lt;&gt;"""",FILTER($G:$G,$C:$C=Y318),0), 0)) + (AA318 * IFERROR(IF(AB318&lt;&gt;"""",FILTER($G:$G,$C:$C=AB318),0)"&amp;", 0))"),31.68)</f>
        <v>31.68</v>
      </c>
      <c r="I318" s="27">
        <f t="shared" ca="1" si="8"/>
        <v>32.32</v>
      </c>
      <c r="J318" s="5">
        <v>443</v>
      </c>
      <c r="K318" s="5">
        <v>443</v>
      </c>
      <c r="L318" s="5">
        <f t="shared" si="12"/>
        <v>443</v>
      </c>
      <c r="M318" s="28">
        <f t="shared" si="9"/>
        <v>0.14000000000000001</v>
      </c>
      <c r="N318" s="29">
        <f t="shared" ca="1" si="10"/>
        <v>7.0000000000000007E-2</v>
      </c>
      <c r="O318" s="5">
        <v>12</v>
      </c>
      <c r="P318" s="43">
        <f t="shared" si="11"/>
        <v>0.03</v>
      </c>
      <c r="Q318" s="31" t="s">
        <v>441</v>
      </c>
      <c r="R318" s="32">
        <v>28.8</v>
      </c>
      <c r="S318" s="33" t="s">
        <v>437</v>
      </c>
      <c r="T318" s="32"/>
      <c r="U318" s="32">
        <v>0.08</v>
      </c>
      <c r="V318" s="33" t="s">
        <v>436</v>
      </c>
      <c r="W318" s="33"/>
      <c r="X318" s="33"/>
      <c r="Y318" s="33"/>
      <c r="Z318" s="33"/>
      <c r="AA318" s="33"/>
      <c r="AB318" s="34"/>
      <c r="AC318" s="6"/>
      <c r="AD318" s="6"/>
      <c r="AE318" s="7"/>
    </row>
    <row r="319" spans="1:31" ht="12.75" x14ac:dyDescent="0.2">
      <c r="A319" s="22"/>
      <c r="B319" s="23" t="s">
        <v>511</v>
      </c>
      <c r="C319" s="24" t="s">
        <v>316</v>
      </c>
      <c r="D319" s="5">
        <v>57</v>
      </c>
      <c r="E319" s="5">
        <v>23</v>
      </c>
      <c r="F319" s="5">
        <v>82</v>
      </c>
      <c r="G319" s="25">
        <v>82</v>
      </c>
      <c r="H319" s="26">
        <f ca="1">IFERROR(__xludf.DUMMYFUNCTION("(R319 * IFERROR(IF(S319&lt;&gt;"""",FILTER($G:$G,$C:$C=S319),0), 0)) + (U319 * IFERROR(IF(V319&lt;&gt;"""",FILTER($G:$G,$C:$C=V319),0), 0)) + (X319 * IFERROR(IF(Y319&lt;&gt;"""",FILTER($G:$G,$C:$C=Y319),0), 0)) + (AA319 * IFERROR(IF(AB319&lt;&gt;"""",FILTER($G:$G,$C:$C=AB319),0)"&amp;", 0))"),52.02)</f>
        <v>52.02</v>
      </c>
      <c r="I319" s="27">
        <f t="shared" ca="1" si="8"/>
        <v>29.979999999999997</v>
      </c>
      <c r="J319" s="5">
        <v>443</v>
      </c>
      <c r="K319" s="5">
        <v>443</v>
      </c>
      <c r="L319" s="5">
        <f t="shared" si="12"/>
        <v>443</v>
      </c>
      <c r="M319" s="28">
        <f t="shared" si="9"/>
        <v>0.19</v>
      </c>
      <c r="N319" s="29">
        <f t="shared" ca="1" si="10"/>
        <v>7.0000000000000007E-2</v>
      </c>
      <c r="O319" s="5">
        <v>17</v>
      </c>
      <c r="P319" s="43">
        <f t="shared" si="11"/>
        <v>0.04</v>
      </c>
      <c r="Q319" s="31" t="s">
        <v>439</v>
      </c>
      <c r="R319" s="32">
        <v>47.7</v>
      </c>
      <c r="S319" s="33" t="s">
        <v>437</v>
      </c>
      <c r="T319" s="32"/>
      <c r="U319" s="32">
        <v>0.08</v>
      </c>
      <c r="V319" s="33" t="s">
        <v>499</v>
      </c>
      <c r="W319" s="33"/>
      <c r="X319" s="33"/>
      <c r="Y319" s="33"/>
      <c r="Z319" s="33"/>
      <c r="AA319" s="33"/>
      <c r="AB319" s="34"/>
      <c r="AC319" s="6"/>
      <c r="AD319" s="6"/>
      <c r="AE319" s="7"/>
    </row>
    <row r="320" spans="1:31" ht="12.75" x14ac:dyDescent="0.2">
      <c r="A320" s="22"/>
      <c r="B320" s="23" t="s">
        <v>511</v>
      </c>
      <c r="C320" s="24" t="s">
        <v>58</v>
      </c>
      <c r="D320" s="5">
        <v>66</v>
      </c>
      <c r="E320" s="5">
        <v>26</v>
      </c>
      <c r="F320" s="5">
        <v>93</v>
      </c>
      <c r="G320" s="25">
        <v>93</v>
      </c>
      <c r="H320" s="26">
        <f ca="1">IFERROR(__xludf.DUMMYFUNCTION("(R320 * IFERROR(IF(S320&lt;&gt;"""",FILTER($G:$G,$C:$C=S320),0), 0)) + (U320 * IFERROR(IF(V320&lt;&gt;"""",FILTER($G:$G,$C:$C=V320),0), 0)) + (X320 * IFERROR(IF(Y320&lt;&gt;"""",FILTER($G:$G,$C:$C=Y320),0), 0)) + (AA320 * IFERROR(IF(AB320&lt;&gt;"""",FILTER($G:$G,$C:$C=AB320),0)"&amp;", 0))"),55.82)</f>
        <v>55.82</v>
      </c>
      <c r="I320" s="27">
        <f t="shared" ca="1" si="8"/>
        <v>37.18</v>
      </c>
      <c r="J320" s="5">
        <v>535</v>
      </c>
      <c r="K320" s="5">
        <v>535</v>
      </c>
      <c r="L320" s="5">
        <f t="shared" si="12"/>
        <v>535</v>
      </c>
      <c r="M320" s="28">
        <f t="shared" si="9"/>
        <v>0.17</v>
      </c>
      <c r="N320" s="29">
        <f t="shared" ca="1" si="10"/>
        <v>7.0000000000000007E-2</v>
      </c>
      <c r="O320" s="5">
        <v>18</v>
      </c>
      <c r="P320" s="43">
        <f t="shared" si="11"/>
        <v>0.03</v>
      </c>
      <c r="Q320" s="31" t="s">
        <v>439</v>
      </c>
      <c r="R320" s="32">
        <v>51.5</v>
      </c>
      <c r="S320" s="33" t="s">
        <v>437</v>
      </c>
      <c r="T320" s="32"/>
      <c r="U320" s="32">
        <v>0.08</v>
      </c>
      <c r="V320" s="33" t="s">
        <v>499</v>
      </c>
      <c r="W320" s="33"/>
      <c r="X320" s="33"/>
      <c r="Y320" s="33"/>
      <c r="Z320" s="33"/>
      <c r="AA320" s="33"/>
      <c r="AB320" s="34"/>
      <c r="AC320" s="6"/>
      <c r="AD320" s="6"/>
      <c r="AE320" s="6"/>
    </row>
    <row r="321" spans="1:31" ht="12.75" x14ac:dyDescent="0.2">
      <c r="A321" s="22"/>
      <c r="B321" s="23" t="s">
        <v>511</v>
      </c>
      <c r="C321" s="24" t="s">
        <v>114</v>
      </c>
      <c r="D321" s="5">
        <v>71</v>
      </c>
      <c r="E321" s="5">
        <v>27</v>
      </c>
      <c r="F321" s="5">
        <v>97</v>
      </c>
      <c r="G321" s="25">
        <v>97</v>
      </c>
      <c r="H321" s="26">
        <f ca="1">IFERROR(__xludf.DUMMYFUNCTION("(R321 * IFERROR(IF(S321&lt;&gt;"""",FILTER($G:$G,$C:$C=S321),0), 0)) + (U321 * IFERROR(IF(V321&lt;&gt;"""",FILTER($G:$G,$C:$C=V321),0), 0)) + (X321 * IFERROR(IF(Y321&lt;&gt;"""",FILTER($G:$G,$C:$C=Y321),0), 0)) + (AA321 * IFERROR(IF(AB321&lt;&gt;"""",FILTER($G:$G,$C:$C=AB321),0)"&amp;", 0))"),59.72)</f>
        <v>59.72</v>
      </c>
      <c r="I321" s="27">
        <f t="shared" ca="1" si="8"/>
        <v>37.28</v>
      </c>
      <c r="J321" s="5">
        <v>572</v>
      </c>
      <c r="K321" s="5">
        <v>572</v>
      </c>
      <c r="L321" s="5">
        <f t="shared" si="12"/>
        <v>572</v>
      </c>
      <c r="M321" s="28">
        <f t="shared" si="9"/>
        <v>0.17</v>
      </c>
      <c r="N321" s="29">
        <f t="shared" ca="1" si="10"/>
        <v>7.0000000000000007E-2</v>
      </c>
      <c r="O321" s="5">
        <v>19</v>
      </c>
      <c r="P321" s="43">
        <f t="shared" si="11"/>
        <v>0.03</v>
      </c>
      <c r="Q321" s="31">
        <v>5</v>
      </c>
      <c r="R321" s="32">
        <v>55.4</v>
      </c>
      <c r="S321" s="33" t="s">
        <v>437</v>
      </c>
      <c r="T321" s="32"/>
      <c r="U321" s="32">
        <v>0.08</v>
      </c>
      <c r="V321" s="33" t="s">
        <v>499</v>
      </c>
      <c r="W321" s="33"/>
      <c r="X321" s="33"/>
      <c r="Y321" s="33"/>
      <c r="Z321" s="33"/>
      <c r="AA321" s="33"/>
      <c r="AB321" s="34"/>
      <c r="AC321" s="6"/>
      <c r="AD321" s="6"/>
      <c r="AE321" s="7"/>
    </row>
    <row r="322" spans="1:31" ht="12.75" x14ac:dyDescent="0.2">
      <c r="A322" s="22"/>
      <c r="B322" s="23" t="s">
        <v>511</v>
      </c>
      <c r="C322" s="24" t="s">
        <v>213</v>
      </c>
      <c r="D322" s="5">
        <v>76</v>
      </c>
      <c r="E322" s="5">
        <v>28</v>
      </c>
      <c r="F322" s="5">
        <v>100</v>
      </c>
      <c r="G322" s="25">
        <v>100</v>
      </c>
      <c r="H322" s="26">
        <f ca="1">IFERROR(__xludf.DUMMYFUNCTION("(R322 * IFERROR(IF(S322&lt;&gt;"""",FILTER($G:$G,$C:$C=S322),0), 0)) + (U322 * IFERROR(IF(V322&lt;&gt;"""",FILTER($G:$G,$C:$C=V322),0), 0)) + (X322 * IFERROR(IF(Y322&lt;&gt;"""",FILTER($G:$G,$C:$C=Y322),0), 0)) + (AA322 * IFERROR(IF(AB322&lt;&gt;"""",FILTER($G:$G,$C:$C=AB322),0)"&amp;", 0))"),62.02)</f>
        <v>62.02</v>
      </c>
      <c r="I322" s="27">
        <f t="shared" ca="1" si="8"/>
        <v>37.979999999999997</v>
      </c>
      <c r="J322" s="5">
        <v>554</v>
      </c>
      <c r="K322" s="5">
        <v>554</v>
      </c>
      <c r="L322" s="5">
        <f t="shared" si="12"/>
        <v>554</v>
      </c>
      <c r="M322" s="28">
        <f t="shared" si="9"/>
        <v>0.18</v>
      </c>
      <c r="N322" s="29">
        <f t="shared" ca="1" si="10"/>
        <v>7.0000000000000007E-2</v>
      </c>
      <c r="O322" s="5">
        <v>20</v>
      </c>
      <c r="P322" s="43">
        <f t="shared" si="11"/>
        <v>0.04</v>
      </c>
      <c r="Q322" s="31" t="s">
        <v>439</v>
      </c>
      <c r="R322" s="32">
        <v>57.7</v>
      </c>
      <c r="S322" s="33" t="s">
        <v>437</v>
      </c>
      <c r="T322" s="32"/>
      <c r="U322" s="32">
        <v>0.08</v>
      </c>
      <c r="V322" s="33" t="s">
        <v>499</v>
      </c>
      <c r="W322" s="33"/>
      <c r="X322" s="33"/>
      <c r="Y322" s="33"/>
      <c r="Z322" s="33"/>
      <c r="AA322" s="33"/>
      <c r="AB322" s="34"/>
      <c r="AC322" s="6"/>
      <c r="AD322" s="6"/>
      <c r="AE322" s="7"/>
    </row>
    <row r="323" spans="1:31" ht="12.75" x14ac:dyDescent="0.2">
      <c r="A323" s="22"/>
      <c r="B323" s="23" t="s">
        <v>511</v>
      </c>
      <c r="C323" s="24" t="s">
        <v>50</v>
      </c>
      <c r="D323" s="5">
        <v>88</v>
      </c>
      <c r="E323" s="5">
        <v>29</v>
      </c>
      <c r="F323" s="5">
        <v>104</v>
      </c>
      <c r="G323" s="25">
        <v>104</v>
      </c>
      <c r="H323" s="26">
        <f ca="1">IFERROR(__xludf.DUMMYFUNCTION("(R323 * IFERROR(IF(S323&lt;&gt;"""",FILTER($G:$G,$C:$C=S323),0), 0)) + (U323 * IFERROR(IF(V323&lt;&gt;"""",FILTER($G:$G,$C:$C=V323),0), 0)) + (X323 * IFERROR(IF(Y323&lt;&gt;"""",FILTER($G:$G,$C:$C=Y323),0), 0)) + (AA323 * IFERROR(IF(AB323&lt;&gt;"""",FILTER($G:$G,$C:$C=AB323),0)"&amp;", 0))"),65.92)</f>
        <v>65.92</v>
      </c>
      <c r="I323" s="27">
        <f t="shared" ca="1" si="8"/>
        <v>38.08</v>
      </c>
      <c r="J323" s="5">
        <v>517</v>
      </c>
      <c r="K323" s="5">
        <v>517</v>
      </c>
      <c r="L323" s="5">
        <f t="shared" ref="L323:L328" si="13">J323</f>
        <v>517</v>
      </c>
      <c r="M323" s="28">
        <f t="shared" si="9"/>
        <v>0.2</v>
      </c>
      <c r="N323" s="29">
        <f t="shared" ca="1" si="10"/>
        <v>7.0000000000000007E-2</v>
      </c>
      <c r="O323" s="5">
        <v>20</v>
      </c>
      <c r="P323" s="43">
        <f t="shared" si="11"/>
        <v>0.04</v>
      </c>
      <c r="Q323" s="31">
        <v>4</v>
      </c>
      <c r="R323" s="32">
        <v>61.6</v>
      </c>
      <c r="S323" s="33" t="s">
        <v>437</v>
      </c>
      <c r="T323" s="32"/>
      <c r="U323" s="32">
        <v>0.08</v>
      </c>
      <c r="V323" s="33" t="s">
        <v>499</v>
      </c>
      <c r="W323" s="33"/>
      <c r="X323" s="33"/>
      <c r="Y323" s="33"/>
      <c r="Z323" s="33"/>
      <c r="AA323" s="33"/>
      <c r="AB323" s="34"/>
      <c r="AC323" s="6"/>
      <c r="AD323" s="6"/>
      <c r="AE323" s="7"/>
    </row>
    <row r="324" spans="1:31" ht="12.75" x14ac:dyDescent="0.2">
      <c r="A324" s="22"/>
      <c r="B324" s="35" t="s">
        <v>511</v>
      </c>
      <c r="C324" s="36" t="s">
        <v>223</v>
      </c>
      <c r="D324" s="8">
        <v>94</v>
      </c>
      <c r="E324" s="8">
        <v>23</v>
      </c>
      <c r="F324" s="8">
        <v>82</v>
      </c>
      <c r="G324" s="37">
        <v>82</v>
      </c>
      <c r="H324" s="26">
        <f ca="1">IFERROR(__xludf.DUMMYFUNCTION("(R324 * IFERROR(IF(S324&lt;&gt;"""",FILTER($G:$G,$C:$C=S324),0), 0)) + (U324 * IFERROR(IF(V324&lt;&gt;"""",FILTER($G:$G,$C:$C=V324),0), 0)) + (X324 * IFERROR(IF(Y324&lt;&gt;"""",FILTER($G:$G,$C:$C=Y324),0), 0)) + (AA324 * IFERROR(IF(AB324&lt;&gt;"""",FILTER($G:$G,$C:$C=AB324),0)"&amp;", 0))"),50.52)</f>
        <v>50.52</v>
      </c>
      <c r="I324" s="27">
        <f t="shared" ca="1" si="8"/>
        <v>31.479999999999997</v>
      </c>
      <c r="J324" s="8">
        <v>461</v>
      </c>
      <c r="K324" s="8">
        <v>461</v>
      </c>
      <c r="L324" s="5">
        <f t="shared" si="13"/>
        <v>461</v>
      </c>
      <c r="M324" s="28">
        <f t="shared" si="9"/>
        <v>0.18</v>
      </c>
      <c r="N324" s="29">
        <f t="shared" ca="1" si="10"/>
        <v>7.0000000000000007E-2</v>
      </c>
      <c r="O324" s="8">
        <v>16</v>
      </c>
      <c r="P324" s="29">
        <f t="shared" si="11"/>
        <v>0.03</v>
      </c>
      <c r="Q324" s="38">
        <v>6</v>
      </c>
      <c r="R324" s="46">
        <v>46.2</v>
      </c>
      <c r="S324" s="34" t="s">
        <v>437</v>
      </c>
      <c r="T324" s="46"/>
      <c r="U324" s="46">
        <v>0.08</v>
      </c>
      <c r="V324" s="34" t="s">
        <v>499</v>
      </c>
      <c r="W324" s="34"/>
      <c r="X324" s="34"/>
      <c r="Y324" s="34"/>
      <c r="Z324" s="34"/>
      <c r="AA324" s="34"/>
      <c r="AB324" s="34"/>
      <c r="AC324" s="7"/>
      <c r="AD324" s="7"/>
      <c r="AE324" s="7"/>
    </row>
    <row r="325" spans="1:31" ht="12.75" x14ac:dyDescent="0.2">
      <c r="A325" s="22"/>
      <c r="B325" s="39" t="s">
        <v>392</v>
      </c>
      <c r="C325" s="40" t="s">
        <v>393</v>
      </c>
      <c r="D325" s="5">
        <v>69</v>
      </c>
      <c r="E325" s="5">
        <v>57</v>
      </c>
      <c r="F325" s="5">
        <v>205</v>
      </c>
      <c r="G325" s="25">
        <v>205</v>
      </c>
      <c r="H325" s="26">
        <f ca="1">IFERROR(__xludf.DUMMYFUNCTION("(R325 * IFERROR(IF(S325&lt;&gt;"""",FILTER($G:$G,$C:$C=S325),0), 0)) + (U325 * IFERROR(IF(V325&lt;&gt;"""",FILTER($G:$G,$C:$C=V325),0), 0)) + (X325 * IFERROR(IF(Y325&lt;&gt;"""",FILTER($G:$G,$C:$C=Y325),0), 0)) + (AA325 * IFERROR(IF(AB325&lt;&gt;"""",FILTER($G:$G,$C:$C=AB325),0)"&amp;", 0))"),180)</f>
        <v>180</v>
      </c>
      <c r="I325" s="27">
        <f t="shared" ca="1" si="8"/>
        <v>25</v>
      </c>
      <c r="J325" s="5">
        <v>60</v>
      </c>
      <c r="K325" s="5">
        <v>51</v>
      </c>
      <c r="L325" s="5">
        <f t="shared" si="13"/>
        <v>60</v>
      </c>
      <c r="M325" s="28">
        <f t="shared" si="9"/>
        <v>3.42</v>
      </c>
      <c r="N325" s="29">
        <f t="shared" ca="1" si="10"/>
        <v>0.42</v>
      </c>
      <c r="O325" s="5">
        <v>24</v>
      </c>
      <c r="P325" s="43">
        <f t="shared" si="11"/>
        <v>0.4</v>
      </c>
      <c r="Q325" s="31" t="s">
        <v>446</v>
      </c>
      <c r="R325" s="32">
        <v>5</v>
      </c>
      <c r="S325" s="33" t="s">
        <v>84</v>
      </c>
      <c r="T325" s="32"/>
      <c r="U325" s="32">
        <v>5</v>
      </c>
      <c r="V325" s="33" t="s">
        <v>26</v>
      </c>
      <c r="W325" s="33"/>
      <c r="X325" s="33"/>
      <c r="Y325" s="33"/>
      <c r="Z325" s="33"/>
      <c r="AA325" s="33"/>
      <c r="AB325" s="34"/>
      <c r="AC325" s="6"/>
      <c r="AD325" s="6"/>
      <c r="AE325" s="7"/>
    </row>
    <row r="326" spans="1:31" ht="12.75" x14ac:dyDescent="0.2">
      <c r="A326" s="22"/>
      <c r="B326" s="39" t="s">
        <v>392</v>
      </c>
      <c r="C326" s="40" t="s">
        <v>394</v>
      </c>
      <c r="D326" s="5">
        <v>79</v>
      </c>
      <c r="E326" s="5">
        <v>151</v>
      </c>
      <c r="F326" s="5">
        <v>543</v>
      </c>
      <c r="G326" s="25">
        <v>543</v>
      </c>
      <c r="H326" s="26">
        <f ca="1">IFERROR(__xludf.DUMMYFUNCTION("(R326 * IFERROR(IF(S326&lt;&gt;"""",FILTER($G:$G,$C:$C=S326),0), 0)) + (U326 * IFERROR(IF(V326&lt;&gt;"""",FILTER($G:$G,$C:$C=V326),0), 0)) + (X326 * IFERROR(IF(Y326&lt;&gt;"""",FILTER($G:$G,$C:$C=Y326),0), 0)) + (AA326 * IFERROR(IF(AB326&lt;&gt;"""",FILTER($G:$G,$C:$C=AB326),0)"&amp;", 0))"),509)</f>
        <v>509</v>
      </c>
      <c r="I326" s="27">
        <f t="shared" ca="1" si="8"/>
        <v>34</v>
      </c>
      <c r="J326" s="5">
        <v>90</v>
      </c>
      <c r="K326" s="5">
        <v>76</v>
      </c>
      <c r="L326" s="5">
        <f t="shared" si="13"/>
        <v>90</v>
      </c>
      <c r="M326" s="28">
        <f t="shared" si="9"/>
        <v>6.03</v>
      </c>
      <c r="N326" s="29">
        <f t="shared" ca="1" si="10"/>
        <v>0.38</v>
      </c>
      <c r="O326" s="5">
        <v>65</v>
      </c>
      <c r="P326" s="43">
        <f t="shared" si="11"/>
        <v>0.72</v>
      </c>
      <c r="Q326" s="31" t="s">
        <v>444</v>
      </c>
      <c r="R326" s="32">
        <v>1</v>
      </c>
      <c r="S326" s="33" t="s">
        <v>43</v>
      </c>
      <c r="T326" s="32"/>
      <c r="U326" s="32">
        <v>3</v>
      </c>
      <c r="V326" s="33" t="s">
        <v>37</v>
      </c>
      <c r="W326" s="32"/>
      <c r="X326" s="32">
        <v>5</v>
      </c>
      <c r="Y326" s="33" t="s">
        <v>75</v>
      </c>
      <c r="Z326" s="32"/>
      <c r="AA326" s="32">
        <v>1</v>
      </c>
      <c r="AB326" s="34" t="s">
        <v>57</v>
      </c>
      <c r="AC326" s="6"/>
      <c r="AD326" s="6"/>
      <c r="AE326" s="7"/>
    </row>
    <row r="327" spans="1:31" ht="12.75" x14ac:dyDescent="0.2">
      <c r="A327" s="22"/>
      <c r="B327" s="39" t="s">
        <v>392</v>
      </c>
      <c r="C327" s="40" t="s">
        <v>395</v>
      </c>
      <c r="D327" s="5">
        <v>86</v>
      </c>
      <c r="E327" s="5">
        <v>166</v>
      </c>
      <c r="F327" s="5">
        <v>597</v>
      </c>
      <c r="G327" s="25">
        <v>597</v>
      </c>
      <c r="H327" s="26">
        <f ca="1">IFERROR(__xludf.DUMMYFUNCTION("(R327 * IFERROR(IF(S327&lt;&gt;"""",FILTER($G:$G,$C:$C=S327),0), 0)) + (U327 * IFERROR(IF(V327&lt;&gt;"""",FILTER($G:$G,$C:$C=V327),0), 0)) + (X327 * IFERROR(IF(Y327&lt;&gt;"""",FILTER($G:$G,$C:$C=Y327),0), 0)) + (AA327 * IFERROR(IF(AB327&lt;&gt;"""",FILTER($G:$G,$C:$C=AB327),0)"&amp;", 0))"),516)</f>
        <v>516</v>
      </c>
      <c r="I327" s="27">
        <f t="shared" ca="1" si="8"/>
        <v>81</v>
      </c>
      <c r="J327" s="5">
        <v>45</v>
      </c>
      <c r="K327" s="5">
        <v>38</v>
      </c>
      <c r="L327" s="5">
        <f t="shared" si="13"/>
        <v>45</v>
      </c>
      <c r="M327" s="28">
        <f t="shared" si="9"/>
        <v>13.27</v>
      </c>
      <c r="N327" s="29">
        <f t="shared" ca="1" si="10"/>
        <v>1.8</v>
      </c>
      <c r="O327" s="5">
        <v>80</v>
      </c>
      <c r="P327" s="43">
        <f t="shared" si="11"/>
        <v>1.78</v>
      </c>
      <c r="Q327" s="31">
        <v>2</v>
      </c>
      <c r="R327" s="32">
        <v>1</v>
      </c>
      <c r="S327" s="33" t="s">
        <v>46</v>
      </c>
      <c r="T327" s="32"/>
      <c r="U327" s="32">
        <v>1</v>
      </c>
      <c r="V327" s="33" t="s">
        <v>500</v>
      </c>
      <c r="W327" s="32"/>
      <c r="X327" s="32">
        <v>1</v>
      </c>
      <c r="Y327" s="33" t="s">
        <v>338</v>
      </c>
      <c r="Z327" s="32"/>
      <c r="AA327" s="32">
        <v>1</v>
      </c>
      <c r="AB327" s="34" t="s">
        <v>136</v>
      </c>
      <c r="AC327" s="6"/>
      <c r="AD327" s="6"/>
      <c r="AE327" s="7"/>
    </row>
    <row r="328" spans="1:31" ht="12.75" x14ac:dyDescent="0.2">
      <c r="A328" s="22"/>
      <c r="B328" s="44" t="s">
        <v>392</v>
      </c>
      <c r="C328" s="45" t="s">
        <v>396</v>
      </c>
      <c r="D328" s="8">
        <v>89</v>
      </c>
      <c r="E328" s="8">
        <v>85</v>
      </c>
      <c r="F328" s="8">
        <v>306</v>
      </c>
      <c r="G328" s="37">
        <v>306</v>
      </c>
      <c r="H328" s="26">
        <f ca="1">IFERROR(__xludf.DUMMYFUNCTION("(R328 * IFERROR(IF(S328&lt;&gt;"""",FILTER($G:$G,$C:$C=S328),0), 0)) + (U328 * IFERROR(IF(V328&lt;&gt;"""",FILTER($G:$G,$C:$C=V328),0), 0)) + (X328 * IFERROR(IF(Y328&lt;&gt;"""",FILTER($G:$G,$C:$C=Y328),0), 0)) + (AA328 * IFERROR(IF(AB328&lt;&gt;"""",FILTER($G:$G,$C:$C=AB328),0)"&amp;", 0))"),264)</f>
        <v>264</v>
      </c>
      <c r="I328" s="27">
        <f t="shared" ca="1" si="8"/>
        <v>42</v>
      </c>
      <c r="J328" s="8">
        <v>75</v>
      </c>
      <c r="K328" s="8">
        <v>63</v>
      </c>
      <c r="L328" s="5">
        <f t="shared" si="13"/>
        <v>75</v>
      </c>
      <c r="M328" s="28">
        <f t="shared" si="9"/>
        <v>4.08</v>
      </c>
      <c r="N328" s="29">
        <f t="shared" ca="1" si="10"/>
        <v>0.56000000000000005</v>
      </c>
      <c r="O328" s="8">
        <v>37</v>
      </c>
      <c r="P328" s="29">
        <f t="shared" si="11"/>
        <v>0.49</v>
      </c>
      <c r="Q328" s="38">
        <v>2</v>
      </c>
      <c r="R328" s="46">
        <v>3</v>
      </c>
      <c r="S328" s="34" t="s">
        <v>164</v>
      </c>
      <c r="T328" s="46"/>
      <c r="U328" s="46">
        <v>3</v>
      </c>
      <c r="V328" s="34" t="s">
        <v>77</v>
      </c>
      <c r="W328" s="46"/>
      <c r="X328" s="46">
        <v>3</v>
      </c>
      <c r="Y328" s="34" t="s">
        <v>182</v>
      </c>
      <c r="Z328" s="46"/>
      <c r="AA328" s="46">
        <v>3</v>
      </c>
      <c r="AB328" s="34" t="s">
        <v>91</v>
      </c>
      <c r="AC328" s="7"/>
      <c r="AD328" s="7"/>
      <c r="AE328" s="7"/>
    </row>
    <row r="329" spans="1:31" ht="12.75" x14ac:dyDescent="0.2">
      <c r="A329" s="7"/>
      <c r="B329" s="6"/>
      <c r="C329" s="6"/>
      <c r="D329" s="6"/>
      <c r="E329" s="6"/>
      <c r="F329" s="6"/>
      <c r="G329" s="61"/>
      <c r="H329" s="22"/>
      <c r="I329" s="56"/>
      <c r="J329" s="6"/>
      <c r="K329" s="6"/>
      <c r="L329" s="6"/>
      <c r="M329" s="22"/>
      <c r="N329" s="56"/>
      <c r="O329" s="6"/>
      <c r="P329" s="53"/>
      <c r="Q329" s="6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4"/>
      <c r="AC329" s="6"/>
      <c r="AD329" s="6"/>
      <c r="AE329" s="7"/>
    </row>
    <row r="330" spans="1:31" ht="12.75" x14ac:dyDescent="0.2">
      <c r="A330" s="7"/>
      <c r="B330" s="6"/>
      <c r="C330" s="6"/>
      <c r="D330" s="6"/>
      <c r="E330" s="6"/>
      <c r="F330" s="6"/>
      <c r="G330" s="61"/>
      <c r="H330" s="22"/>
      <c r="I330" s="56"/>
      <c r="J330" s="6"/>
      <c r="K330" s="6"/>
      <c r="L330" s="6"/>
      <c r="M330" s="22"/>
      <c r="N330" s="56"/>
      <c r="O330" s="6"/>
      <c r="P330" s="53"/>
      <c r="Q330" s="6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4"/>
      <c r="AC330" s="6"/>
      <c r="AD330" s="6"/>
      <c r="AE330" s="7"/>
    </row>
    <row r="331" spans="1:31" ht="12.75" x14ac:dyDescent="0.2">
      <c r="A331" s="7"/>
      <c r="B331" s="6"/>
      <c r="C331" s="6"/>
      <c r="D331" s="6"/>
      <c r="E331" s="6"/>
      <c r="F331" s="6"/>
      <c r="G331" s="61"/>
      <c r="H331" s="22"/>
      <c r="I331" s="56"/>
      <c r="J331" s="6"/>
      <c r="K331" s="6"/>
      <c r="L331" s="6"/>
      <c r="M331" s="22"/>
      <c r="N331" s="56"/>
      <c r="O331" s="6"/>
      <c r="P331" s="53"/>
      <c r="Q331" s="6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4"/>
      <c r="AC331" s="6"/>
      <c r="AD331" s="6"/>
      <c r="AE331" s="7"/>
    </row>
    <row r="332" spans="1:31" ht="12.75" x14ac:dyDescent="0.2">
      <c r="A332" s="7"/>
      <c r="B332" s="6"/>
      <c r="C332" s="6"/>
      <c r="D332" s="6"/>
      <c r="E332" s="6"/>
      <c r="F332" s="6"/>
      <c r="G332" s="61"/>
      <c r="H332" s="22"/>
      <c r="I332" s="56"/>
      <c r="J332" s="6"/>
      <c r="K332" s="6"/>
      <c r="L332" s="6"/>
      <c r="M332" s="22"/>
      <c r="N332" s="56"/>
      <c r="O332" s="6"/>
      <c r="P332" s="53"/>
      <c r="Q332" s="6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4"/>
      <c r="AC332" s="6"/>
      <c r="AD332" s="6"/>
      <c r="AE332" s="7"/>
    </row>
    <row r="333" spans="1:31" ht="12.75" x14ac:dyDescent="0.2">
      <c r="A333" s="7"/>
      <c r="B333" s="6"/>
      <c r="C333" s="6"/>
      <c r="D333" s="6"/>
      <c r="E333" s="6"/>
      <c r="F333" s="6"/>
      <c r="G333" s="61"/>
      <c r="H333" s="22"/>
      <c r="I333" s="56"/>
      <c r="J333" s="6"/>
      <c r="K333" s="6"/>
      <c r="L333" s="6"/>
      <c r="M333" s="22"/>
      <c r="N333" s="56"/>
      <c r="O333" s="6"/>
      <c r="P333" s="53"/>
      <c r="Q333" s="6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4"/>
      <c r="AC333" s="6"/>
      <c r="AD333" s="6"/>
      <c r="AE333" s="7"/>
    </row>
    <row r="334" spans="1:31" ht="12.75" x14ac:dyDescent="0.2">
      <c r="A334" s="7"/>
      <c r="B334" s="6"/>
      <c r="C334" s="6"/>
      <c r="D334" s="6"/>
      <c r="E334" s="6"/>
      <c r="F334" s="6"/>
      <c r="G334" s="61"/>
      <c r="H334" s="22"/>
      <c r="I334" s="56"/>
      <c r="J334" s="6"/>
      <c r="K334" s="6"/>
      <c r="L334" s="6"/>
      <c r="M334" s="22"/>
      <c r="N334" s="56"/>
      <c r="O334" s="6"/>
      <c r="P334" s="53"/>
      <c r="Q334" s="6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4"/>
      <c r="AC334" s="6"/>
      <c r="AD334" s="6"/>
      <c r="AE334" s="7"/>
    </row>
    <row r="335" spans="1:31" ht="12.75" x14ac:dyDescent="0.2">
      <c r="A335" s="7"/>
      <c r="B335" s="6"/>
      <c r="C335" s="6"/>
      <c r="D335" s="6"/>
      <c r="E335" s="6"/>
      <c r="F335" s="6"/>
      <c r="G335" s="61"/>
      <c r="H335" s="22"/>
      <c r="I335" s="56"/>
      <c r="J335" s="6"/>
      <c r="K335" s="6"/>
      <c r="L335" s="6"/>
      <c r="M335" s="22"/>
      <c r="N335" s="56"/>
      <c r="O335" s="6"/>
      <c r="P335" s="53"/>
      <c r="Q335" s="6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4"/>
      <c r="AC335" s="6"/>
      <c r="AD335" s="6"/>
      <c r="AE335" s="7"/>
    </row>
    <row r="336" spans="1:31" ht="12.75" x14ac:dyDescent="0.2">
      <c r="A336" s="7"/>
      <c r="B336" s="6"/>
      <c r="C336" s="6"/>
      <c r="D336" s="6"/>
      <c r="E336" s="6"/>
      <c r="F336" s="6"/>
      <c r="G336" s="61"/>
      <c r="H336" s="22"/>
      <c r="I336" s="56"/>
      <c r="J336" s="6"/>
      <c r="K336" s="6"/>
      <c r="L336" s="6"/>
      <c r="M336" s="22"/>
      <c r="N336" s="56"/>
      <c r="O336" s="6"/>
      <c r="P336" s="53"/>
      <c r="Q336" s="6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4"/>
      <c r="AC336" s="6"/>
      <c r="AD336" s="6"/>
      <c r="AE336" s="7"/>
    </row>
    <row r="337" spans="1:31" ht="12.75" x14ac:dyDescent="0.2">
      <c r="A337" s="7"/>
      <c r="B337" s="6"/>
      <c r="C337" s="6"/>
      <c r="D337" s="6"/>
      <c r="E337" s="6"/>
      <c r="F337" s="6"/>
      <c r="G337" s="61"/>
      <c r="H337" s="22"/>
      <c r="I337" s="56"/>
      <c r="J337" s="6"/>
      <c r="K337" s="6"/>
      <c r="L337" s="6"/>
      <c r="M337" s="22"/>
      <c r="N337" s="56"/>
      <c r="O337" s="6"/>
      <c r="P337" s="53"/>
      <c r="Q337" s="6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4"/>
      <c r="AC337" s="6"/>
      <c r="AD337" s="6"/>
      <c r="AE337" s="7"/>
    </row>
    <row r="338" spans="1:31" ht="12.75" x14ac:dyDescent="0.2">
      <c r="A338" s="7"/>
      <c r="B338" s="6"/>
      <c r="C338" s="6"/>
      <c r="D338" s="6"/>
      <c r="E338" s="6"/>
      <c r="F338" s="6"/>
      <c r="G338" s="61"/>
      <c r="H338" s="22"/>
      <c r="I338" s="56"/>
      <c r="J338" s="6"/>
      <c r="K338" s="6"/>
      <c r="L338" s="6"/>
      <c r="M338" s="22"/>
      <c r="N338" s="56"/>
      <c r="O338" s="6"/>
      <c r="P338" s="53"/>
      <c r="Q338" s="6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4"/>
      <c r="AC338" s="6"/>
      <c r="AD338" s="6"/>
      <c r="AE338" s="7"/>
    </row>
    <row r="339" spans="1:31" ht="12.75" x14ac:dyDescent="0.2">
      <c r="A339" s="7"/>
      <c r="B339" s="6"/>
      <c r="C339" s="6"/>
      <c r="D339" s="6"/>
      <c r="E339" s="6"/>
      <c r="F339" s="6"/>
      <c r="G339" s="61"/>
      <c r="H339" s="22"/>
      <c r="I339" s="56"/>
      <c r="J339" s="6"/>
      <c r="K339" s="6"/>
      <c r="L339" s="6"/>
      <c r="M339" s="22"/>
      <c r="N339" s="56"/>
      <c r="O339" s="6"/>
      <c r="P339" s="53"/>
      <c r="Q339" s="6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4"/>
      <c r="AC339" s="6"/>
      <c r="AD339" s="6"/>
      <c r="AE339" s="7"/>
    </row>
    <row r="340" spans="1:31" ht="12.75" x14ac:dyDescent="0.2">
      <c r="A340" s="7"/>
      <c r="B340" s="6"/>
      <c r="C340" s="6"/>
      <c r="D340" s="6"/>
      <c r="E340" s="6"/>
      <c r="F340" s="6"/>
      <c r="G340" s="61"/>
      <c r="H340" s="22"/>
      <c r="I340" s="56"/>
      <c r="J340" s="6"/>
      <c r="K340" s="6"/>
      <c r="L340" s="6"/>
      <c r="M340" s="22"/>
      <c r="N340" s="56"/>
      <c r="O340" s="6"/>
      <c r="P340" s="53"/>
      <c r="Q340" s="6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4"/>
      <c r="AC340" s="6"/>
      <c r="AD340" s="6"/>
      <c r="AE340" s="7"/>
    </row>
    <row r="341" spans="1:31" ht="12.75" x14ac:dyDescent="0.2">
      <c r="A341" s="7"/>
      <c r="B341" s="6"/>
      <c r="C341" s="6"/>
      <c r="D341" s="6"/>
      <c r="E341" s="6"/>
      <c r="F341" s="6"/>
      <c r="G341" s="61"/>
      <c r="H341" s="22"/>
      <c r="I341" s="56"/>
      <c r="J341" s="6"/>
      <c r="K341" s="6"/>
      <c r="L341" s="6"/>
      <c r="M341" s="22"/>
      <c r="N341" s="56"/>
      <c r="O341" s="6"/>
      <c r="P341" s="53"/>
      <c r="Q341" s="6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4"/>
      <c r="AC341" s="6"/>
      <c r="AD341" s="6"/>
      <c r="AE341" s="7"/>
    </row>
    <row r="342" spans="1:31" ht="12.75" x14ac:dyDescent="0.2">
      <c r="A342" s="7"/>
      <c r="B342" s="6"/>
      <c r="C342" s="6"/>
      <c r="D342" s="6"/>
      <c r="E342" s="6"/>
      <c r="F342" s="6"/>
      <c r="G342" s="61"/>
      <c r="H342" s="22"/>
      <c r="I342" s="56"/>
      <c r="J342" s="6"/>
      <c r="K342" s="6"/>
      <c r="L342" s="6"/>
      <c r="M342" s="22"/>
      <c r="N342" s="56"/>
      <c r="O342" s="6"/>
      <c r="P342" s="53"/>
      <c r="Q342" s="6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4"/>
      <c r="AC342" s="6"/>
      <c r="AD342" s="6"/>
      <c r="AE342" s="7"/>
    </row>
    <row r="343" spans="1:31" ht="12.75" x14ac:dyDescent="0.2">
      <c r="A343" s="7"/>
      <c r="B343" s="6"/>
      <c r="C343" s="6"/>
      <c r="D343" s="6"/>
      <c r="E343" s="6"/>
      <c r="F343" s="6"/>
      <c r="G343" s="61"/>
      <c r="H343" s="22"/>
      <c r="I343" s="56"/>
      <c r="J343" s="6"/>
      <c r="K343" s="6"/>
      <c r="L343" s="6"/>
      <c r="M343" s="22"/>
      <c r="N343" s="56"/>
      <c r="O343" s="6"/>
      <c r="P343" s="53"/>
      <c r="Q343" s="6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4"/>
      <c r="AC343" s="6"/>
      <c r="AD343" s="6"/>
      <c r="AE343" s="7"/>
    </row>
    <row r="344" spans="1:31" ht="12.75" x14ac:dyDescent="0.2">
      <c r="A344" s="7"/>
      <c r="B344" s="6"/>
      <c r="C344" s="6"/>
      <c r="D344" s="6"/>
      <c r="E344" s="6"/>
      <c r="F344" s="6"/>
      <c r="G344" s="61"/>
      <c r="H344" s="22"/>
      <c r="I344" s="56"/>
      <c r="J344" s="6"/>
      <c r="K344" s="6"/>
      <c r="L344" s="6"/>
      <c r="M344" s="22"/>
      <c r="N344" s="56"/>
      <c r="O344" s="6"/>
      <c r="P344" s="53"/>
      <c r="Q344" s="6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4"/>
      <c r="AC344" s="6"/>
      <c r="AD344" s="6"/>
      <c r="AE344" s="7"/>
    </row>
    <row r="345" spans="1:31" ht="12.75" x14ac:dyDescent="0.2">
      <c r="A345" s="7"/>
      <c r="B345" s="6"/>
      <c r="C345" s="6"/>
      <c r="D345" s="6"/>
      <c r="E345" s="6"/>
      <c r="F345" s="6"/>
      <c r="G345" s="61"/>
      <c r="H345" s="22"/>
      <c r="I345" s="56"/>
      <c r="J345" s="6"/>
      <c r="K345" s="6"/>
      <c r="L345" s="6"/>
      <c r="M345" s="22"/>
      <c r="N345" s="56"/>
      <c r="O345" s="6"/>
      <c r="P345" s="53"/>
      <c r="Q345" s="6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4"/>
      <c r="AC345" s="6"/>
      <c r="AD345" s="6"/>
      <c r="AE345" s="7"/>
    </row>
    <row r="346" spans="1:31" ht="12.75" x14ac:dyDescent="0.2">
      <c r="A346" s="7"/>
      <c r="B346" s="6"/>
      <c r="C346" s="6"/>
      <c r="D346" s="6"/>
      <c r="E346" s="6"/>
      <c r="F346" s="6"/>
      <c r="G346" s="61"/>
      <c r="H346" s="22"/>
      <c r="I346" s="56"/>
      <c r="J346" s="6"/>
      <c r="K346" s="6"/>
      <c r="L346" s="6"/>
      <c r="M346" s="22"/>
      <c r="N346" s="56"/>
      <c r="O346" s="6"/>
      <c r="P346" s="53"/>
      <c r="Q346" s="6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4"/>
      <c r="AC346" s="6"/>
      <c r="AD346" s="6"/>
      <c r="AE346" s="7"/>
    </row>
    <row r="347" spans="1:31" ht="12.75" x14ac:dyDescent="0.2">
      <c r="A347" s="7"/>
      <c r="B347" s="6"/>
      <c r="C347" s="6"/>
      <c r="D347" s="6"/>
      <c r="E347" s="6"/>
      <c r="F347" s="6"/>
      <c r="G347" s="61"/>
      <c r="H347" s="22"/>
      <c r="I347" s="56"/>
      <c r="J347" s="6"/>
      <c r="K347" s="6"/>
      <c r="L347" s="6"/>
      <c r="M347" s="22"/>
      <c r="N347" s="56"/>
      <c r="O347" s="6"/>
      <c r="P347" s="53"/>
      <c r="Q347" s="6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4"/>
      <c r="AC347" s="6"/>
      <c r="AD347" s="6"/>
      <c r="AE347" s="7"/>
    </row>
    <row r="348" spans="1:31" ht="12.75" x14ac:dyDescent="0.2">
      <c r="A348" s="7"/>
      <c r="B348" s="6"/>
      <c r="C348" s="6"/>
      <c r="D348" s="6"/>
      <c r="E348" s="6"/>
      <c r="F348" s="6"/>
      <c r="G348" s="61"/>
      <c r="H348" s="22"/>
      <c r="I348" s="56"/>
      <c r="J348" s="6"/>
      <c r="K348" s="6"/>
      <c r="L348" s="6"/>
      <c r="M348" s="22"/>
      <c r="N348" s="56"/>
      <c r="O348" s="6"/>
      <c r="P348" s="53"/>
      <c r="Q348" s="6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4"/>
      <c r="AC348" s="6"/>
      <c r="AD348" s="6"/>
      <c r="AE348" s="7"/>
    </row>
    <row r="349" spans="1:31" ht="12.75" x14ac:dyDescent="0.2">
      <c r="A349" s="7"/>
      <c r="B349" s="6"/>
      <c r="C349" s="6"/>
      <c r="D349" s="6"/>
      <c r="E349" s="6"/>
      <c r="F349" s="6"/>
      <c r="G349" s="61"/>
      <c r="H349" s="22"/>
      <c r="I349" s="56"/>
      <c r="J349" s="6"/>
      <c r="K349" s="6"/>
      <c r="L349" s="6"/>
      <c r="M349" s="22"/>
      <c r="N349" s="56"/>
      <c r="O349" s="6"/>
      <c r="P349" s="53"/>
      <c r="Q349" s="6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4"/>
      <c r="AC349" s="6"/>
      <c r="AD349" s="6"/>
      <c r="AE349" s="7"/>
    </row>
    <row r="350" spans="1:31" ht="12.75" x14ac:dyDescent="0.2">
      <c r="A350" s="7"/>
      <c r="B350" s="6"/>
      <c r="C350" s="6"/>
      <c r="D350" s="6"/>
      <c r="E350" s="6"/>
      <c r="F350" s="6"/>
      <c r="G350" s="61"/>
      <c r="H350" s="22"/>
      <c r="I350" s="56"/>
      <c r="J350" s="6"/>
      <c r="K350" s="6"/>
      <c r="L350" s="6"/>
      <c r="M350" s="22"/>
      <c r="N350" s="56"/>
      <c r="O350" s="6"/>
      <c r="P350" s="53"/>
      <c r="Q350" s="6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4"/>
      <c r="AC350" s="6"/>
      <c r="AD350" s="6"/>
      <c r="AE350" s="7"/>
    </row>
    <row r="351" spans="1:31" ht="12.75" x14ac:dyDescent="0.2">
      <c r="A351" s="7"/>
      <c r="B351" s="6"/>
      <c r="C351" s="6"/>
      <c r="D351" s="6"/>
      <c r="E351" s="6"/>
      <c r="F351" s="6"/>
      <c r="G351" s="61"/>
      <c r="H351" s="22"/>
      <c r="I351" s="56"/>
      <c r="J351" s="6"/>
      <c r="K351" s="6"/>
      <c r="L351" s="6"/>
      <c r="M351" s="22"/>
      <c r="N351" s="56"/>
      <c r="O351" s="6"/>
      <c r="P351" s="53"/>
      <c r="Q351" s="6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4"/>
      <c r="AC351" s="6"/>
      <c r="AD351" s="6"/>
      <c r="AE351" s="7"/>
    </row>
    <row r="352" spans="1:31" ht="12.75" x14ac:dyDescent="0.2">
      <c r="A352" s="7"/>
      <c r="B352" s="6"/>
      <c r="C352" s="6"/>
      <c r="D352" s="6"/>
      <c r="E352" s="6"/>
      <c r="F352" s="6"/>
      <c r="G352" s="61"/>
      <c r="H352" s="22"/>
      <c r="I352" s="56"/>
      <c r="J352" s="6"/>
      <c r="K352" s="6"/>
      <c r="L352" s="6"/>
      <c r="M352" s="22"/>
      <c r="N352" s="56"/>
      <c r="O352" s="6"/>
      <c r="P352" s="53"/>
      <c r="Q352" s="6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4"/>
      <c r="AC352" s="6"/>
      <c r="AD352" s="6"/>
      <c r="AE352" s="7"/>
    </row>
    <row r="353" spans="1:31" ht="12.75" x14ac:dyDescent="0.2">
      <c r="A353" s="7"/>
      <c r="B353" s="6"/>
      <c r="C353" s="6"/>
      <c r="D353" s="6"/>
      <c r="E353" s="6"/>
      <c r="F353" s="6"/>
      <c r="G353" s="61"/>
      <c r="H353" s="22"/>
      <c r="I353" s="56"/>
      <c r="J353" s="6"/>
      <c r="K353" s="6"/>
      <c r="L353" s="6"/>
      <c r="M353" s="22"/>
      <c r="N353" s="56"/>
      <c r="O353" s="6"/>
      <c r="P353" s="53"/>
      <c r="Q353" s="6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4"/>
      <c r="AC353" s="6"/>
      <c r="AD353" s="6"/>
      <c r="AE353" s="7"/>
    </row>
    <row r="354" spans="1:31" ht="12.75" x14ac:dyDescent="0.2">
      <c r="A354" s="7"/>
      <c r="B354" s="6"/>
      <c r="C354" s="6"/>
      <c r="D354" s="6"/>
      <c r="E354" s="6"/>
      <c r="F354" s="6"/>
      <c r="G354" s="61"/>
      <c r="H354" s="22"/>
      <c r="I354" s="56"/>
      <c r="J354" s="6"/>
      <c r="K354" s="6"/>
      <c r="L354" s="6"/>
      <c r="M354" s="22"/>
      <c r="N354" s="56"/>
      <c r="O354" s="6"/>
      <c r="P354" s="53"/>
      <c r="Q354" s="6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4"/>
      <c r="AC354" s="6"/>
      <c r="AD354" s="6"/>
      <c r="AE354" s="7"/>
    </row>
    <row r="355" spans="1:31" ht="12.75" x14ac:dyDescent="0.2">
      <c r="A355" s="7"/>
      <c r="B355" s="6"/>
      <c r="C355" s="6"/>
      <c r="D355" s="6"/>
      <c r="E355" s="6"/>
      <c r="F355" s="6"/>
      <c r="G355" s="61"/>
      <c r="H355" s="22"/>
      <c r="I355" s="56"/>
      <c r="J355" s="6"/>
      <c r="K355" s="6"/>
      <c r="L355" s="6"/>
      <c r="M355" s="22"/>
      <c r="N355" s="56"/>
      <c r="O355" s="6"/>
      <c r="P355" s="53"/>
      <c r="Q355" s="6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4"/>
      <c r="AC355" s="6"/>
      <c r="AD355" s="6"/>
      <c r="AE355" s="7"/>
    </row>
    <row r="356" spans="1:31" ht="12.75" x14ac:dyDescent="0.2">
      <c r="A356" s="7"/>
      <c r="B356" s="6"/>
      <c r="C356" s="6"/>
      <c r="D356" s="6"/>
      <c r="E356" s="6"/>
      <c r="F356" s="6"/>
      <c r="G356" s="61"/>
      <c r="H356" s="22"/>
      <c r="I356" s="56"/>
      <c r="J356" s="6"/>
      <c r="K356" s="6"/>
      <c r="L356" s="6"/>
      <c r="M356" s="22"/>
      <c r="N356" s="56"/>
      <c r="O356" s="6"/>
      <c r="P356" s="53"/>
      <c r="Q356" s="6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4"/>
      <c r="AC356" s="6"/>
      <c r="AD356" s="6"/>
      <c r="AE356" s="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Production Machines and Recipes</vt:lpstr>
      <vt:lpstr>Ingredient costs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Tjorven</dc:creator>
  <cp:lastModifiedBy>Tjorven Burdorf</cp:lastModifiedBy>
  <dcterms:created xsi:type="dcterms:W3CDTF">2024-02-09T17:26:55Z</dcterms:created>
  <dcterms:modified xsi:type="dcterms:W3CDTF">2024-02-09T17:26:55Z</dcterms:modified>
</cp:coreProperties>
</file>