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ructure" sheetId="1" state="visible" r:id="rId2"/>
    <sheet name="joints and bearing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<sst xmlns="http://schemas.openxmlformats.org/spreadsheetml/2006/main" count="203" uniqueCount="112">
  <si>
    <t xml:space="preserve">Desktop - simply supported</t>
  </si>
  <si>
    <t xml:space="preserve">Material: baltic birch plywood</t>
  </si>
  <si>
    <t xml:space="preserve">span length (mm)</t>
  </si>
  <si>
    <t xml:space="preserve">mass density (kg/mm^3)</t>
  </si>
  <si>
    <t xml:space="preserve">thickness (mm) -- z</t>
  </si>
  <si>
    <t xml:space="preserve">shear strength plywood (MPa)</t>
  </si>
  <si>
    <t xml:space="preserve">http://www.matweb.com/search/DataSheet.aspx?MatGUID=bd6620450973496ea2578c283e9fb807</t>
  </si>
  <si>
    <t xml:space="preserve">depth (mm) -- y</t>
  </si>
  <si>
    <t xml:space="preserve">tensile strength plywood (MPa)</t>
  </si>
  <si>
    <t xml:space="preserve">http://www.matweb.com/search/DataSheet.aspx?MatGUID=216748b4202446868305405c8cfe51a3</t>
  </si>
  <si>
    <t xml:space="preserve">width (mm) -- x</t>
  </si>
  <si>
    <t xml:space="preserve">area (mm^2)</t>
  </si>
  <si>
    <t xml:space="preserve">Loading: center of desktop</t>
  </si>
  <si>
    <t xml:space="preserve">I_thickness bending (mm^4)</t>
  </si>
  <si>
    <t xml:space="preserve">design live load (N)</t>
  </si>
  <si>
    <t xml:space="preserve">distance to extreme fiber (mm)</t>
  </si>
  <si>
    <t xml:space="preserve">dead load (N)</t>
  </si>
  <si>
    <t xml:space="preserve">Technically distributed, but concentrated load is conservative</t>
  </si>
  <si>
    <t xml:space="preserve">first moment of area (mm^3)</t>
  </si>
  <si>
    <t xml:space="preserve">max bending moment (Nmm)</t>
  </si>
  <si>
    <t xml:space="preserve">total central load (N)</t>
  </si>
  <si>
    <t xml:space="preserve">max bending stress (Mpa)</t>
  </si>
  <si>
    <t xml:space="preserve">Tensile Safety Factor</t>
  </si>
  <si>
    <t xml:space="preserve">max shear force (N)</t>
  </si>
  <si>
    <t xml:space="preserve">max shear stress (Mpa)</t>
  </si>
  <si>
    <t xml:space="preserve">Shear Safety Factor</t>
  </si>
  <si>
    <t xml:space="preserve">Bracket -- cantilever leg + flange leg</t>
  </si>
  <si>
    <t xml:space="preserve">Material: Mild Steel</t>
  </si>
  <si>
    <t xml:space="preserve">cantilever leg – bending</t>
  </si>
  <si>
    <t xml:space="preserve">http://www.matweb.com/search/DataSheet.aspx?MatGUID=afc003f4fb40465fa3df05129f0e88e6</t>
  </si>
  <si>
    <t xml:space="preserve">cantilever length (mm)</t>
  </si>
  <si>
    <t xml:space="preserve">tensile yield strength (Mpa)</t>
  </si>
  <si>
    <t xml:space="preserve">thickness (mm)</t>
  </si>
  <si>
    <t xml:space="preserve">12-gauge plate</t>
  </si>
  <si>
    <t xml:space="preserve">shear yield strength (Mpa)</t>
  </si>
  <si>
    <t xml:space="preserve">https://en.wikipedia.org/wiki/Shear_strength</t>
  </si>
  <si>
    <t xml:space="preserve">width (mm)</t>
  </si>
  <si>
    <t xml:space="preserve">Loading: center of desktop, at edge</t>
  </si>
  <si>
    <t xml:space="preserve">Technically distributed, but concentrated load is at edge conservative</t>
  </si>
  <si>
    <t xml:space="preserve">load per bracket (N)</t>
  </si>
  <si>
    <t xml:space="preserve">desktop depth (mm)</t>
  </si>
  <si>
    <t xml:space="preserve">cantilever leg – torsion</t>
  </si>
  <si>
    <t xml:space="preserve">approximate torsional constant, J_T (mm^3)</t>
  </si>
  <si>
    <t xml:space="preserve">max torque per bracket (Nmm)</t>
  </si>
  <si>
    <t xml:space="preserve">max torsional stress (Mpa)</t>
  </si>
  <si>
    <t xml:space="preserve">Torsion Safety Factor</t>
  </si>
  <si>
    <t xml:space="preserve">flange leg – axial loading</t>
  </si>
  <si>
    <t xml:space="preserve">length under tension (mm)</t>
  </si>
  <si>
    <t xml:space="preserve">max axial load (N)</t>
  </si>
  <si>
    <t xml:space="preserve">max tensile stress (Mpa)</t>
  </si>
  <si>
    <t xml:space="preserve">Safety Factor</t>
  </si>
  <si>
    <t xml:space="preserve">Columns - cantilever</t>
  </si>
  <si>
    <t xml:space="preserve">Material: Solid European Birch</t>
  </si>
  <si>
    <t xml:space="preserve">backplate</t>
  </si>
  <si>
    <t xml:space="preserve">shear strength birch (MPa)</t>
  </si>
  <si>
    <t xml:space="preserve">thickness (mm) x</t>
  </si>
  <si>
    <t xml:space="preserve">tensile strength birch (MPa)</t>
  </si>
  <si>
    <t xml:space="preserve">vertical load (N)</t>
  </si>
  <si>
    <t xml:space="preserve">worst-case where load concentrated at edge</t>
  </si>
  <si>
    <t xml:space="preserve">height (mm) -- z</t>
  </si>
  <si>
    <t xml:space="preserve">offset from column (mm)</t>
  </si>
  <si>
    <t xml:space="preserve">I_depth bending (mm^4)</t>
  </si>
  <si>
    <t xml:space="preserve">spacers</t>
  </si>
  <si>
    <t xml:space="preserve">area_total (mm^2)</t>
  </si>
  <si>
    <t xml:space="preserve">I_depth bending_both (mm^4)</t>
  </si>
  <si>
    <t xml:space="preserve">keepers</t>
  </si>
  <si>
    <t xml:space="preserve">overall</t>
  </si>
  <si>
    <t xml:space="preserve">centroid distance from backplate (mm)</t>
  </si>
  <si>
    <t xml:space="preserve">max bending stress (MPa)</t>
  </si>
  <si>
    <t xml:space="preserve">Feet -- cantilever</t>
  </si>
  <si>
    <t xml:space="preserve">length (mm)</t>
  </si>
  <si>
    <t xml:space="preserve">thickness (mm) -- x</t>
  </si>
  <si>
    <t xml:space="preserve">tip load (N)</t>
  </si>
  <si>
    <t xml:space="preserve">tip offset (mm)</t>
  </si>
  <si>
    <t xml:space="preserve">I_height bending_both (mm^4)</t>
  </si>
  <si>
    <t xml:space="preserve">conservatively assume load at extreme corner, therefore felt entirely by one foot</t>
  </si>
  <si>
    <t xml:space="preserve">desktop to bracket</t>
  </si>
  <si>
    <t xml:space="preserve">bracket to slider</t>
  </si>
  <si>
    <t xml:space="preserve">bolt hole bearing stress</t>
  </si>
  <si>
    <t xml:space="preserve">worst-case where lateral friction in joint is completely relieved</t>
  </si>
  <si>
    <t xml:space="preserve">bolt diameter (mm)</t>
  </si>
  <si>
    <t xml:space="preserve">flange thickness (mm)</t>
  </si>
  <si>
    <t xml:space="preserve">number of bolts</t>
  </si>
  <si>
    <t xml:space="preserve">bearing area per bolt (mm^2)</t>
  </si>
  <si>
    <t xml:space="preserve">total bearing area (mm^2)</t>
  </si>
  <si>
    <t xml:space="preserve">bearing stress (Mpa)</t>
  </si>
  <si>
    <t xml:space="preserve">slider in boxway</t>
  </si>
  <si>
    <t xml:space="preserve">theta_y – slider prying keeper rail</t>
  </si>
  <si>
    <t xml:space="preserve">conservatively assume load concentrated at tip of keeper rail</t>
  </si>
  <si>
    <t xml:space="preserve">slider length (mm)</t>
  </si>
  <si>
    <t xml:space="preserve">keeper rail thickness (mm)</t>
  </si>
  <si>
    <t xml:space="preserve">keeper rail overhang (mm)</t>
  </si>
  <si>
    <t xml:space="preserve">compressive yield strength (Mpa)</t>
  </si>
  <si>
    <t xml:space="preserve">contact patch length (mm) – extreme thirds of slider</t>
  </si>
  <si>
    <t xml:space="preserve">contact patch area (mm^2)</t>
  </si>
  <si>
    <t xml:space="preserve">Loading: cantilever tip of bracket</t>
  </si>
  <si>
    <t xml:space="preserve">contact patch separation (mm)</t>
  </si>
  <si>
    <t xml:space="preserve">slider thickness – x (mm)</t>
  </si>
  <si>
    <t xml:space="preserve">effective cantilever width (mm)</t>
  </si>
  <si>
    <t xml:space="preserve">bracket cantilevered length (mm)</t>
  </si>
  <si>
    <t xml:space="preserve">I_effective, keeper rail (mm^4)</t>
  </si>
  <si>
    <t xml:space="preserve">moment about centroid of slider (Nmm)</t>
  </si>
  <si>
    <t xml:space="preserve">reaction force at contact patch (N)</t>
  </si>
  <si>
    <t xml:space="preserve">Bending Safety Factor</t>
  </si>
  <si>
    <t xml:space="preserve">Crush Safety Factor</t>
  </si>
  <si>
    <t xml:space="preserve">theta x – sider prying spacer rail</t>
  </si>
  <si>
    <t xml:space="preserve">Loading: point load at front edge of desktop</t>
  </si>
  <si>
    <t xml:space="preserve">desktop depth – y (mm)</t>
  </si>
  <si>
    <t xml:space="preserve">spacer rail height (mm)</t>
  </si>
  <si>
    <t xml:space="preserve">spacer rail thickness (mm)</t>
  </si>
  <si>
    <t xml:space="preserve">I_effective, spacer rail (mm^4)</t>
  </si>
  <si>
    <t xml:space="preserve">column to foot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</si>
</sst>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00"/>
    <numFmt numFmtId="166" formatCode="0.0"/>
    <numFmt numFmtId="167" formatCode="0.00"/>
    <numFmt numFmtId="168" formatCode="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F3333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matweb.com/search/DataSheet.aspx?MatGUID=bd6620450973496ea2578c283e9fb807" TargetMode="External"/><Relationship Id="rId2" Type="http://schemas.openxmlformats.org/officeDocument/2006/relationships/hyperlink" Target="http://www.matweb.com/search/DataSheet.aspx?MatGUID=216748b4202446868305405c8cfe51a3" TargetMode="External"/><Relationship Id="rId3" Type="http://schemas.openxmlformats.org/officeDocument/2006/relationships/hyperlink" Target="http://www.matweb.com/search/DataSheet.aspx?MatGUID=216748b4202446868305405c8cfe51a3" TargetMode="External"/><Relationship Id="rId4" Type="http://schemas.openxmlformats.org/officeDocument/2006/relationships/hyperlink" Target="http://www.matweb.com/search/DataSheet.aspx?MatGUID=216748b4202446868305405c8cfe51a3" TargetMode="External"/><Relationship Id="rId5" Type="http://schemas.openxmlformats.org/officeDocument/2006/relationships/hyperlink" Target="http://www.matweb.com/search/DataSheet.aspx?MatGUID=216748b4202446868305405c8cfe51a3" TargetMode="External"/><Relationship Id="rId6" Type="http://schemas.openxmlformats.org/officeDocument/2006/relationships/hyperlink" Target="http://www.matweb.com/search/DataSheet.aspx?MatGUID=216748b4202446868305405c8cfe51a3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matweb.com/search/DataSheet.aspx?MatGUID=216748b4202446868305405c8cfe51a3" TargetMode="External"/><Relationship Id="rId2" Type="http://schemas.openxmlformats.org/officeDocument/2006/relationships/hyperlink" Target="http://www.matweb.com/search/DataSheet.aspx?MatGUID=216748b4202446868305405c8cfe51a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D27" activeCellId="0" sqref="D27"/>
    </sheetView>
  </sheetViews>
  <sheetFormatPr defaultRowHeight="14.4"/>
  <cols>
    <col collapsed="false" hidden="false" max="1" min="1" style="0" width="41.2388663967611"/>
    <col collapsed="false" hidden="false" max="2" min="2" style="0" width="10.6032388663968"/>
    <col collapsed="false" hidden="false" max="3" min="3" style="0" width="16.497975708502"/>
    <col collapsed="false" hidden="false" max="4" min="4" style="0" width="32.6720647773279"/>
    <col collapsed="false" hidden="false" max="5" min="5" style="0" width="12.748987854251"/>
    <col collapsed="false" hidden="false" max="1025" min="6" style="0" width="8.57085020242915"/>
  </cols>
  <sheetData>
    <row r="1" customFormat="false" ht="14.4" hidden="false" customHeight="false" outlineLevel="0" collapsed="false">
      <c r="A1" s="1" t="s">
        <v>0</v>
      </c>
      <c r="D1" s="1" t="s">
        <v>1</v>
      </c>
    </row>
    <row r="2" customFormat="false" ht="14.4" hidden="false" customHeight="false" outlineLevel="0" collapsed="false">
      <c r="A2" s="2" t="s">
        <v>2</v>
      </c>
      <c r="B2" s="0" t="n">
        <f aca="false">750</f>
        <v>750</v>
      </c>
      <c r="D2" s="2" t="s">
        <v>3</v>
      </c>
      <c r="E2" s="3" t="n">
        <f aca="false">680/1000^3</f>
        <v>6.8E-007</v>
      </c>
    </row>
    <row r="3" customFormat="false" ht="14.4" hidden="false" customHeight="false" outlineLevel="0" collapsed="false">
      <c r="A3" s="2" t="s">
        <v>4</v>
      </c>
      <c r="B3" s="0" t="n">
        <v>18</v>
      </c>
      <c r="D3" s="2" t="s">
        <v>5</v>
      </c>
      <c r="E3" s="0" t="n">
        <v>1.9</v>
      </c>
      <c r="F3" s="4" t="s">
        <v>6</v>
      </c>
    </row>
    <row r="4" customFormat="false" ht="14.4" hidden="false" customHeight="false" outlineLevel="0" collapsed="false">
      <c r="A4" s="2" t="s">
        <v>7</v>
      </c>
      <c r="B4" s="0" t="n">
        <v>500</v>
      </c>
      <c r="D4" s="2" t="s">
        <v>8</v>
      </c>
      <c r="E4" s="0" t="n">
        <v>30</v>
      </c>
      <c r="F4" s="4" t="s">
        <v>9</v>
      </c>
    </row>
    <row r="5" customFormat="false" ht="14.4" hidden="false" customHeight="false" outlineLevel="0" collapsed="false">
      <c r="A5" s="2" t="s">
        <v>10</v>
      </c>
      <c r="B5" s="0" t="n">
        <v>750</v>
      </c>
    </row>
    <row r="6" customFormat="false" ht="14.4" hidden="false" customHeight="false" outlineLevel="0" collapsed="false">
      <c r="A6" s="2" t="s">
        <v>11</v>
      </c>
      <c r="B6" s="0" t="n">
        <f aca="false">structure!B4*structure!B3</f>
        <v>9000</v>
      </c>
      <c r="D6" s="1" t="s">
        <v>12</v>
      </c>
    </row>
    <row r="7" customFormat="false" ht="14.4" hidden="false" customHeight="false" outlineLevel="0" collapsed="false">
      <c r="A7" s="2" t="s">
        <v>13</v>
      </c>
      <c r="B7" s="0" t="n">
        <f aca="false">structure!B4*structure!B3^3/12</f>
        <v>243000</v>
      </c>
      <c r="D7" s="2" t="s">
        <v>14</v>
      </c>
      <c r="E7" s="0" t="n">
        <v>197</v>
      </c>
    </row>
    <row r="8" customFormat="false" ht="14.4" hidden="false" customHeight="false" outlineLevel="0" collapsed="false">
      <c r="A8" s="2" t="s">
        <v>15</v>
      </c>
      <c r="B8" s="0" t="n">
        <f aca="false">structure!B3/2</f>
        <v>9</v>
      </c>
      <c r="D8" s="2" t="s">
        <v>16</v>
      </c>
      <c r="E8" s="0" t="n">
        <f aca="false">structure!E2*structure!B3*structure!B4*structure!B5*9.81</f>
        <v>45.0279</v>
      </c>
      <c r="F8" s="0" t="s">
        <v>17</v>
      </c>
    </row>
    <row r="9" customFormat="false" ht="13.8" hidden="false" customHeight="false" outlineLevel="0" collapsed="false">
      <c r="A9" s="2" t="s">
        <v>18</v>
      </c>
      <c r="B9" s="0" t="n">
        <f aca="false">structure!B3*structure!B4/2*structure!B3/4</f>
        <v>20250</v>
      </c>
      <c r="D9" s="2"/>
    </row>
    <row r="10" customFormat="false" ht="14.4" hidden="false" customHeight="false" outlineLevel="0" collapsed="false">
      <c r="A10" s="2" t="s">
        <v>19</v>
      </c>
      <c r="B10" s="0" t="n">
        <f aca="false">structure!E10*structure!B2/4</f>
        <v>45380.23125</v>
      </c>
      <c r="D10" s="2" t="s">
        <v>20</v>
      </c>
      <c r="E10" s="0" t="n">
        <f aca="false">structure!E7+structure!E8</f>
        <v>242.0279</v>
      </c>
    </row>
    <row r="11" customFormat="false" ht="14.4" hidden="false" customHeight="false" outlineLevel="0" collapsed="false">
      <c r="A11" s="2" t="s">
        <v>21</v>
      </c>
      <c r="B11" s="0" t="n">
        <f aca="false">structure!B10*structure!B8/structure!B7</f>
        <v>1.68074930555556</v>
      </c>
    </row>
    <row r="12" customFormat="false" ht="14.4" hidden="false" customHeight="false" outlineLevel="0" collapsed="false">
      <c r="A12" s="5" t="s">
        <v>22</v>
      </c>
      <c r="B12" s="6" t="n">
        <f aca="false">structure!E4/structure!B11</f>
        <v>17.8491818505222</v>
      </c>
    </row>
    <row r="13" customFormat="false" ht="13.8" hidden="false" customHeight="false" outlineLevel="0" collapsed="false">
      <c r="A13" s="7" t="s">
        <v>23</v>
      </c>
      <c r="B13" s="8" t="n">
        <f aca="false">structure!E10/2</f>
        <v>121.01395</v>
      </c>
    </row>
    <row r="14" customFormat="false" ht="13.8" hidden="false" customHeight="false" outlineLevel="0" collapsed="false">
      <c r="A14" s="7" t="s">
        <v>24</v>
      </c>
      <c r="B14" s="8" t="n">
        <f aca="false">structure!B13*structure!B9/(structure!B7*structure!B4)</f>
        <v>0.0201689916666667</v>
      </c>
    </row>
    <row r="15" customFormat="false" ht="13.8" hidden="false" customHeight="false" outlineLevel="0" collapsed="false">
      <c r="A15" s="9" t="s">
        <v>25</v>
      </c>
      <c r="B15" s="10" t="n">
        <f aca="false">structure!E3/structure!B14</f>
        <v>94.2040153222005</v>
      </c>
    </row>
    <row r="17" customFormat="false" ht="14.4" hidden="false" customHeight="false" outlineLevel="0" collapsed="false">
      <c r="A17" s="1" t="s">
        <v>26</v>
      </c>
      <c r="D17" s="1" t="s">
        <v>27</v>
      </c>
    </row>
    <row r="18" customFormat="false" ht="14.4" hidden="false" customHeight="false" outlineLevel="0" collapsed="false">
      <c r="A18" s="11" t="s">
        <v>28</v>
      </c>
      <c r="D18" s="2" t="s">
        <v>3</v>
      </c>
      <c r="E18" s="0" t="n">
        <f aca="false">(7.8/1000)/10^3</f>
        <v>7.8E-006</v>
      </c>
      <c r="F18" s="0" t="s">
        <v>29</v>
      </c>
    </row>
    <row r="19" customFormat="false" ht="14.4" hidden="false" customHeight="false" outlineLevel="0" collapsed="false">
      <c r="A19" s="2" t="s">
        <v>30</v>
      </c>
      <c r="B19" s="0" t="n">
        <v>25</v>
      </c>
      <c r="D19" s="2" t="s">
        <v>31</v>
      </c>
      <c r="E19" s="0" t="n">
        <v>250</v>
      </c>
      <c r="F19" s="0" t="s">
        <v>29</v>
      </c>
    </row>
    <row r="20" customFormat="false" ht="13.8" hidden="false" customHeight="false" outlineLevel="0" collapsed="false">
      <c r="A20" s="2" t="s">
        <v>32</v>
      </c>
      <c r="B20" s="0" t="n">
        <v>2.67</v>
      </c>
      <c r="C20" s="0" t="s">
        <v>33</v>
      </c>
      <c r="D20" s="2" t="s">
        <v>34</v>
      </c>
      <c r="E20" s="0" t="n">
        <f aca="false">0.58*structure!E19</f>
        <v>145</v>
      </c>
      <c r="F20" s="0" t="s">
        <v>35</v>
      </c>
    </row>
    <row r="21" customFormat="false" ht="14.4" hidden="false" customHeight="false" outlineLevel="0" collapsed="false">
      <c r="A21" s="2" t="s">
        <v>36</v>
      </c>
      <c r="B21" s="0" t="n">
        <v>50</v>
      </c>
    </row>
    <row r="22" customFormat="false" ht="14.4" hidden="false" customHeight="false" outlineLevel="0" collapsed="false">
      <c r="A22" s="2" t="s">
        <v>11</v>
      </c>
      <c r="B22" s="0" t="n">
        <f aca="false">structure!B20*structure!B21</f>
        <v>133.5</v>
      </c>
      <c r="D22" s="1" t="s">
        <v>37</v>
      </c>
    </row>
    <row r="23" customFormat="false" ht="14.4" hidden="false" customHeight="false" outlineLevel="0" collapsed="false">
      <c r="A23" s="2" t="s">
        <v>13</v>
      </c>
      <c r="B23" s="12" t="n">
        <f aca="false">structure!B21*structure!B20^3/12</f>
        <v>79.3090125</v>
      </c>
      <c r="D23" s="2" t="s">
        <v>14</v>
      </c>
      <c r="E23" s="0" t="n">
        <v>197</v>
      </c>
    </row>
    <row r="24" customFormat="false" ht="14.4" hidden="false" customHeight="false" outlineLevel="0" collapsed="false">
      <c r="A24" s="2" t="s">
        <v>15</v>
      </c>
      <c r="B24" s="0" t="n">
        <f aca="false">structure!B20/2</f>
        <v>1.335</v>
      </c>
      <c r="D24" s="2" t="s">
        <v>16</v>
      </c>
      <c r="E24" s="0" t="n">
        <f aca="false">structure!E8</f>
        <v>45.0279</v>
      </c>
      <c r="F24" s="0" t="s">
        <v>38</v>
      </c>
    </row>
    <row r="25" customFormat="false" ht="13.8" hidden="false" customHeight="false" outlineLevel="0" collapsed="false">
      <c r="A25" s="2" t="s">
        <v>18</v>
      </c>
      <c r="B25" s="0" t="n">
        <f aca="false">(structure!B20/2*structure!B21)*structure!B20/4</f>
        <v>44.555625</v>
      </c>
      <c r="D25" s="2" t="s">
        <v>20</v>
      </c>
      <c r="E25" s="0" t="n">
        <f aca="false">structure!E23+structure!E24</f>
        <v>242.0279</v>
      </c>
    </row>
    <row r="26" customFormat="false" ht="13.8" hidden="false" customHeight="false" outlineLevel="0" collapsed="false">
      <c r="A26" s="2" t="s">
        <v>19</v>
      </c>
      <c r="B26" s="0" t="n">
        <f aca="false">structure!E26*structure!B19</f>
        <v>3025.34875</v>
      </c>
      <c r="D26" s="2" t="s">
        <v>39</v>
      </c>
      <c r="E26" s="0" t="n">
        <f aca="false">structure!E25/2</f>
        <v>121.01395</v>
      </c>
    </row>
    <row r="27" customFormat="false" ht="13.8" hidden="false" customHeight="false" outlineLevel="0" collapsed="false">
      <c r="A27" s="2" t="s">
        <v>21</v>
      </c>
      <c r="B27" s="0" t="n">
        <f aca="false">structure!B26*structure!B24/structure!B23</f>
        <v>50.9253671674452</v>
      </c>
      <c r="D27" s="0" t="s">
        <v>40</v>
      </c>
      <c r="E27" s="0" t="n">
        <v>500</v>
      </c>
    </row>
    <row r="28" customFormat="false" ht="14.4" hidden="false" customHeight="false" outlineLevel="0" collapsed="false">
      <c r="A28" s="5" t="s">
        <v>22</v>
      </c>
      <c r="B28" s="6" t="n">
        <f aca="false">structure!E19/structure!B27</f>
        <v>4.9091447721523</v>
      </c>
    </row>
    <row r="29" customFormat="false" ht="14.4" hidden="false" customHeight="false" outlineLevel="0" collapsed="false">
      <c r="A29" s="2" t="s">
        <v>23</v>
      </c>
      <c r="B29" s="0" t="n">
        <f aca="false">structure!E26</f>
        <v>121.01395</v>
      </c>
    </row>
    <row r="30" customFormat="false" ht="13.8" hidden="false" customHeight="false" outlineLevel="0" collapsed="false">
      <c r="A30" s="2" t="s">
        <v>24</v>
      </c>
      <c r="B30" s="0" t="n">
        <f aca="false">structure!B29*structure!B25/(structure!B23*structure!B21)</f>
        <v>1.35970730337079</v>
      </c>
    </row>
    <row r="31" customFormat="false" ht="13.8" hidden="false" customHeight="false" outlineLevel="0" collapsed="false">
      <c r="A31" s="9" t="s">
        <v>25</v>
      </c>
      <c r="B31" s="10" t="n">
        <f aca="false">structure!E20/structure!B30</f>
        <v>106.640598046754</v>
      </c>
    </row>
    <row r="33" customFormat="false" ht="13.8" hidden="false" customHeight="false" outlineLevel="0" collapsed="false">
      <c r="A33" s="11" t="s">
        <v>41</v>
      </c>
    </row>
    <row r="34" customFormat="false" ht="13.8" hidden="false" customHeight="false" outlineLevel="0" collapsed="false">
      <c r="A34" s="2" t="s">
        <v>30</v>
      </c>
      <c r="B34" s="0" t="n">
        <v>25</v>
      </c>
    </row>
    <row r="35" customFormat="false" ht="13.8" hidden="false" customHeight="false" outlineLevel="0" collapsed="false">
      <c r="A35" s="2" t="s">
        <v>32</v>
      </c>
      <c r="B35" s="0" t="n">
        <v>2.67</v>
      </c>
    </row>
    <row r="36" customFormat="false" ht="13.8" hidden="false" customHeight="false" outlineLevel="0" collapsed="false">
      <c r="A36" s="2" t="s">
        <v>36</v>
      </c>
      <c r="B36" s="0" t="n">
        <v>50</v>
      </c>
    </row>
    <row r="37" customFormat="false" ht="13.8" hidden="false" customHeight="false" outlineLevel="0" collapsed="false">
      <c r="A37" s="2" t="s">
        <v>11</v>
      </c>
      <c r="B37" s="0" t="n">
        <f aca="false">structure!B35*structure!B36</f>
        <v>133.5</v>
      </c>
    </row>
    <row r="38" customFormat="false" ht="13.8" hidden="false" customHeight="false" outlineLevel="0" collapsed="false">
      <c r="A38" s="2" t="s">
        <v>13</v>
      </c>
      <c r="B38" s="12" t="n">
        <f aca="false">structure!B36*structure!B35^3/12</f>
        <v>79.3090125</v>
      </c>
    </row>
    <row r="39" customFormat="false" ht="13.8" hidden="false" customHeight="false" outlineLevel="0" collapsed="false">
      <c r="A39" s="2" t="s">
        <v>15</v>
      </c>
      <c r="B39" s="0" t="n">
        <f aca="false">SQRT((B35/2)^2+(B36/2)^2)</f>
        <v>25.0356191255579</v>
      </c>
    </row>
    <row r="40" customFormat="false" ht="13.8" hidden="false" customHeight="false" outlineLevel="0" collapsed="false">
      <c r="A40" s="2" t="s">
        <v>42</v>
      </c>
      <c r="B40" s="0" t="n">
        <f aca="false">0.333*B36*B35^3</f>
        <v>316.91881395</v>
      </c>
    </row>
    <row r="41" customFormat="false" ht="13.8" hidden="false" customHeight="false" outlineLevel="0" collapsed="false">
      <c r="A41" s="2" t="s">
        <v>43</v>
      </c>
      <c r="B41" s="0" t="n">
        <f aca="false">E26*E27/2</f>
        <v>30253.4875</v>
      </c>
    </row>
    <row r="42" customFormat="false" ht="13.8" hidden="false" customHeight="false" outlineLevel="0" collapsed="false">
      <c r="A42" s="2" t="s">
        <v>44</v>
      </c>
      <c r="B42" s="0" t="n">
        <f aca="false">B41*B39/B40</f>
        <v>2389.93318455787</v>
      </c>
    </row>
    <row r="43" customFormat="false" ht="13.8" hidden="false" customHeight="false" outlineLevel="0" collapsed="false">
      <c r="A43" s="9" t="s">
        <v>45</v>
      </c>
      <c r="B43" s="10" t="n">
        <f aca="false">E20/B42</f>
        <v>0.060671152204962</v>
      </c>
    </row>
    <row r="45" customFormat="false" ht="13.8" hidden="false" customHeight="false" outlineLevel="0" collapsed="false">
      <c r="A45" s="11" t="s">
        <v>46</v>
      </c>
    </row>
    <row r="46" customFormat="false" ht="13.8" hidden="false" customHeight="false" outlineLevel="0" collapsed="false">
      <c r="A46" s="2" t="s">
        <v>47</v>
      </c>
      <c r="B46" s="0" t="n">
        <v>25</v>
      </c>
    </row>
    <row r="47" customFormat="false" ht="13.8" hidden="false" customHeight="false" outlineLevel="0" collapsed="false">
      <c r="A47" s="2" t="s">
        <v>32</v>
      </c>
      <c r="B47" s="0" t="n">
        <v>2.67</v>
      </c>
    </row>
    <row r="48" customFormat="false" ht="13.8" hidden="false" customHeight="false" outlineLevel="0" collapsed="false">
      <c r="A48" s="2" t="s">
        <v>36</v>
      </c>
      <c r="B48" s="0" t="n">
        <v>50</v>
      </c>
    </row>
    <row r="49" customFormat="false" ht="13.8" hidden="false" customHeight="false" outlineLevel="0" collapsed="false">
      <c r="A49" s="2" t="s">
        <v>11</v>
      </c>
      <c r="B49" s="0" t="n">
        <f aca="false">structure!B47*structure!B48</f>
        <v>133.5</v>
      </c>
    </row>
    <row r="50" customFormat="false" ht="13.8" hidden="false" customHeight="false" outlineLevel="0" collapsed="false">
      <c r="A50" s="2" t="s">
        <v>48</v>
      </c>
      <c r="B50" s="0" t="n">
        <f aca="false">structure!E26</f>
        <v>121.01395</v>
      </c>
    </row>
    <row r="51" customFormat="false" ht="13.8" hidden="false" customHeight="false" outlineLevel="0" collapsed="false">
      <c r="A51" s="2" t="s">
        <v>49</v>
      </c>
      <c r="B51" s="0" t="n">
        <f aca="false">structure!B50/structure!B49</f>
        <v>0.906471535580524</v>
      </c>
    </row>
    <row r="52" customFormat="false" ht="13.8" hidden="false" customHeight="false" outlineLevel="0" collapsed="false">
      <c r="A52" s="5" t="s">
        <v>50</v>
      </c>
      <c r="B52" s="6" t="n">
        <f aca="false">structure!E19/structure!B51</f>
        <v>275.794650120916</v>
      </c>
    </row>
    <row r="62" customFormat="false" ht="13.8" hidden="false" customHeight="false" outlineLevel="0" collapsed="false">
      <c r="A62" s="1" t="s">
        <v>51</v>
      </c>
      <c r="D62" s="1" t="s">
        <v>52</v>
      </c>
    </row>
    <row r="63" customFormat="false" ht="14.9" hidden="false" customHeight="false" outlineLevel="0" collapsed="false">
      <c r="A63" s="11" t="s">
        <v>53</v>
      </c>
      <c r="D63" s="2" t="s">
        <v>54</v>
      </c>
      <c r="E63" s="0" t="n">
        <v>11.8</v>
      </c>
      <c r="F63" s="4" t="s">
        <v>9</v>
      </c>
    </row>
    <row r="64" customFormat="false" ht="14.9" hidden="false" customHeight="false" outlineLevel="0" collapsed="false">
      <c r="A64" s="2" t="s">
        <v>55</v>
      </c>
      <c r="B64" s="0" t="n">
        <v>18</v>
      </c>
      <c r="D64" s="2" t="s">
        <v>56</v>
      </c>
      <c r="E64" s="0" t="n">
        <v>130</v>
      </c>
      <c r="F64" s="4" t="s">
        <v>9</v>
      </c>
    </row>
    <row r="65" customFormat="false" ht="13.8" hidden="false" customHeight="false" outlineLevel="0" collapsed="false">
      <c r="A65" s="2" t="s">
        <v>7</v>
      </c>
      <c r="B65" s="0" t="n">
        <v>125</v>
      </c>
      <c r="D65" s="2" t="s">
        <v>57</v>
      </c>
      <c r="E65" s="0" t="n">
        <f aca="false">structure!E10</f>
        <v>242.0279</v>
      </c>
      <c r="F65" s="0" t="s">
        <v>58</v>
      </c>
    </row>
    <row r="66" customFormat="false" ht="13.8" hidden="false" customHeight="false" outlineLevel="0" collapsed="false">
      <c r="A66" s="2" t="s">
        <v>59</v>
      </c>
      <c r="B66" s="0" t="n">
        <v>600</v>
      </c>
      <c r="D66" s="2" t="s">
        <v>60</v>
      </c>
      <c r="E66" s="0" t="n">
        <f aca="false">structure!B2/2</f>
        <v>375</v>
      </c>
    </row>
    <row r="67" customFormat="false" ht="13.8" hidden="false" customHeight="false" outlineLevel="0" collapsed="false">
      <c r="A67" s="2" t="s">
        <v>11</v>
      </c>
      <c r="B67" s="0" t="n">
        <f aca="false">structure!B64*structure!B65</f>
        <v>2250</v>
      </c>
    </row>
    <row r="68" customFormat="false" ht="13.8" hidden="false" customHeight="false" outlineLevel="0" collapsed="false">
      <c r="A68" s="2" t="s">
        <v>61</v>
      </c>
      <c r="B68" s="0" t="n">
        <f aca="false">structure!B65*structure!B64^3/12</f>
        <v>60750</v>
      </c>
    </row>
    <row r="70" customFormat="false" ht="13.8" hidden="false" customHeight="false" outlineLevel="0" collapsed="false">
      <c r="A70" s="11" t="s">
        <v>62</v>
      </c>
    </row>
    <row r="71" customFormat="false" ht="13.8" hidden="false" customHeight="false" outlineLevel="0" collapsed="false">
      <c r="A71" s="2" t="s">
        <v>55</v>
      </c>
      <c r="B71" s="0" t="n">
        <v>50</v>
      </c>
    </row>
    <row r="72" customFormat="false" ht="13.8" hidden="false" customHeight="false" outlineLevel="0" collapsed="false">
      <c r="A72" s="2" t="s">
        <v>7</v>
      </c>
      <c r="B72" s="0" t="n">
        <v>18</v>
      </c>
    </row>
    <row r="73" customFormat="false" ht="13.8" hidden="false" customHeight="false" outlineLevel="0" collapsed="false">
      <c r="A73" s="2" t="s">
        <v>59</v>
      </c>
      <c r="B73" s="0" t="n">
        <v>600</v>
      </c>
    </row>
    <row r="74" customFormat="false" ht="13.8" hidden="false" customHeight="false" outlineLevel="0" collapsed="false">
      <c r="A74" s="2" t="s">
        <v>63</v>
      </c>
      <c r="B74" s="0" t="n">
        <f aca="false">2*structure!B72*structure!B71</f>
        <v>1800</v>
      </c>
    </row>
    <row r="75" customFormat="false" ht="13.8" hidden="false" customHeight="false" outlineLevel="0" collapsed="false">
      <c r="A75" s="2" t="s">
        <v>64</v>
      </c>
      <c r="B75" s="0" t="n">
        <f aca="false">2*structure!B72*structure!B71^3/12</f>
        <v>375000</v>
      </c>
    </row>
    <row r="77" customFormat="false" ht="13.8" hidden="false" customHeight="false" outlineLevel="0" collapsed="false">
      <c r="A77" s="11" t="s">
        <v>65</v>
      </c>
    </row>
    <row r="78" customFormat="false" ht="13.8" hidden="false" customHeight="false" outlineLevel="0" collapsed="false">
      <c r="A78" s="2" t="s">
        <v>55</v>
      </c>
      <c r="B78" s="0" t="n">
        <v>18</v>
      </c>
    </row>
    <row r="79" customFormat="false" ht="13.8" hidden="false" customHeight="false" outlineLevel="0" collapsed="false">
      <c r="A79" s="2" t="s">
        <v>7</v>
      </c>
      <c r="B79" s="0" t="n">
        <v>30.5</v>
      </c>
    </row>
    <row r="80" customFormat="false" ht="13.8" hidden="false" customHeight="false" outlineLevel="0" collapsed="false">
      <c r="A80" s="2" t="s">
        <v>59</v>
      </c>
      <c r="B80" s="0" t="n">
        <v>600</v>
      </c>
    </row>
    <row r="81" customFormat="false" ht="13.8" hidden="false" customHeight="false" outlineLevel="0" collapsed="false">
      <c r="A81" s="2" t="s">
        <v>63</v>
      </c>
      <c r="B81" s="0" t="n">
        <f aca="false">2*structure!B78*structure!B79</f>
        <v>1098</v>
      </c>
    </row>
    <row r="82" customFormat="false" ht="13.8" hidden="false" customHeight="false" outlineLevel="0" collapsed="false">
      <c r="A82" s="2" t="s">
        <v>64</v>
      </c>
      <c r="B82" s="0" t="n">
        <f aca="false">2*structure!B79*structure!B78^3/12</f>
        <v>29646</v>
      </c>
    </row>
    <row r="84" customFormat="false" ht="13.8" hidden="false" customHeight="false" outlineLevel="0" collapsed="false">
      <c r="A84" s="11" t="s">
        <v>66</v>
      </c>
    </row>
    <row r="85" customFormat="false" ht="13.8" hidden="false" customHeight="false" outlineLevel="0" collapsed="false">
      <c r="A85" s="2" t="s">
        <v>67</v>
      </c>
      <c r="B85" s="13" t="n">
        <f aca="false">(structure!B67*(structure!B64/2)+structure!B74*(structure!B71/2+structure!B64)+structure!B81*(structure!B78/2+structure!B71+structure!B64))/(structure!B67+structure!B74+structure!B81)</f>
        <v>35.3916083916084</v>
      </c>
    </row>
    <row r="86" customFormat="false" ht="13.8" hidden="false" customHeight="false" outlineLevel="0" collapsed="false">
      <c r="A86" s="2" t="s">
        <v>61</v>
      </c>
      <c r="B86" s="14" t="n">
        <f aca="false">(structure!B68+structure!B75+structure!B82)+(structure!B67*(structure!B85-structure!B64/2)^2)+(structure!B74*(structure!B71/2+structure!B64-structure!B85)^2)+(structure!B81*(structure!B64+structure!B71+structure!B78/2-structure!B85)^2)</f>
        <v>4037678.51748252</v>
      </c>
    </row>
    <row r="87" customFormat="false" ht="13.8" hidden="false" customHeight="false" outlineLevel="0" collapsed="false">
      <c r="A87" s="2" t="s">
        <v>15</v>
      </c>
      <c r="B87" s="13" t="n">
        <f aca="false">MAX(structure!B85,structure!B64+structure!B71+structure!B78-structure!B85)</f>
        <v>50.6083916083916</v>
      </c>
    </row>
    <row r="88" customFormat="false" ht="13.8" hidden="false" customHeight="false" outlineLevel="0" collapsed="false">
      <c r="A88" s="2" t="s">
        <v>19</v>
      </c>
      <c r="B88" s="0" t="n">
        <f aca="false">structure!E65*structure!E66/2</f>
        <v>45380.23125</v>
      </c>
    </row>
    <row r="89" customFormat="false" ht="13.8" hidden="false" customHeight="false" outlineLevel="0" collapsed="false">
      <c r="A89" s="2" t="s">
        <v>68</v>
      </c>
      <c r="B89" s="0" t="n">
        <f aca="false">structure!B88*structure!B87/structure!B86</f>
        <v>0.568797269132588</v>
      </c>
    </row>
    <row r="90" customFormat="false" ht="13.8" hidden="false" customHeight="false" outlineLevel="0" collapsed="false">
      <c r="A90" s="5" t="s">
        <v>50</v>
      </c>
      <c r="B90" s="6" t="n">
        <f aca="false">structure!E64/structure!B89</f>
        <v>228.552433450057</v>
      </c>
    </row>
    <row r="92" customFormat="false" ht="13.8" hidden="false" customHeight="false" outlineLevel="0" collapsed="false">
      <c r="A92" s="1" t="s">
        <v>69</v>
      </c>
      <c r="D92" s="1" t="s">
        <v>52</v>
      </c>
    </row>
    <row r="93" customFormat="false" ht="14.9" hidden="false" customHeight="false" outlineLevel="0" collapsed="false">
      <c r="A93" s="15" t="s">
        <v>70</v>
      </c>
      <c r="B93" s="0" t="n">
        <v>250</v>
      </c>
      <c r="D93" s="2" t="s">
        <v>54</v>
      </c>
      <c r="E93" s="0" t="n">
        <v>11.8</v>
      </c>
      <c r="F93" s="4" t="s">
        <v>9</v>
      </c>
    </row>
    <row r="94" customFormat="false" ht="14.9" hidden="false" customHeight="false" outlineLevel="0" collapsed="false">
      <c r="A94" s="15" t="s">
        <v>59</v>
      </c>
      <c r="B94" s="0" t="n">
        <v>100</v>
      </c>
      <c r="D94" s="2" t="s">
        <v>56</v>
      </c>
      <c r="E94" s="0" t="n">
        <v>130</v>
      </c>
      <c r="F94" s="4" t="s">
        <v>9</v>
      </c>
    </row>
    <row r="95" customFormat="false" ht="13.8" hidden="false" customHeight="false" outlineLevel="0" collapsed="false">
      <c r="A95" s="15" t="s">
        <v>71</v>
      </c>
      <c r="B95" s="0" t="n">
        <v>36</v>
      </c>
      <c r="D95" s="2" t="s">
        <v>72</v>
      </c>
      <c r="E95" s="0" t="n">
        <f aca="false">structure!E25</f>
        <v>242.0279</v>
      </c>
    </row>
    <row r="96" customFormat="false" ht="13.8" hidden="false" customHeight="false" outlineLevel="0" collapsed="false">
      <c r="A96" s="15" t="s">
        <v>63</v>
      </c>
      <c r="B96" s="0" t="n">
        <f aca="false">structure!B95*structure!B94*2</f>
        <v>7200</v>
      </c>
      <c r="D96" s="2" t="s">
        <v>73</v>
      </c>
      <c r="E96" s="0" t="n">
        <f aca="false">structure!B93</f>
        <v>250</v>
      </c>
    </row>
    <row r="97" customFormat="false" ht="13.8" hidden="false" customHeight="false" outlineLevel="0" collapsed="false">
      <c r="A97" s="15" t="s">
        <v>74</v>
      </c>
      <c r="B97" s="0" t="n">
        <f aca="false">structure!B95*structure!B94^2/12*2</f>
        <v>60000</v>
      </c>
    </row>
    <row r="98" customFormat="false" ht="13.8" hidden="false" customHeight="false" outlineLevel="0" collapsed="false">
      <c r="A98" s="15" t="s">
        <v>15</v>
      </c>
      <c r="B98" s="0" t="n">
        <f aca="false">structure!B94/2</f>
        <v>50</v>
      </c>
    </row>
    <row r="99" customFormat="false" ht="13.8" hidden="false" customHeight="false" outlineLevel="0" collapsed="false">
      <c r="A99" s="15" t="s">
        <v>19</v>
      </c>
      <c r="B99" s="0" t="n">
        <f aca="false">structure!E95*structure!E96</f>
        <v>60506.975</v>
      </c>
      <c r="C99" s="0" t="s">
        <v>75</v>
      </c>
    </row>
    <row r="100" customFormat="false" ht="13.8" hidden="false" customHeight="false" outlineLevel="0" collapsed="false">
      <c r="A100" s="15" t="s">
        <v>68</v>
      </c>
      <c r="B100" s="0" t="n">
        <f aca="false">structure!B99*structure!B98/structure!B97</f>
        <v>50.4224791666667</v>
      </c>
    </row>
    <row r="101" customFormat="false" ht="13.8" hidden="false" customHeight="false" outlineLevel="0" collapsed="false">
      <c r="A101" s="16" t="s">
        <v>50</v>
      </c>
      <c r="B101" s="10" t="n">
        <f aca="false">structure!E94/structure!B100</f>
        <v>2.57821515618654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3" r:id="rId1" display="http://www.matweb.com/search/DataSheet.aspx?MatGUID=bd6620450973496ea2578c283e9fb807"/>
    <hyperlink ref="F4" r:id="rId2" display="http://www.matweb.com/search/DataSheet.aspx?MatGUID=216748b4202446868305405c8cfe51a3"/>
    <hyperlink ref="F63" r:id="rId3" display="http://www.matweb.com/search/DataSheet.aspx?MatGUID=216748b4202446868305405c8cfe51a3"/>
    <hyperlink ref="F64" r:id="rId4" display="http://www.matweb.com/search/DataSheet.aspx?MatGUID=216748b4202446868305405c8cfe51a3"/>
    <hyperlink ref="F93" r:id="rId5" display="http://www.matweb.com/search/DataSheet.aspx?MatGUID=216748b4202446868305405c8cfe51a3"/>
    <hyperlink ref="F94" r:id="rId6" display="http://www.matweb.com/search/DataSheet.aspx?MatGUID=216748b4202446868305405c8cfe51a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false" showFormulas="false" showGridLines="true" showRowColHeaders="true" showZeros="true" rightToLeft="false" tabSelected="false" showOutlineSymbols="true" defaultGridColor="true" view="normal" topLeftCell="A19" colorId="64" zoomScale="75" zoomScaleNormal="75" zoomScalePageLayoutView="100" workbookViewId="0">
      <selection pane="topLeft" activeCell="A65" activeCellId="0" sqref="A65"/>
    </sheetView>
  </sheetViews>
  <sheetFormatPr defaultRowHeight="14.4"/>
  <cols>
    <col collapsed="false" hidden="false" max="1" min="1" style="0" width="45.0202429149798"/>
    <col collapsed="false" hidden="false" max="2" min="2" style="0" width="15.4331983805668"/>
    <col collapsed="false" hidden="false" max="3" min="3" style="0" width="8.57085020242915"/>
    <col collapsed="false" hidden="false" max="4" min="4" style="0" width="41.9676113360324"/>
    <col collapsed="false" hidden="false" max="1025" min="5" style="0" width="8.57085020242915"/>
  </cols>
  <sheetData>
    <row r="1" customFormat="false" ht="14.4" hidden="false" customHeight="false" outlineLevel="0" collapsed="false">
      <c r="A1" s="1" t="s">
        <v>76</v>
      </c>
    </row>
    <row r="15" customFormat="false" ht="13.8" hidden="false" customHeight="false" outlineLevel="0" collapsed="false">
      <c r="A15" s="1" t="s">
        <v>77</v>
      </c>
    </row>
    <row r="16" customFormat="false" ht="13.8" hidden="false" customHeight="false" outlineLevel="0" collapsed="false">
      <c r="A16" s="11" t="s">
        <v>78</v>
      </c>
      <c r="B16" s="0" t="s">
        <v>79</v>
      </c>
      <c r="D16" s="1" t="s">
        <v>27</v>
      </c>
    </row>
    <row r="17" customFormat="false" ht="13.8" hidden="false" customHeight="false" outlineLevel="0" collapsed="false">
      <c r="A17" s="2" t="s">
        <v>80</v>
      </c>
      <c r="B17" s="0" t="n">
        <v>5</v>
      </c>
      <c r="D17" s="2" t="s">
        <v>3</v>
      </c>
      <c r="E17" s="0" t="n">
        <f aca="false">(7.8/1000)/10^3</f>
        <v>7.8E-006</v>
      </c>
      <c r="F17" s="0" t="s">
        <v>29</v>
      </c>
    </row>
    <row r="18" customFormat="false" ht="13.8" hidden="false" customHeight="false" outlineLevel="0" collapsed="false">
      <c r="A18" s="2" t="s">
        <v>81</v>
      </c>
      <c r="B18" s="0" t="n">
        <v>2.67</v>
      </c>
      <c r="D18" s="2" t="s">
        <v>31</v>
      </c>
      <c r="E18" s="0" t="n">
        <v>250</v>
      </c>
      <c r="F18" s="0" t="s">
        <v>29</v>
      </c>
    </row>
    <row r="19" customFormat="false" ht="13.8" hidden="false" customHeight="false" outlineLevel="0" collapsed="false">
      <c r="A19" s="2" t="s">
        <v>82</v>
      </c>
      <c r="B19" s="0" t="n">
        <v>4</v>
      </c>
      <c r="D19" s="2" t="s">
        <v>34</v>
      </c>
      <c r="E19" s="0" t="n">
        <f aca="false">0.58*'joints and bearings'!E18</f>
        <v>145</v>
      </c>
      <c r="F19" s="0" t="s">
        <v>35</v>
      </c>
    </row>
    <row r="20" customFormat="false" ht="13.8" hidden="false" customHeight="false" outlineLevel="0" collapsed="false">
      <c r="A20" s="2" t="s">
        <v>83</v>
      </c>
      <c r="B20" s="0" t="n">
        <f aca="false">B17*B18</f>
        <v>13.35</v>
      </c>
    </row>
    <row r="21" customFormat="false" ht="13.8" hidden="false" customHeight="false" outlineLevel="0" collapsed="false">
      <c r="A21" s="2" t="s">
        <v>84</v>
      </c>
      <c r="B21" s="0" t="n">
        <f aca="false">B20*B19</f>
        <v>53.4</v>
      </c>
      <c r="D21" s="1" t="s">
        <v>12</v>
      </c>
    </row>
    <row r="22" customFormat="false" ht="13.8" hidden="false" customHeight="false" outlineLevel="0" collapsed="false">
      <c r="A22" s="2" t="s">
        <v>85</v>
      </c>
      <c r="B22" s="13" t="n">
        <f aca="false">E25/B21</f>
        <v>2.26617883895131</v>
      </c>
      <c r="D22" s="2" t="s">
        <v>14</v>
      </c>
      <c r="E22" s="0" t="n">
        <v>197</v>
      </c>
    </row>
    <row r="23" customFormat="false" ht="13.8" hidden="false" customHeight="false" outlineLevel="0" collapsed="false">
      <c r="A23" s="5" t="s">
        <v>50</v>
      </c>
      <c r="B23" s="17" t="n">
        <f aca="false">E18/B22</f>
        <v>110.317860048366</v>
      </c>
      <c r="D23" s="2" t="s">
        <v>16</v>
      </c>
      <c r="E23" s="0" t="n">
        <f aca="false">structure!E8</f>
        <v>45.0279</v>
      </c>
      <c r="F23" s="0" t="s">
        <v>17</v>
      </c>
    </row>
    <row r="24" customFormat="false" ht="13.8" hidden="false" customHeight="false" outlineLevel="0" collapsed="false">
      <c r="D24" s="2" t="s">
        <v>20</v>
      </c>
      <c r="E24" s="0" t="n">
        <f aca="false">'joints and bearings'!E22+'joints and bearings'!E23</f>
        <v>242.0279</v>
      </c>
    </row>
    <row r="25" customFormat="false" ht="13.8" hidden="false" customHeight="false" outlineLevel="0" collapsed="false">
      <c r="D25" s="2" t="s">
        <v>39</v>
      </c>
      <c r="E25" s="0" t="n">
        <f aca="false">'joints and bearings'!E24/2</f>
        <v>121.01395</v>
      </c>
    </row>
    <row r="27" customFormat="false" ht="13.8" hidden="false" customHeight="false" outlineLevel="0" collapsed="false">
      <c r="A27" s="1" t="s">
        <v>86</v>
      </c>
    </row>
    <row r="28" customFormat="false" ht="13.8" hidden="false" customHeight="false" outlineLevel="0" collapsed="false">
      <c r="A28" s="11" t="s">
        <v>87</v>
      </c>
      <c r="B28" s="0" t="s">
        <v>88</v>
      </c>
      <c r="D28" s="1" t="s">
        <v>52</v>
      </c>
    </row>
    <row r="29" customFormat="false" ht="14.95" hidden="false" customHeight="false" outlineLevel="0" collapsed="false">
      <c r="A29" s="2" t="s">
        <v>89</v>
      </c>
      <c r="B29" s="0" t="n">
        <v>125</v>
      </c>
      <c r="D29" s="2" t="s">
        <v>54</v>
      </c>
      <c r="E29" s="0" t="n">
        <v>11.8</v>
      </c>
      <c r="F29" s="4" t="s">
        <v>9</v>
      </c>
    </row>
    <row r="30" customFormat="false" ht="14.9" hidden="false" customHeight="false" outlineLevel="0" collapsed="false">
      <c r="A30" s="2" t="s">
        <v>90</v>
      </c>
      <c r="B30" s="0" t="n">
        <v>18</v>
      </c>
      <c r="D30" s="2" t="s">
        <v>56</v>
      </c>
      <c r="E30" s="0" t="n">
        <v>130</v>
      </c>
      <c r="F30" s="4" t="s">
        <v>9</v>
      </c>
    </row>
    <row r="31" customFormat="false" ht="13.8" hidden="false" customHeight="false" outlineLevel="0" collapsed="false">
      <c r="A31" s="2" t="s">
        <v>91</v>
      </c>
      <c r="B31" s="0" t="n">
        <v>12.5</v>
      </c>
      <c r="D31" s="2" t="s">
        <v>92</v>
      </c>
      <c r="E31" s="0" t="n">
        <v>10.8</v>
      </c>
    </row>
    <row r="32" customFormat="false" ht="13.8" hidden="false" customHeight="false" outlineLevel="0" collapsed="false">
      <c r="A32" s="2" t="s">
        <v>93</v>
      </c>
      <c r="B32" s="12" t="n">
        <f aca="false">B29/3</f>
        <v>41.6666666666667</v>
      </c>
    </row>
    <row r="33" customFormat="false" ht="13.8" hidden="false" customHeight="false" outlineLevel="0" collapsed="false">
      <c r="A33" s="2" t="s">
        <v>94</v>
      </c>
      <c r="B33" s="12" t="n">
        <f aca="false">B32*B31</f>
        <v>520.833333333333</v>
      </c>
      <c r="D33" s="1" t="s">
        <v>95</v>
      </c>
    </row>
    <row r="34" customFormat="false" ht="13.8" hidden="false" customHeight="false" outlineLevel="0" collapsed="false">
      <c r="A34" s="2" t="s">
        <v>96</v>
      </c>
      <c r="B34" s="0" t="n">
        <f aca="false">B29/3</f>
        <v>41.6666666666667</v>
      </c>
      <c r="D34" s="2" t="s">
        <v>97</v>
      </c>
      <c r="E34" s="0" t="n">
        <f aca="false">50</f>
        <v>50</v>
      </c>
    </row>
    <row r="35" customFormat="false" ht="13.8" hidden="false" customHeight="false" outlineLevel="0" collapsed="false">
      <c r="A35" s="2" t="s">
        <v>98</v>
      </c>
      <c r="B35" s="0" t="n">
        <f aca="false">B32*3</f>
        <v>125</v>
      </c>
      <c r="D35" s="2" t="s">
        <v>99</v>
      </c>
      <c r="E35" s="0" t="n">
        <f aca="false">structure!B19</f>
        <v>25</v>
      </c>
    </row>
    <row r="36" customFormat="false" ht="13.8" hidden="false" customHeight="false" outlineLevel="0" collapsed="false">
      <c r="A36" s="2" t="s">
        <v>100</v>
      </c>
      <c r="B36" s="0" t="n">
        <f aca="false">B35*B30^3/12</f>
        <v>60750</v>
      </c>
      <c r="D36" s="2" t="s">
        <v>39</v>
      </c>
      <c r="E36" s="0" t="n">
        <f aca="false">E25</f>
        <v>121.01395</v>
      </c>
    </row>
    <row r="37" customFormat="false" ht="13.8" hidden="false" customHeight="false" outlineLevel="0" collapsed="false">
      <c r="A37" s="2" t="s">
        <v>15</v>
      </c>
      <c r="B37" s="0" t="n">
        <f aca="false">B30/2</f>
        <v>9</v>
      </c>
      <c r="D37" s="2" t="s">
        <v>101</v>
      </c>
      <c r="E37" s="0" t="n">
        <f aca="false">E36*(E35+E34/2)</f>
        <v>6050.6975</v>
      </c>
    </row>
    <row r="38" customFormat="false" ht="13.8" hidden="false" customHeight="false" outlineLevel="0" collapsed="false">
      <c r="A38" s="2" t="s">
        <v>19</v>
      </c>
      <c r="B38" s="0" t="n">
        <f aca="false">E38*B31</f>
        <v>1815.20925</v>
      </c>
      <c r="D38" s="2" t="s">
        <v>102</v>
      </c>
      <c r="E38" s="0" t="n">
        <f aca="false">E37/B34</f>
        <v>145.21674</v>
      </c>
    </row>
    <row r="39" customFormat="false" ht="13.8" hidden="false" customHeight="false" outlineLevel="0" collapsed="false">
      <c r="A39" s="2" t="s">
        <v>21</v>
      </c>
      <c r="B39" s="0" t="n">
        <f aca="false">B38*B37/B36</f>
        <v>0.268919888888889</v>
      </c>
    </row>
    <row r="40" customFormat="false" ht="13.8" hidden="false" customHeight="false" outlineLevel="0" collapsed="false">
      <c r="A40" s="9" t="s">
        <v>103</v>
      </c>
      <c r="B40" s="10" t="n">
        <f aca="false">E30/B39</f>
        <v>483.415341784976</v>
      </c>
    </row>
    <row r="41" customFormat="false" ht="13.8" hidden="false" customHeight="false" outlineLevel="0" collapsed="false">
      <c r="A41" s="2" t="s">
        <v>85</v>
      </c>
      <c r="B41" s="0" t="n">
        <f aca="false">E38/B33</f>
        <v>0.2788161408</v>
      </c>
    </row>
    <row r="42" customFormat="false" ht="13.8" hidden="false" customHeight="false" outlineLevel="0" collapsed="false">
      <c r="A42" s="9" t="s">
        <v>104</v>
      </c>
      <c r="B42" s="10" t="n">
        <f aca="false">E31/B41</f>
        <v>38.735203668668</v>
      </c>
    </row>
    <row r="44" customFormat="false" ht="13.8" hidden="false" customHeight="false" outlineLevel="0" collapsed="false">
      <c r="A44" s="11" t="s">
        <v>105</v>
      </c>
      <c r="B44" s="0" t="s">
        <v>88</v>
      </c>
      <c r="D44" s="1" t="s">
        <v>106</v>
      </c>
    </row>
    <row r="45" customFormat="false" ht="13.8" hidden="false" customHeight="false" outlineLevel="0" collapsed="false">
      <c r="A45" s="2" t="s">
        <v>89</v>
      </c>
      <c r="B45" s="0" t="n">
        <v>125</v>
      </c>
      <c r="D45" s="2" t="s">
        <v>107</v>
      </c>
      <c r="E45" s="0" t="n">
        <v>250</v>
      </c>
    </row>
    <row r="46" customFormat="false" ht="13.8" hidden="false" customHeight="false" outlineLevel="0" collapsed="false">
      <c r="A46" s="2" t="s">
        <v>108</v>
      </c>
      <c r="B46" s="0" t="n">
        <v>50</v>
      </c>
      <c r="D46" s="2" t="s">
        <v>20</v>
      </c>
      <c r="E46" s="0" t="n">
        <f aca="false">E24</f>
        <v>242.0279</v>
      </c>
      <c r="F46" s="0" t="s">
        <v>58</v>
      </c>
    </row>
    <row r="47" customFormat="false" ht="13.8" hidden="false" customHeight="false" outlineLevel="0" collapsed="false">
      <c r="A47" s="2" t="s">
        <v>109</v>
      </c>
      <c r="B47" s="0" t="n">
        <v>18</v>
      </c>
      <c r="D47" s="2" t="s">
        <v>101</v>
      </c>
      <c r="E47" s="0" t="n">
        <f aca="false">E46*E45</f>
        <v>60506.975</v>
      </c>
    </row>
    <row r="48" customFormat="false" ht="13.8" hidden="false" customHeight="false" outlineLevel="0" collapsed="false">
      <c r="A48" s="2" t="s">
        <v>93</v>
      </c>
      <c r="B48" s="12" t="n">
        <f aca="false">B45/3</f>
        <v>41.6666666666667</v>
      </c>
      <c r="D48" s="2" t="s">
        <v>102</v>
      </c>
      <c r="E48" s="0" t="n">
        <f aca="false">E47/B50</f>
        <v>1452.1674</v>
      </c>
    </row>
    <row r="49" customFormat="false" ht="13.8" hidden="false" customHeight="false" outlineLevel="0" collapsed="false">
      <c r="A49" s="2" t="s">
        <v>94</v>
      </c>
      <c r="B49" s="12" t="n">
        <f aca="false">B48*B46</f>
        <v>2083.33333333333</v>
      </c>
    </row>
    <row r="50" customFormat="false" ht="13.8" hidden="false" customHeight="false" outlineLevel="0" collapsed="false">
      <c r="A50" s="2" t="s">
        <v>96</v>
      </c>
      <c r="B50" s="0" t="n">
        <f aca="false">B45/3</f>
        <v>41.6666666666667</v>
      </c>
    </row>
    <row r="51" customFormat="false" ht="13.8" hidden="false" customHeight="false" outlineLevel="0" collapsed="false">
      <c r="A51" s="2" t="s">
        <v>98</v>
      </c>
      <c r="B51" s="0" t="n">
        <f aca="false">B48*3</f>
        <v>125</v>
      </c>
    </row>
    <row r="52" customFormat="false" ht="13.8" hidden="false" customHeight="false" outlineLevel="0" collapsed="false">
      <c r="A52" s="2" t="s">
        <v>110</v>
      </c>
      <c r="B52" s="0" t="n">
        <f aca="false">B51*B47^3/12</f>
        <v>60750</v>
      </c>
    </row>
    <row r="53" customFormat="false" ht="13.8" hidden="false" customHeight="false" outlineLevel="0" collapsed="false">
      <c r="A53" s="2" t="s">
        <v>15</v>
      </c>
      <c r="B53" s="0" t="n">
        <f aca="false">B47/2</f>
        <v>9</v>
      </c>
    </row>
    <row r="54" customFormat="false" ht="13.8" hidden="false" customHeight="false" outlineLevel="0" collapsed="false">
      <c r="A54" s="2" t="s">
        <v>19</v>
      </c>
      <c r="B54" s="0" t="n">
        <f aca="false">E48*B46</f>
        <v>72608.37</v>
      </c>
    </row>
    <row r="55" customFormat="false" ht="13.8" hidden="false" customHeight="false" outlineLevel="0" collapsed="false">
      <c r="A55" s="2" t="s">
        <v>21</v>
      </c>
      <c r="B55" s="0" t="n">
        <f aca="false">B54*B53/B52</f>
        <v>10.7567955555556</v>
      </c>
    </row>
    <row r="56" customFormat="false" ht="13.8" hidden="false" customHeight="false" outlineLevel="0" collapsed="false">
      <c r="A56" s="9" t="s">
        <v>103</v>
      </c>
      <c r="B56" s="10" t="n">
        <f aca="false">E30/B55</f>
        <v>12.0853835446244</v>
      </c>
    </row>
    <row r="57" customFormat="false" ht="14.4" hidden="false" customHeight="false" outlineLevel="0" collapsed="false">
      <c r="A57" s="2" t="s">
        <v>85</v>
      </c>
      <c r="B57" s="0" t="n">
        <f aca="false">E48/B49</f>
        <v>0.697040352</v>
      </c>
    </row>
    <row r="58" customFormat="false" ht="13.8" hidden="false" customHeight="false" outlineLevel="0" collapsed="false">
      <c r="A58" s="9" t="s">
        <v>104</v>
      </c>
      <c r="B58" s="10" t="n">
        <f aca="false">E31/B57</f>
        <v>15.4940814674672</v>
      </c>
    </row>
    <row r="64" customFormat="false" ht="13.8" hidden="false" customHeight="false" outlineLevel="0" collapsed="false">
      <c r="A64" s="1" t="s">
        <v>111</v>
      </c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29" r:id="rId1" display="http://www.matweb.com/search/DataSheet.aspx?MatGUID=216748b4202446868305405c8cfe51a3"/>
    <hyperlink ref="F30" r:id="rId2" display="http://www.matweb.com/search/DataSheet.aspx?MatGUID=216748b4202446868305405c8cfe51a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LibreOffice/5.1.6.2$Linux_X86_64 LibreOffice_project/10m0$Build-2</Application>
  <Company>Windows User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2017-04-03T17:47:04Z</dcterms:created>
  <dc:creator>Shien Yang Lee</dc:creator>
  <dc:description/>
  <dc:language>en-US</dc:language>
  <cp:lastModifiedBy/>
  <dcterms:modified xsi:type="dcterms:W3CDTF">2017-04-03T22:57:10Z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Windows User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