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"/>
    </mc:Choice>
  </mc:AlternateContent>
  <bookViews>
    <workbookView xWindow="0" yWindow="0" windowWidth="16380" windowHeight="8190" tabRatio="993" activeTab="5"/>
  </bookViews>
  <sheets>
    <sheet name="structure" sheetId="1" r:id="rId1"/>
    <sheet name="joints and bearings" sheetId="2" r:id="rId2"/>
    <sheet name="tip vs. slip" sheetId="3" r:id="rId3"/>
    <sheet name="actuator" sheetId="4" r:id="rId4"/>
    <sheet name="actuator_diag-ls-friction" sheetId="6" r:id="rId5"/>
    <sheet name="actuator-diag-slider-friction" sheetId="5" r:id="rId6"/>
  </sheets>
  <definedNames>
    <definedName name="solver_adj" localSheetId="4" hidden="1">'actuator_diag-ls-friction'!$B$5</definedName>
    <definedName name="solver_adj" localSheetId="5" hidden="1">'actuator-diag-slider-friction'!$B$6</definedName>
    <definedName name="solver_cvg" localSheetId="4" hidden="1">0.0001</definedName>
    <definedName name="solver_cvg" localSheetId="5" hidden="1">0.0001</definedName>
    <definedName name="solver_drv" localSheetId="4" hidden="1">2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'actuator_diag-ls-friction'!$B$5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2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4" hidden="1">1</definedName>
    <definedName name="solver_nwt" localSheetId="5" hidden="1">1</definedName>
    <definedName name="solver_opt" localSheetId="3" hidden="1">actuator!$F$5</definedName>
    <definedName name="solver_opt" localSheetId="4" hidden="1">'actuator_diag-ls-friction'!$B$18</definedName>
    <definedName name="solver_opt" localSheetId="5" hidden="1">'actuator-diag-slider-friction'!$B$18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2</definedName>
    <definedName name="solver_rel1" localSheetId="4" hidden="1">3</definedName>
    <definedName name="solver_rhs1" localSheetId="4" hidden="1">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3</definedName>
    <definedName name="solver_typ" localSheetId="5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5" l="1"/>
  <c r="B9" i="5" s="1"/>
  <c r="B8" i="6"/>
  <c r="B9" i="6"/>
  <c r="B17" i="6"/>
  <c r="B11" i="6"/>
  <c r="B7" i="6"/>
  <c r="B17" i="5"/>
  <c r="B11" i="5"/>
  <c r="B7" i="5"/>
  <c r="B9" i="4"/>
  <c r="B8" i="4"/>
  <c r="B12" i="5" l="1"/>
  <c r="B13" i="5" s="1"/>
  <c r="B14" i="5" s="1"/>
  <c r="B15" i="5" s="1"/>
  <c r="B16" i="5" s="1"/>
  <c r="B18" i="5" s="1"/>
  <c r="B12" i="6"/>
  <c r="B13" i="6" s="1"/>
  <c r="B14" i="6" s="1"/>
  <c r="B15" i="6" s="1"/>
  <c r="B16" i="6" s="1"/>
  <c r="B18" i="6" s="1"/>
  <c r="B12" i="4" l="1"/>
  <c r="B13" i="4"/>
  <c r="B14" i="4" s="1"/>
  <c r="B15" i="4" s="1"/>
  <c r="B16" i="4" s="1"/>
  <c r="B18" i="4"/>
  <c r="B27" i="4"/>
  <c r="B24" i="4"/>
  <c r="B10" i="4" l="1"/>
  <c r="B17" i="4" s="1"/>
  <c r="B19" i="4" s="1"/>
  <c r="B28" i="4"/>
  <c r="E18" i="1"/>
  <c r="B29" i="4" l="1"/>
  <c r="B30" i="4" s="1"/>
  <c r="B26" i="1"/>
  <c r="B6" i="3" l="1"/>
  <c r="B11" i="3" s="1"/>
  <c r="B18" i="3" s="1"/>
  <c r="B4" i="3"/>
  <c r="B5" i="3"/>
  <c r="B13" i="3" l="1"/>
  <c r="B17" i="3"/>
  <c r="B16" i="3"/>
  <c r="B79" i="2"/>
  <c r="B75" i="2"/>
  <c r="B120" i="2"/>
  <c r="B116" i="2"/>
  <c r="E90" i="2"/>
  <c r="B108" i="2"/>
  <c r="B110" i="2" s="1"/>
  <c r="B102" i="2"/>
  <c r="B89" i="2"/>
  <c r="E86" i="2"/>
  <c r="B19" i="3" l="1"/>
  <c r="B21" i="3" s="1"/>
  <c r="B121" i="2"/>
  <c r="B122" i="2" s="1"/>
  <c r="B117" i="2"/>
  <c r="B118" i="2" s="1"/>
  <c r="B23" i="1"/>
  <c r="B24" i="1"/>
  <c r="B25" i="1" l="1"/>
  <c r="B40" i="1" s="1"/>
  <c r="B90" i="1"/>
  <c r="B67" i="2"/>
  <c r="B61" i="2"/>
  <c r="B59" i="2"/>
  <c r="E50" i="2"/>
  <c r="B53" i="2"/>
  <c r="B49" i="2"/>
  <c r="B40" i="2"/>
  <c r="B37" i="2"/>
  <c r="B35" i="2"/>
  <c r="B36" i="2" s="1"/>
  <c r="B24" i="2"/>
  <c r="E22" i="2"/>
  <c r="E21" i="2"/>
  <c r="B21" i="2"/>
  <c r="B19" i="2"/>
  <c r="B22" i="2" s="1"/>
  <c r="B23" i="2" s="1"/>
  <c r="B7" i="2"/>
  <c r="B8" i="2" s="1"/>
  <c r="E6" i="2"/>
  <c r="E4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E20" i="1"/>
  <c r="B8" i="1"/>
  <c r="B7" i="1"/>
  <c r="B6" i="1"/>
  <c r="B9" i="1" s="1"/>
  <c r="E2" i="1"/>
  <c r="E8" i="1" s="1"/>
  <c r="B2" i="1"/>
  <c r="E59" i="1" s="1"/>
  <c r="B69" i="2" l="1"/>
  <c r="B76" i="2"/>
  <c r="B77" i="2" s="1"/>
  <c r="B80" i="2"/>
  <c r="B81" i="2" s="1"/>
  <c r="B20" i="2"/>
  <c r="B78" i="1"/>
  <c r="B80" i="1" s="1"/>
  <c r="E10" i="2"/>
  <c r="E11" i="2" s="1"/>
  <c r="E9" i="1"/>
  <c r="E24" i="1"/>
  <c r="E25" i="1" s="1"/>
  <c r="B38" i="2"/>
  <c r="B39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33" i="2"/>
  <c r="E89" i="2" s="1"/>
  <c r="E12" i="2"/>
  <c r="E91" i="2" l="1"/>
  <c r="B90" i="2" s="1"/>
  <c r="B93" i="2"/>
  <c r="B82" i="1"/>
  <c r="B83" i="1" s="1"/>
  <c r="B93" i="1"/>
  <c r="B94" i="1" s="1"/>
  <c r="B95" i="1" s="1"/>
  <c r="B96" i="1"/>
  <c r="B97" i="1" s="1"/>
  <c r="B98" i="1" s="1"/>
  <c r="E34" i="2"/>
  <c r="E35" i="2" s="1"/>
  <c r="B44" i="2" s="1"/>
  <c r="B45" i="2" s="1"/>
  <c r="E54" i="2"/>
  <c r="E55" i="2" s="1"/>
  <c r="E56" i="2" s="1"/>
  <c r="B31" i="1"/>
  <c r="B32" i="1" s="1"/>
  <c r="B33" i="1" s="1"/>
  <c r="B28" i="1"/>
  <c r="B29" i="1" s="1"/>
  <c r="B30" i="1" s="1"/>
  <c r="B51" i="1"/>
  <c r="B52" i="1" s="1"/>
  <c r="B53" i="1" s="1"/>
  <c r="B42" i="1"/>
  <c r="E23" i="2"/>
  <c r="E24" i="2" s="1"/>
  <c r="E25" i="2" s="1"/>
  <c r="B9" i="2"/>
  <c r="B10" i="2" s="1"/>
  <c r="B111" i="2" l="1"/>
  <c r="B96" i="2"/>
  <c r="B97" i="2" s="1"/>
  <c r="B94" i="2"/>
  <c r="B95" i="2" s="1"/>
  <c r="B103" i="2"/>
  <c r="B104" i="2" s="1"/>
  <c r="B91" i="2"/>
  <c r="B92" i="2" s="1"/>
  <c r="B43" i="1"/>
  <c r="B44" i="1" s="1"/>
  <c r="B41" i="2"/>
  <c r="B42" i="2" s="1"/>
  <c r="B43" i="2" s="1"/>
  <c r="B54" i="2"/>
  <c r="B70" i="2"/>
  <c r="B28" i="2"/>
  <c r="B29" i="2" s="1"/>
  <c r="B25" i="2"/>
  <c r="B26" i="2" s="1"/>
  <c r="B27" i="2" s="1"/>
  <c r="B55" i="2" l="1"/>
  <c r="B56" i="2" s="1"/>
  <c r="B62" i="2"/>
  <c r="B63" i="2" s="1"/>
</calcChain>
</file>

<file path=xl/sharedStrings.xml><?xml version="1.0" encoding="utf-8"?>
<sst xmlns="http://schemas.openxmlformats.org/spreadsheetml/2006/main" count="411" uniqueCount="235">
  <si>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</si>
  <si>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</si>
  <si>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</si>
  <si>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</si>
  <si>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</si>
  <si>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</si>
  <si>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</si>
  <si>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</si>
  <si>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</si>
  <si>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</si>
  <si>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</si>
  <si>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</si>
  <si>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</si>
  <si>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</si>
  <si>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</si>
  <si>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</si>
  <si>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</si>
  <si>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</si>
  <si>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</si>
  <si>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</si>
  <si>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</si>
  <si>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</si>
  <si>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</si>
  <si>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</si>
  <si>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</si>
  <si>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</si>
  <si>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</si>
  <si>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</si>
  <si>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</si>
  <si>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</si>
  <si>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</si>
  <si>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</si>
  <si>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</si>
  <si>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</si>
  <si>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</si>
  <si>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</si>
  <si>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</si>
  <si>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</si>
  <si>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</si>
  <si>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</si>
  <si>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</si>
  <si>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</si>
  <si>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</si>
  <si>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</si>
  <si>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</si>
  <si>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</si>
  <si>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</si>
  <si>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</si>
  <si>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</si>
  <si>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</si>
  <si>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</si>
  <si>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</si>
  <si>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</si>
  <si>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</si>
  <si>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</si>
  <si>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</si>
  <si>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</si>
  <si>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</si>
  <si>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</si>
  <si>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</si>
  <si>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</si>
  <si>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</si>
  <si>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</si>
  <si>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</si>
  <si>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</si>
  <si>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</si>
  <si>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</si>
  <si>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</si>
  <si>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</si>
  <si>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</si>
  <si>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</si>
  <si>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</si>
  <si>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</si>
  <si>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</si>
  <si>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</si>
  <si>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</si>
  <si>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</si>
  <si>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</si>
  <si>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</si>
  <si>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</si>
  <si>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</si>
  <si>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</si>
  <si>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</si>
  <si>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</si>
  <si>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</si>
  <si>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</si>
  <si>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</si>
  <si>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</si>
  <si>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</si>
  <si>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</si>
  <si>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</si>
  <si>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</si>
  <si>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</si>
  <si>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</si>
  <si>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</si>
  <si>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</si>
  <si>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</si>
  <si>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</si>
  <si>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</si>
  <si>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</si>
  <si>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</si>
  <si>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</si>
  <si>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</si>
  <si>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</si>
  <si>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</si>
  <si>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</si>
  <si>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</si>
  <si>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</si>
  <si>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</si>
  <si>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</si>
  <si>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</si>
  <si>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</si>
  <si>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</si>
  <si>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</si>
  <si>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</si>
  <si>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</si>
  <si>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</si>
  <si>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</si>
  <si>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</si>
  <si>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</si>
  <si>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</si>
  <si>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</si>
  <si>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</si>
  <si>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</si>
  <si>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</si>
  <si>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</si>
  <si>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</si>
  <si>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</si>
  <si>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</si>
  <si>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</si>
  <si>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</si>
  <si>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</si>
  <si>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</si>
  <si>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</si>
  <si>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</si>
  <si>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</si>
  <si>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</si>
  <si>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</si>
  <si>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</si>
  <si>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</si>
  <si>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</si>
  <si>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</si>
  <si>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</si>
  <si>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</si>
  <si>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</si>
  <si>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</si>
  <si>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</si>
  <si>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</si>
  <si>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</si>
  <si>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</si>
  <si>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</si>
  <si>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</si>
  <si>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</si>
  <si>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</si>
  <si>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</si>
  <si>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</si>
  <si>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</si>
  <si>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</si>
  <si>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</si>
  <si>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</si>
  <si>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</si>
  <si>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</si>
  <si>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</si>
  <si>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</si>
  <si>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</si>
  <si>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</si>
  <si>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</si>
  <si>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</si>
  <si>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</si>
  <si>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</si>
  <si>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</si>
  <si>
    <t>Overdriving</t>
  </si>
  <si>
    <t>Coefficient of friction, wood on wood</t>
  </si>
  <si>
    <t>CG Height (mm)</t>
  </si>
  <si>
    <t>approximating as midway up to first order</t>
  </si>
  <si>
    <t>Mass of entire structure (kg)</t>
  </si>
  <si>
    <t>Dead weight of structure (N)</t>
  </si>
  <si>
    <t>Desktop height at top of travel (mm)</t>
  </si>
  <si>
    <t>Design live load (N)</t>
  </si>
  <si>
    <t>from Solidworks</t>
  </si>
  <si>
    <t>Feet support span (mm)</t>
  </si>
  <si>
    <t>Desktop depth (mm)</t>
  </si>
  <si>
    <t>Offset of CG from front edge (mm)</t>
  </si>
  <si>
    <t>Offset of design load from front edge (mm)</t>
  </si>
  <si>
    <t>From dead weight (Nmm)</t>
  </si>
  <si>
    <t>From design load (Nmm)</t>
  </si>
  <si>
    <t>Support force magnitude (N)</t>
  </si>
  <si>
    <t>Max lateral load before sliding (N)</t>
  </si>
  <si>
    <t>Support force offset from front edge at cusp of tipping (mm)</t>
  </si>
  <si>
    <t>From support force (Nmm)</t>
  </si>
  <si>
    <t>Moments about front edge of feet at cusp of tipping</t>
  </si>
  <si>
    <t>Tolerable lateral load before tipping (N)</t>
  </si>
  <si>
    <t>conservatively assume concentrated 3/4 of the way back</t>
  </si>
  <si>
    <t>Factor of safety against tipping</t>
  </si>
  <si>
    <t>3 Nm</t>
  </si>
  <si>
    <t>Material: steel</t>
  </si>
  <si>
    <t>number of motors</t>
  </si>
  <si>
    <t>motor drive voltage, per motor (V)</t>
  </si>
  <si>
    <t>motor drive current, per motor (A)</t>
  </si>
  <si>
    <t>motor efficiency</t>
  </si>
  <si>
    <t>drivetrain efficiency</t>
  </si>
  <si>
    <t>net efficiency, motor to slider</t>
  </si>
  <si>
    <t>power available to lift per motor (W)</t>
  </si>
  <si>
    <t>electrical power input, per motor (W)</t>
  </si>
  <si>
    <t>lifting force at verge of stalling, per motor (N)</t>
  </si>
  <si>
    <t>leadscrew diameter (mm)</t>
  </si>
  <si>
    <t>leadnut coefficient of friction</t>
  </si>
  <si>
    <t>motor torque rating (Nmm)</t>
  </si>
  <si>
    <t>coefficient of friction, slider pads on wood</t>
  </si>
  <si>
    <t>slider effective length (mm)</t>
  </si>
  <si>
    <t>edge loading offset from center of friction (mm)</t>
  </si>
  <si>
    <t>moment resisted by sliders, per slider (Nmm)</t>
  </si>
  <si>
    <t>contact force at each pad (N)</t>
  </si>
  <si>
    <t>frictional force at each pad (N)</t>
  </si>
  <si>
    <t>total frictional force in system, 4 pads in contact (N)</t>
  </si>
  <si>
    <t>igus polymer nut, light oil lubrication</t>
  </si>
  <si>
    <t>total load (N)</t>
  </si>
  <si>
    <t>total actuation force required (N)</t>
  </si>
  <si>
    <t>approximate for sliding contact nut</t>
  </si>
  <si>
    <t>max lifting speed allowed (mm/s)</t>
  </si>
  <si>
    <t>motor datasheet</t>
  </si>
  <si>
    <t>Lifting load capacity</t>
  </si>
  <si>
    <t>ok to lift?</t>
  </si>
  <si>
    <t>Actuation speed (power analysis)</t>
  </si>
  <si>
    <t>wall wart power supply</t>
  </si>
  <si>
    <t>wall wart power supply, total 1A, split between 2 motors, switch-mode so almost 100% efficient</t>
  </si>
  <si>
    <t>approximate for stepper motors</t>
  </si>
  <si>
    <t>max lifting speed allowed (mm/min)</t>
  </si>
  <si>
    <t>Base Analysis</t>
  </si>
  <si>
    <t>Close the loop: what gives? - leadscrew coefficient of friction</t>
  </si>
  <si>
    <t>Close the loop: what gives? - slider coefficient of friction</t>
  </si>
  <si>
    <t>surplus lifting force (N)</t>
  </si>
  <si>
    <t>actual liftable live load = 12 kg</t>
  </si>
  <si>
    <t>Max value allowable before failure to lift, ceteris paribus</t>
  </si>
  <si>
    <t>actual live load lifted = 12kg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</si>
</sst>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12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5" xfId="0" applyBorder="1"/>
    <xf numFmtId="2" fontId="0" fillId="0" borderId="0" xfId="0" applyNumberFormat="1" applyBorder="1"/>
    <xf numFmtId="1" fontId="13" fillId="0" borderId="0" xfId="0" applyNumberFormat="1" applyFont="1" applyBorder="1"/>
    <xf numFmtId="2" fontId="13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0" xfId="0" applyBorder="1"/>
    <xf numFmtId="0" fontId="9" fillId="0" borderId="4" xfId="0" applyFont="1" applyBorder="1"/>
    <xf numFmtId="1" fontId="10" fillId="0" borderId="7" xfId="0" applyNumberFormat="1" applyFont="1" applyBorder="1"/>
    <xf numFmtId="0" fontId="0" fillId="0" borderId="8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1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1" fontId="13" fillId="0" borderId="5" xfId="0" applyNumberFormat="1" applyFont="1" applyBorder="1"/>
    <xf numFmtId="2" fontId="13" fillId="0" borderId="5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left" indent="1"/>
    </xf>
    <xf numFmtId="2" fontId="14" fillId="0" borderId="8" xfId="0" applyNumberFormat="1" applyFont="1" applyBorder="1" applyAlignment="1">
      <alignment horizontal="right"/>
    </xf>
    <xf numFmtId="2" fontId="4" fillId="2" borderId="5" xfId="0" applyNumberFormat="1" applyFont="1" applyFill="1" applyBorder="1"/>
    <xf numFmtId="2" fontId="0" fillId="2" borderId="5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15" zoomScaleNormal="100" workbookViewId="0">
      <selection activeCell="D45" sqref="D45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195</v>
      </c>
      <c r="E17" t="s">
        <v>139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140</v>
      </c>
      <c r="E19">
        <v>370</v>
      </c>
      <c r="F19" t="s">
        <v>29</v>
      </c>
    </row>
    <row r="20" spans="1:6" x14ac:dyDescent="0.25">
      <c r="A20" s="14" t="s">
        <v>135</v>
      </c>
      <c r="B20">
        <v>1</v>
      </c>
      <c r="D20" s="14" t="s">
        <v>33</v>
      </c>
      <c r="E20">
        <f>0.58*structure!E19</f>
        <v>214.6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136</v>
      </c>
      <c r="B22">
        <v>18</v>
      </c>
      <c r="D22" s="1" t="s">
        <v>36</v>
      </c>
    </row>
    <row r="23" spans="1:6" x14ac:dyDescent="0.25">
      <c r="A23" s="14" t="s">
        <v>11</v>
      </c>
      <c r="B23">
        <f>2*B20*B21</f>
        <v>90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8130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137</v>
      </c>
      <c r="B25" s="11">
        <f>((B22+2*B20)*B21^3-B22*B21^3)/12</f>
        <v>15187.5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(B22+2*B20)/2</f>
        <v>10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3.721216174661746</v>
      </c>
    </row>
    <row r="30" spans="1:6" x14ac:dyDescent="0.25">
      <c r="A30" s="24" t="s">
        <v>22</v>
      </c>
      <c r="B30" s="6">
        <f>structure!E19/structure!B29</f>
        <v>99.4298591195478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1.8606080873308731E-3</v>
      </c>
    </row>
    <row r="33" spans="1:2" x14ac:dyDescent="0.25">
      <c r="A33" s="15" t="s">
        <v>25</v>
      </c>
      <c r="B33" s="9">
        <f>structure!E20/structure!B32</f>
        <v>115338.63657867545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1</v>
      </c>
    </row>
    <row r="38" spans="1:2" x14ac:dyDescent="0.25">
      <c r="A38" s="14" t="s">
        <v>35</v>
      </c>
      <c r="B38">
        <v>45</v>
      </c>
    </row>
    <row r="39" spans="1:2" x14ac:dyDescent="0.25">
      <c r="A39" s="14" t="s">
        <v>11</v>
      </c>
      <c r="B39">
        <f>structure!B37*structure!B38</f>
        <v>45</v>
      </c>
    </row>
    <row r="40" spans="1:2" x14ac:dyDescent="0.25">
      <c r="A40" s="14" t="s">
        <v>138</v>
      </c>
      <c r="B40" s="11">
        <f>B24+B25</f>
        <v>23317.5</v>
      </c>
    </row>
    <row r="41" spans="1:2" x14ac:dyDescent="0.25">
      <c r="A41" s="14" t="s">
        <v>15</v>
      </c>
      <c r="B41">
        <f>SQRT((B37/2)^2+(B38/2)^2)</f>
        <v>22.5055548698538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29.200022426747552</v>
      </c>
    </row>
    <row r="44" spans="1:2" x14ac:dyDescent="0.25">
      <c r="A44" s="15" t="s">
        <v>43</v>
      </c>
      <c r="B44" s="9">
        <f>E20/B43</f>
        <v>7.3493094239346872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1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50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2.4202789999999998</v>
      </c>
    </row>
    <row r="53" spans="1:6" x14ac:dyDescent="0.25">
      <c r="A53" s="24" t="s">
        <v>48</v>
      </c>
      <c r="B53" s="6">
        <f>structure!E19/structure!B52</f>
        <v>152.8749371456762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133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2"/>
  <sheetViews>
    <sheetView topLeftCell="A4" zoomScaleNormal="100" workbookViewId="0">
      <selection activeCell="A22" sqref="A22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2" spans="1:6" x14ac:dyDescent="0.25">
      <c r="A2" s="1" t="s">
        <v>74</v>
      </c>
    </row>
    <row r="3" spans="1:6" x14ac:dyDescent="0.25">
      <c r="A3" s="10" t="s">
        <v>75</v>
      </c>
      <c r="B3" t="s">
        <v>76</v>
      </c>
      <c r="D3" s="1" t="s">
        <v>27</v>
      </c>
    </row>
    <row r="4" spans="1:6" x14ac:dyDescent="0.25">
      <c r="A4" s="14" t="s">
        <v>77</v>
      </c>
      <c r="B4">
        <v>5</v>
      </c>
      <c r="D4" s="14" t="s">
        <v>3</v>
      </c>
      <c r="E4">
        <f>(7.8/1000)/10^3</f>
        <v>7.7999999999999999E-6</v>
      </c>
      <c r="F4" t="s">
        <v>29</v>
      </c>
    </row>
    <row r="5" spans="1:6" x14ac:dyDescent="0.25">
      <c r="A5" s="14" t="s">
        <v>78</v>
      </c>
      <c r="B5">
        <v>2.67</v>
      </c>
      <c r="D5" s="14" t="s">
        <v>31</v>
      </c>
      <c r="E5">
        <v>250</v>
      </c>
      <c r="F5" t="s">
        <v>29</v>
      </c>
    </row>
    <row r="6" spans="1:6" x14ac:dyDescent="0.25">
      <c r="A6" s="14" t="s">
        <v>79</v>
      </c>
      <c r="B6">
        <v>4</v>
      </c>
      <c r="D6" s="14" t="s">
        <v>33</v>
      </c>
      <c r="E6">
        <f>0.58*'joints and bearings'!E5</f>
        <v>145</v>
      </c>
      <c r="F6" t="s">
        <v>34</v>
      </c>
    </row>
    <row r="7" spans="1:6" x14ac:dyDescent="0.25">
      <c r="A7" s="14" t="s">
        <v>80</v>
      </c>
      <c r="B7">
        <f>B4*B5</f>
        <v>13.35</v>
      </c>
    </row>
    <row r="8" spans="1:6" x14ac:dyDescent="0.25">
      <c r="A8" s="14" t="s">
        <v>81</v>
      </c>
      <c r="B8">
        <f>B7*B6</f>
        <v>53.4</v>
      </c>
      <c r="D8" s="1" t="s">
        <v>12</v>
      </c>
    </row>
    <row r="9" spans="1:6" x14ac:dyDescent="0.25">
      <c r="A9" s="14" t="s">
        <v>82</v>
      </c>
      <c r="B9" s="12">
        <f>E12/B8</f>
        <v>2.2661788389513107</v>
      </c>
      <c r="D9" s="14" t="s">
        <v>14</v>
      </c>
      <c r="E9">
        <v>197</v>
      </c>
    </row>
    <row r="10" spans="1:6" x14ac:dyDescent="0.25">
      <c r="A10" s="24" t="s">
        <v>48</v>
      </c>
      <c r="B10" s="16">
        <f>E5/B9</f>
        <v>110.31786004836633</v>
      </c>
      <c r="D10" s="14" t="s">
        <v>16</v>
      </c>
      <c r="E10">
        <f>structure!E8</f>
        <v>45.027900000000002</v>
      </c>
      <c r="F10" t="s">
        <v>17</v>
      </c>
    </row>
    <row r="11" spans="1:6" x14ac:dyDescent="0.25">
      <c r="D11" s="14" t="s">
        <v>20</v>
      </c>
      <c r="E11">
        <f>'joints and bearings'!E9+'joints and bearings'!E10</f>
        <v>242.02789999999999</v>
      </c>
    </row>
    <row r="12" spans="1:6" x14ac:dyDescent="0.25">
      <c r="D12" s="14" t="s">
        <v>38</v>
      </c>
      <c r="E12">
        <f>'joints and bearings'!E11/2</f>
        <v>121.01394999999999</v>
      </c>
    </row>
    <row r="14" spans="1:6" x14ac:dyDescent="0.25">
      <c r="A14" s="1" t="s">
        <v>83</v>
      </c>
    </row>
    <row r="15" spans="1:6" x14ac:dyDescent="0.25">
      <c r="A15" s="10" t="s">
        <v>84</v>
      </c>
      <c r="B15" t="s">
        <v>85</v>
      </c>
      <c r="D15" s="1" t="s">
        <v>50</v>
      </c>
    </row>
    <row r="16" spans="1:6" x14ac:dyDescent="0.25">
      <c r="A16" s="14" t="s">
        <v>86</v>
      </c>
      <c r="B16">
        <v>125</v>
      </c>
      <c r="D16" s="14" t="s">
        <v>52</v>
      </c>
      <c r="E16">
        <v>11.8</v>
      </c>
      <c r="F16" s="4" t="s">
        <v>9</v>
      </c>
    </row>
    <row r="17" spans="1:6" x14ac:dyDescent="0.25">
      <c r="A17" s="14" t="s">
        <v>87</v>
      </c>
      <c r="B17">
        <v>18</v>
      </c>
      <c r="D17" s="14" t="s">
        <v>54</v>
      </c>
      <c r="E17">
        <v>130</v>
      </c>
      <c r="F17" s="4" t="s">
        <v>9</v>
      </c>
    </row>
    <row r="18" spans="1:6" x14ac:dyDescent="0.25">
      <c r="A18" s="14" t="s">
        <v>88</v>
      </c>
      <c r="B18">
        <v>12.5</v>
      </c>
      <c r="D18" s="14" t="s">
        <v>89</v>
      </c>
      <c r="E18">
        <v>10.8</v>
      </c>
    </row>
    <row r="19" spans="1:6" x14ac:dyDescent="0.25">
      <c r="A19" s="14" t="s">
        <v>90</v>
      </c>
      <c r="B19" s="11">
        <f>B16/3</f>
        <v>41.666666666666664</v>
      </c>
    </row>
    <row r="20" spans="1:6" x14ac:dyDescent="0.25">
      <c r="A20" s="14" t="s">
        <v>91</v>
      </c>
      <c r="B20" s="11">
        <f>B19*B18</f>
        <v>520.83333333333326</v>
      </c>
      <c r="D20" s="1" t="s">
        <v>92</v>
      </c>
    </row>
    <row r="21" spans="1:6" x14ac:dyDescent="0.25">
      <c r="A21" s="14" t="s">
        <v>93</v>
      </c>
      <c r="B21">
        <f>B16/3</f>
        <v>41.666666666666664</v>
      </c>
      <c r="D21" s="14" t="s">
        <v>94</v>
      </c>
      <c r="E21">
        <f>50</f>
        <v>50</v>
      </c>
    </row>
    <row r="22" spans="1:6" x14ac:dyDescent="0.25">
      <c r="A22" s="14" t="s">
        <v>95</v>
      </c>
      <c r="B22">
        <f>B19*3</f>
        <v>125</v>
      </c>
      <c r="D22" s="14" t="s">
        <v>96</v>
      </c>
      <c r="E22">
        <f>structure!B19</f>
        <v>25</v>
      </c>
    </row>
    <row r="23" spans="1:6" x14ac:dyDescent="0.25">
      <c r="A23" s="14" t="s">
        <v>97</v>
      </c>
      <c r="B23">
        <f>B22*B17^3/12</f>
        <v>60750</v>
      </c>
      <c r="D23" s="14" t="s">
        <v>38</v>
      </c>
      <c r="E23">
        <f>E12</f>
        <v>121.01394999999999</v>
      </c>
    </row>
    <row r="24" spans="1:6" x14ac:dyDescent="0.25">
      <c r="A24" s="14" t="s">
        <v>15</v>
      </c>
      <c r="B24">
        <f>B17/2</f>
        <v>9</v>
      </c>
      <c r="D24" s="14" t="s">
        <v>98</v>
      </c>
      <c r="E24">
        <f>E23*(E22+E21/2)</f>
        <v>6050.6974999999993</v>
      </c>
    </row>
    <row r="25" spans="1:6" x14ac:dyDescent="0.25">
      <c r="A25" s="14" t="s">
        <v>19</v>
      </c>
      <c r="B25">
        <f>E25*B18</f>
        <v>1815.2092499999999</v>
      </c>
      <c r="D25" s="14" t="s">
        <v>99</v>
      </c>
      <c r="E25">
        <f>E24/B21</f>
        <v>145.21673999999999</v>
      </c>
    </row>
    <row r="26" spans="1:6" x14ac:dyDescent="0.25">
      <c r="A26" s="14" t="s">
        <v>21</v>
      </c>
      <c r="B26">
        <f>B25*B24/B23</f>
        <v>0.26891988888888885</v>
      </c>
    </row>
    <row r="27" spans="1:6" x14ac:dyDescent="0.25">
      <c r="A27" s="15" t="s">
        <v>100</v>
      </c>
      <c r="B27" s="9">
        <f>E17/B26</f>
        <v>483.41534178497608</v>
      </c>
    </row>
    <row r="28" spans="1:6" x14ac:dyDescent="0.25">
      <c r="A28" s="14" t="s">
        <v>82</v>
      </c>
      <c r="B28">
        <f>E25/B20</f>
        <v>0.2788161408</v>
      </c>
    </row>
    <row r="29" spans="1:6" x14ac:dyDescent="0.25">
      <c r="A29" s="15" t="s">
        <v>101</v>
      </c>
      <c r="B29" s="9">
        <f>E18/B28</f>
        <v>38.735203668667957</v>
      </c>
    </row>
    <row r="31" spans="1:6" x14ac:dyDescent="0.25">
      <c r="A31" s="10" t="s">
        <v>102</v>
      </c>
      <c r="B31" t="s">
        <v>85</v>
      </c>
      <c r="D31" s="1" t="s">
        <v>103</v>
      </c>
    </row>
    <row r="32" spans="1:6" x14ac:dyDescent="0.25">
      <c r="A32" s="14" t="s">
        <v>86</v>
      </c>
      <c r="B32">
        <v>125</v>
      </c>
      <c r="D32" s="14" t="s">
        <v>104</v>
      </c>
      <c r="E32">
        <v>250</v>
      </c>
    </row>
    <row r="33" spans="1:6" x14ac:dyDescent="0.25">
      <c r="A33" s="14" t="s">
        <v>105</v>
      </c>
      <c r="B33">
        <v>50</v>
      </c>
      <c r="D33" s="14" t="s">
        <v>20</v>
      </c>
      <c r="E33">
        <f>E11</f>
        <v>242.02789999999999</v>
      </c>
      <c r="F33" t="s">
        <v>56</v>
      </c>
    </row>
    <row r="34" spans="1:6" x14ac:dyDescent="0.25">
      <c r="A34" s="14" t="s">
        <v>106</v>
      </c>
      <c r="B34">
        <v>18</v>
      </c>
      <c r="D34" s="14" t="s">
        <v>98</v>
      </c>
      <c r="E34">
        <f>E33*E32</f>
        <v>60506.974999999999</v>
      </c>
    </row>
    <row r="35" spans="1:6" x14ac:dyDescent="0.25">
      <c r="A35" s="14" t="s">
        <v>90</v>
      </c>
      <c r="B35" s="11">
        <f>B32/3</f>
        <v>41.666666666666664</v>
      </c>
      <c r="D35" s="14" t="s">
        <v>99</v>
      </c>
      <c r="E35">
        <f>E34/B37</f>
        <v>1452.1674</v>
      </c>
    </row>
    <row r="36" spans="1:6" x14ac:dyDescent="0.25">
      <c r="A36" s="14" t="s">
        <v>91</v>
      </c>
      <c r="B36" s="11">
        <f>B35*B33</f>
        <v>2083.333333333333</v>
      </c>
    </row>
    <row r="37" spans="1:6" x14ac:dyDescent="0.25">
      <c r="A37" s="14" t="s">
        <v>93</v>
      </c>
      <c r="B37">
        <f>B32/3</f>
        <v>41.666666666666664</v>
      </c>
    </row>
    <row r="38" spans="1:6" x14ac:dyDescent="0.25">
      <c r="A38" s="14" t="s">
        <v>95</v>
      </c>
      <c r="B38">
        <f>B35*3</f>
        <v>125</v>
      </c>
    </row>
    <row r="39" spans="1:6" x14ac:dyDescent="0.25">
      <c r="A39" s="14" t="s">
        <v>107</v>
      </c>
      <c r="B39">
        <f>B38*B34^3/12</f>
        <v>60750</v>
      </c>
    </row>
    <row r="40" spans="1:6" x14ac:dyDescent="0.25">
      <c r="A40" s="14" t="s">
        <v>15</v>
      </c>
      <c r="B40">
        <f>B34/2</f>
        <v>9</v>
      </c>
    </row>
    <row r="41" spans="1:6" x14ac:dyDescent="0.25">
      <c r="A41" s="14" t="s">
        <v>19</v>
      </c>
      <c r="B41">
        <f>E35*B33</f>
        <v>72608.37</v>
      </c>
    </row>
    <row r="42" spans="1:6" x14ac:dyDescent="0.25">
      <c r="A42" s="14" t="s">
        <v>21</v>
      </c>
      <c r="B42">
        <f>B41*B40/B39</f>
        <v>10.756795555555556</v>
      </c>
    </row>
    <row r="43" spans="1:6" x14ac:dyDescent="0.25">
      <c r="A43" s="15" t="s">
        <v>100</v>
      </c>
      <c r="B43" s="9">
        <f>E17/B42</f>
        <v>12.085383544624401</v>
      </c>
    </row>
    <row r="44" spans="1:6" x14ac:dyDescent="0.25">
      <c r="A44" s="14" t="s">
        <v>82</v>
      </c>
      <c r="B44">
        <f>E35/B36</f>
        <v>0.69704035200000014</v>
      </c>
    </row>
    <row r="45" spans="1:6" x14ac:dyDescent="0.25">
      <c r="A45" s="15" t="s">
        <v>101</v>
      </c>
      <c r="B45" s="9">
        <f>E18/B44</f>
        <v>15.494081467467179</v>
      </c>
    </row>
    <row r="47" spans="1:6" x14ac:dyDescent="0.25">
      <c r="A47" s="1" t="s">
        <v>108</v>
      </c>
    </row>
    <row r="48" spans="1:6" x14ac:dyDescent="0.25">
      <c r="A48" s="17" t="s">
        <v>122</v>
      </c>
      <c r="D48" s="18" t="s">
        <v>114</v>
      </c>
    </row>
    <row r="49" spans="1:6" x14ac:dyDescent="0.25">
      <c r="A49" s="19" t="s">
        <v>109</v>
      </c>
      <c r="B49">
        <f>111-10</f>
        <v>101</v>
      </c>
      <c r="D49" s="20" t="s">
        <v>116</v>
      </c>
      <c r="E49">
        <v>970</v>
      </c>
    </row>
    <row r="50" spans="1:6" x14ac:dyDescent="0.25">
      <c r="A50" s="20" t="s">
        <v>77</v>
      </c>
      <c r="B50">
        <v>5</v>
      </c>
      <c r="D50" s="20" t="s">
        <v>115</v>
      </c>
      <c r="E50">
        <f>0.58*E49</f>
        <v>562.59999999999991</v>
      </c>
      <c r="F50" t="s">
        <v>117</v>
      </c>
    </row>
    <row r="51" spans="1:6" x14ac:dyDescent="0.25">
      <c r="A51" s="20" t="s">
        <v>110</v>
      </c>
      <c r="B51">
        <v>12</v>
      </c>
    </row>
    <row r="52" spans="1:6" x14ac:dyDescent="0.25">
      <c r="A52" s="20" t="s">
        <v>79</v>
      </c>
      <c r="B52">
        <v>2</v>
      </c>
      <c r="D52" s="1" t="s">
        <v>103</v>
      </c>
    </row>
    <row r="53" spans="1:6" x14ac:dyDescent="0.25">
      <c r="A53" s="20" t="s">
        <v>113</v>
      </c>
      <c r="B53">
        <f>PI()*B50^2/4</f>
        <v>19.634954084936208</v>
      </c>
      <c r="D53" s="14" t="s">
        <v>104</v>
      </c>
      <c r="E53">
        <v>250</v>
      </c>
    </row>
    <row r="54" spans="1:6" x14ac:dyDescent="0.25">
      <c r="A54" s="20" t="s">
        <v>112</v>
      </c>
      <c r="B54">
        <f>E56/B52</f>
        <v>299.53948019801982</v>
      </c>
      <c r="D54" s="14" t="s">
        <v>20</v>
      </c>
      <c r="E54">
        <f>E33</f>
        <v>242.02789999999999</v>
      </c>
    </row>
    <row r="55" spans="1:6" x14ac:dyDescent="0.25">
      <c r="A55" s="20" t="s">
        <v>24</v>
      </c>
      <c r="B55">
        <f>B54/B53</f>
        <v>15.255420455901362</v>
      </c>
      <c r="D55" s="14" t="s">
        <v>98</v>
      </c>
      <c r="E55">
        <f>E54*E53</f>
        <v>60506.974999999999</v>
      </c>
    </row>
    <row r="56" spans="1:6" x14ac:dyDescent="0.25">
      <c r="A56" s="21" t="s">
        <v>48</v>
      </c>
      <c r="B56" s="22">
        <f>E50/B55</f>
        <v>36.87869512520485</v>
      </c>
      <c r="D56" s="26" t="s">
        <v>111</v>
      </c>
      <c r="E56">
        <f>E55/B49</f>
        <v>599.07896039603963</v>
      </c>
    </row>
    <row r="58" spans="1:6" x14ac:dyDescent="0.25">
      <c r="A58" s="17" t="s">
        <v>123</v>
      </c>
      <c r="D58" s="1" t="s">
        <v>50</v>
      </c>
    </row>
    <row r="59" spans="1:6" x14ac:dyDescent="0.25">
      <c r="A59" s="20" t="s">
        <v>110</v>
      </c>
      <c r="B59">
        <f>B51</f>
        <v>12</v>
      </c>
      <c r="D59" s="14" t="s">
        <v>52</v>
      </c>
      <c r="E59">
        <v>11.8</v>
      </c>
      <c r="F59" s="4" t="s">
        <v>9</v>
      </c>
    </row>
    <row r="60" spans="1:6" x14ac:dyDescent="0.25">
      <c r="A60" s="20" t="s">
        <v>118</v>
      </c>
      <c r="B60">
        <v>6</v>
      </c>
      <c r="C60" t="s">
        <v>121</v>
      </c>
      <c r="D60" s="14" t="s">
        <v>54</v>
      </c>
      <c r="E60">
        <v>130</v>
      </c>
      <c r="F60" s="4" t="s">
        <v>9</v>
      </c>
    </row>
    <row r="61" spans="1:6" x14ac:dyDescent="0.25">
      <c r="A61" s="20" t="s">
        <v>119</v>
      </c>
      <c r="B61">
        <f>B60*B50</f>
        <v>30</v>
      </c>
      <c r="D61" s="14" t="s">
        <v>89</v>
      </c>
      <c r="E61">
        <v>10.8</v>
      </c>
    </row>
    <row r="62" spans="1:6" x14ac:dyDescent="0.25">
      <c r="A62" s="20" t="s">
        <v>120</v>
      </c>
      <c r="B62">
        <f>B54/B61</f>
        <v>9.9846493399339931</v>
      </c>
    </row>
    <row r="63" spans="1:6" x14ac:dyDescent="0.25">
      <c r="A63" s="21" t="s">
        <v>48</v>
      </c>
      <c r="B63" s="22">
        <f>E61/B62</f>
        <v>1.0816604201416449</v>
      </c>
    </row>
    <row r="65" spans="1:5" x14ac:dyDescent="0.25">
      <c r="A65" s="17" t="s">
        <v>132</v>
      </c>
      <c r="D65" s="18" t="s">
        <v>126</v>
      </c>
    </row>
    <row r="66" spans="1:5" x14ac:dyDescent="0.25">
      <c r="A66" s="20" t="s">
        <v>124</v>
      </c>
      <c r="B66">
        <v>3000</v>
      </c>
      <c r="C66" t="s">
        <v>194</v>
      </c>
      <c r="D66" s="20" t="s">
        <v>141</v>
      </c>
      <c r="E66">
        <v>0.3</v>
      </c>
    </row>
    <row r="67" spans="1:5" x14ac:dyDescent="0.25">
      <c r="A67" s="20" t="s">
        <v>125</v>
      </c>
      <c r="B67">
        <f>B66/(E66*B50)</f>
        <v>2000</v>
      </c>
    </row>
    <row r="68" spans="1:5" x14ac:dyDescent="0.25">
      <c r="A68" s="20" t="s">
        <v>127</v>
      </c>
      <c r="B68">
        <v>0.3</v>
      </c>
      <c r="C68" t="s">
        <v>128</v>
      </c>
    </row>
    <row r="69" spans="1:5" x14ac:dyDescent="0.25">
      <c r="A69" s="20" t="s">
        <v>129</v>
      </c>
      <c r="B69">
        <f>B67*B68*B52</f>
        <v>1200</v>
      </c>
    </row>
    <row r="70" spans="1:5" x14ac:dyDescent="0.25">
      <c r="A70" s="21" t="s">
        <v>131</v>
      </c>
      <c r="B70" s="22">
        <f>B69/E56</f>
        <v>2.0030748521141568</v>
      </c>
    </row>
    <row r="72" spans="1:5" x14ac:dyDescent="0.25">
      <c r="A72" s="29" t="s">
        <v>160</v>
      </c>
    </row>
    <row r="73" spans="1:5" x14ac:dyDescent="0.25">
      <c r="A73" s="20" t="s">
        <v>167</v>
      </c>
      <c r="B73" s="30">
        <v>12</v>
      </c>
    </row>
    <row r="74" spans="1:5" x14ac:dyDescent="0.25">
      <c r="A74" s="20" t="s">
        <v>168</v>
      </c>
      <c r="B74" s="30">
        <v>6.6</v>
      </c>
    </row>
    <row r="75" spans="1:5" x14ac:dyDescent="0.25">
      <c r="A75" s="20" t="s">
        <v>169</v>
      </c>
      <c r="B75" s="30">
        <f>PI()*(B73^2-B74^2)/4</f>
        <v>78.885391531639698</v>
      </c>
    </row>
    <row r="76" spans="1:5" x14ac:dyDescent="0.25">
      <c r="A76" s="20" t="s">
        <v>82</v>
      </c>
      <c r="B76" s="30">
        <f>B67/B75</f>
        <v>25.353236653428173</v>
      </c>
    </row>
    <row r="77" spans="1:5" x14ac:dyDescent="0.25">
      <c r="A77" s="21" t="s">
        <v>159</v>
      </c>
      <c r="B77" s="31">
        <f>E61/B76</f>
        <v>0.42598111427085439</v>
      </c>
      <c r="C77" s="22" t="s">
        <v>171</v>
      </c>
    </row>
    <row r="78" spans="1:5" x14ac:dyDescent="0.25">
      <c r="A78" s="20" t="s">
        <v>170</v>
      </c>
      <c r="B78" s="30">
        <v>18</v>
      </c>
    </row>
    <row r="79" spans="1:5" x14ac:dyDescent="0.25">
      <c r="A79" s="20" t="s">
        <v>163</v>
      </c>
      <c r="B79" s="30">
        <f>B78*PI()*B73</f>
        <v>678.58401317539528</v>
      </c>
    </row>
    <row r="80" spans="1:5" x14ac:dyDescent="0.25">
      <c r="A80" s="20" t="s">
        <v>166</v>
      </c>
      <c r="B80" s="30">
        <f>B67/B79</f>
        <v>2.9473137609610252</v>
      </c>
    </row>
    <row r="81" spans="1:5" x14ac:dyDescent="0.25">
      <c r="A81" s="21" t="s">
        <v>161</v>
      </c>
      <c r="B81" s="31">
        <f>E59/B80</f>
        <v>4.0036456777348324</v>
      </c>
    </row>
    <row r="83" spans="1:5" x14ac:dyDescent="0.25">
      <c r="A83" s="18" t="s">
        <v>134</v>
      </c>
    </row>
    <row r="84" spans="1:5" x14ac:dyDescent="0.25">
      <c r="A84" s="17" t="s">
        <v>149</v>
      </c>
      <c r="D84" s="18" t="s">
        <v>114</v>
      </c>
    </row>
    <row r="85" spans="1:5" x14ac:dyDescent="0.25">
      <c r="A85" s="19" t="s">
        <v>109</v>
      </c>
      <c r="B85">
        <v>11.7</v>
      </c>
      <c r="D85" s="20" t="s">
        <v>116</v>
      </c>
      <c r="E85">
        <v>970</v>
      </c>
    </row>
    <row r="86" spans="1:5" x14ac:dyDescent="0.25">
      <c r="A86" s="20" t="s">
        <v>152</v>
      </c>
      <c r="B86">
        <v>5</v>
      </c>
      <c r="D86" s="20" t="s">
        <v>115</v>
      </c>
      <c r="E86">
        <f>0.58*E85</f>
        <v>562.59999999999991</v>
      </c>
    </row>
    <row r="87" spans="1:5" x14ac:dyDescent="0.25">
      <c r="A87" s="20" t="s">
        <v>110</v>
      </c>
      <c r="B87">
        <v>12</v>
      </c>
    </row>
    <row r="88" spans="1:5" x14ac:dyDescent="0.25">
      <c r="A88" s="20" t="s">
        <v>79</v>
      </c>
      <c r="B88">
        <v>2</v>
      </c>
      <c r="D88" s="1" t="s">
        <v>142</v>
      </c>
    </row>
    <row r="89" spans="1:5" x14ac:dyDescent="0.25">
      <c r="A89" s="20" t="s">
        <v>144</v>
      </c>
      <c r="B89">
        <f>PI()*B86^2/4</f>
        <v>19.634954084936208</v>
      </c>
      <c r="D89" s="14" t="s">
        <v>20</v>
      </c>
      <c r="E89">
        <f>E33</f>
        <v>242.02789999999999</v>
      </c>
    </row>
    <row r="90" spans="1:5" x14ac:dyDescent="0.25">
      <c r="A90" s="20" t="s">
        <v>145</v>
      </c>
      <c r="B90">
        <f>E91/B85/B88</f>
        <v>217.20452564102567</v>
      </c>
      <c r="D90" s="14" t="s">
        <v>143</v>
      </c>
      <c r="E90">
        <f>12+9</f>
        <v>21</v>
      </c>
    </row>
    <row r="91" spans="1:5" x14ac:dyDescent="0.25">
      <c r="A91" s="20" t="s">
        <v>147</v>
      </c>
      <c r="B91">
        <f>B90/B89</f>
        <v>11.06213565366386</v>
      </c>
      <c r="D91" s="26" t="s">
        <v>146</v>
      </c>
      <c r="E91">
        <f>E90*E89</f>
        <v>5082.5859</v>
      </c>
    </row>
    <row r="92" spans="1:5" x14ac:dyDescent="0.25">
      <c r="A92" s="21" t="s">
        <v>148</v>
      </c>
      <c r="B92" s="22">
        <f>E85/B91</f>
        <v>87.686503797187555</v>
      </c>
    </row>
    <row r="93" spans="1:5" x14ac:dyDescent="0.25">
      <c r="A93" s="27" t="s">
        <v>112</v>
      </c>
      <c r="B93" s="28">
        <f>E89/B88</f>
        <v>121.01394999999999</v>
      </c>
    </row>
    <row r="94" spans="1:5" x14ac:dyDescent="0.25">
      <c r="A94" s="27" t="s">
        <v>150</v>
      </c>
      <c r="B94" s="28">
        <f>B93/B89</f>
        <v>6.1631898641841492</v>
      </c>
    </row>
    <row r="95" spans="1:5" x14ac:dyDescent="0.25">
      <c r="A95" s="21" t="s">
        <v>151</v>
      </c>
      <c r="B95" s="22">
        <f>E86/B94</f>
        <v>91.283898824764492</v>
      </c>
    </row>
    <row r="96" spans="1:5" x14ac:dyDescent="0.25">
      <c r="A96" s="27" t="s">
        <v>165</v>
      </c>
      <c r="B96" s="28">
        <f>B90/B120</f>
        <v>0.29546302493760312</v>
      </c>
    </row>
    <row r="97" spans="1:5" x14ac:dyDescent="0.25">
      <c r="A97" s="21" t="s">
        <v>161</v>
      </c>
      <c r="B97" s="22">
        <f>E100/B96</f>
        <v>39.93731534594545</v>
      </c>
    </row>
    <row r="99" spans="1:5" x14ac:dyDescent="0.25">
      <c r="A99" s="17" t="s">
        <v>164</v>
      </c>
      <c r="D99" s="1" t="s">
        <v>50</v>
      </c>
    </row>
    <row r="100" spans="1:5" x14ac:dyDescent="0.25">
      <c r="A100" s="20" t="s">
        <v>110</v>
      </c>
      <c r="B100">
        <v>18</v>
      </c>
      <c r="D100" s="14" t="s">
        <v>52</v>
      </c>
      <c r="E100">
        <v>11.8</v>
      </c>
    </row>
    <row r="101" spans="1:5" x14ac:dyDescent="0.25">
      <c r="A101" s="20" t="s">
        <v>118</v>
      </c>
      <c r="B101">
        <v>6</v>
      </c>
      <c r="C101" t="s">
        <v>121</v>
      </c>
      <c r="D101" s="14" t="s">
        <v>54</v>
      </c>
      <c r="E101">
        <v>130</v>
      </c>
    </row>
    <row r="102" spans="1:5" x14ac:dyDescent="0.25">
      <c r="A102" s="20" t="s">
        <v>119</v>
      </c>
      <c r="B102">
        <f>B101*B86</f>
        <v>30</v>
      </c>
      <c r="D102" s="14" t="s">
        <v>89</v>
      </c>
      <c r="E102">
        <v>10.8</v>
      </c>
    </row>
    <row r="103" spans="1:5" x14ac:dyDescent="0.25">
      <c r="A103" s="20" t="s">
        <v>120</v>
      </c>
      <c r="B103">
        <f>B93/B102</f>
        <v>4.0337983333333334</v>
      </c>
    </row>
    <row r="104" spans="1:5" x14ac:dyDescent="0.25">
      <c r="A104" s="21" t="s">
        <v>48</v>
      </c>
      <c r="B104" s="22">
        <f>E102/B103</f>
        <v>2.6773772775783291</v>
      </c>
    </row>
    <row r="106" spans="1:5" x14ac:dyDescent="0.25">
      <c r="A106" s="17" t="s">
        <v>153</v>
      </c>
      <c r="D106" s="18" t="s">
        <v>126</v>
      </c>
    </row>
    <row r="107" spans="1:5" x14ac:dyDescent="0.25">
      <c r="A107" s="20" t="s">
        <v>124</v>
      </c>
      <c r="B107">
        <v>2000</v>
      </c>
      <c r="C107" t="s">
        <v>130</v>
      </c>
      <c r="D107" s="20" t="s">
        <v>141</v>
      </c>
      <c r="E107">
        <v>0.3</v>
      </c>
    </row>
    <row r="108" spans="1:5" x14ac:dyDescent="0.25">
      <c r="A108" s="20" t="s">
        <v>125</v>
      </c>
      <c r="B108">
        <f>B107/(E107*B86)</f>
        <v>1333.3333333333333</v>
      </c>
    </row>
    <row r="109" spans="1:5" x14ac:dyDescent="0.25">
      <c r="A109" s="20" t="s">
        <v>154</v>
      </c>
      <c r="B109">
        <v>0.3</v>
      </c>
      <c r="C109" t="s">
        <v>128</v>
      </c>
    </row>
    <row r="110" spans="1:5" x14ac:dyDescent="0.25">
      <c r="A110" s="20" t="s">
        <v>129</v>
      </c>
      <c r="B110">
        <f>B108*B109*B88</f>
        <v>799.99999999999989</v>
      </c>
    </row>
    <row r="111" spans="1:5" x14ac:dyDescent="0.25">
      <c r="A111" s="21" t="s">
        <v>131</v>
      </c>
      <c r="B111" s="22">
        <f>B110/B90</f>
        <v>3.6831645088379115</v>
      </c>
    </row>
    <row r="113" spans="1:3" x14ac:dyDescent="0.25">
      <c r="A113" s="29" t="s">
        <v>160</v>
      </c>
    </row>
    <row r="114" spans="1:3" x14ac:dyDescent="0.25">
      <c r="A114" s="20" t="s">
        <v>155</v>
      </c>
      <c r="B114" s="30">
        <v>13</v>
      </c>
    </row>
    <row r="115" spans="1:3" x14ac:dyDescent="0.25">
      <c r="A115" s="20" t="s">
        <v>156</v>
      </c>
      <c r="B115" s="30">
        <v>7.93</v>
      </c>
      <c r="C115" t="s">
        <v>158</v>
      </c>
    </row>
    <row r="116" spans="1:3" x14ac:dyDescent="0.25">
      <c r="A116" s="20" t="s">
        <v>157</v>
      </c>
      <c r="B116" s="30">
        <f>PI()*(B114^2-B115^2)/4</f>
        <v>83.342604648736568</v>
      </c>
    </row>
    <row r="117" spans="1:3" x14ac:dyDescent="0.25">
      <c r="A117" s="20" t="s">
        <v>82</v>
      </c>
      <c r="B117" s="30">
        <f>B108/B116</f>
        <v>15.998220105466141</v>
      </c>
    </row>
    <row r="118" spans="1:3" x14ac:dyDescent="0.25">
      <c r="A118" s="21" t="s">
        <v>159</v>
      </c>
      <c r="B118" s="31">
        <f>E102/B117</f>
        <v>0.67507509765476637</v>
      </c>
      <c r="C118" s="22" t="s">
        <v>171</v>
      </c>
    </row>
    <row r="119" spans="1:3" x14ac:dyDescent="0.25">
      <c r="A119" s="20" t="s">
        <v>162</v>
      </c>
      <c r="B119" s="30">
        <v>18</v>
      </c>
    </row>
    <row r="120" spans="1:3" x14ac:dyDescent="0.25">
      <c r="A120" s="20" t="s">
        <v>163</v>
      </c>
      <c r="B120" s="30">
        <f>B119*PI()*B114</f>
        <v>735.1326809400116</v>
      </c>
    </row>
    <row r="121" spans="1:3" x14ac:dyDescent="0.25">
      <c r="A121" s="20" t="s">
        <v>166</v>
      </c>
      <c r="B121" s="30">
        <f>B108/B120</f>
        <v>1.8137315452067844</v>
      </c>
    </row>
    <row r="122" spans="1:3" x14ac:dyDescent="0.25">
      <c r="A122" s="21" t="s">
        <v>161</v>
      </c>
      <c r="B122" s="31">
        <f>E100/B121</f>
        <v>6.5059242263191033</v>
      </c>
    </row>
  </sheetData>
  <hyperlinks>
    <hyperlink ref="F16" r:id="rId1"/>
    <hyperlink ref="F17" r:id="rId2"/>
    <hyperlink ref="F59" r:id="rId3"/>
    <hyperlink ref="F60" r:id="rId4"/>
  </hyperlinks>
  <pageMargins left="0.7" right="0.7" top="0.75" bottom="0.75" header="0.51180555555555496" footer="0.51180555555555496"/>
  <pageSetup firstPageNumber="0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3" sqref="E23"/>
    </sheetView>
  </sheetViews>
  <sheetFormatPr defaultRowHeight="15" x14ac:dyDescent="0.25"/>
  <cols>
    <col min="1" max="1" width="55.5703125" bestFit="1" customWidth="1"/>
    <col min="2" max="2" width="9.5703125" bestFit="1" customWidth="1"/>
  </cols>
  <sheetData>
    <row r="1" spans="1:3" x14ac:dyDescent="0.25">
      <c r="A1" t="s">
        <v>172</v>
      </c>
      <c r="B1">
        <v>0.25</v>
      </c>
    </row>
    <row r="2" spans="1:3" x14ac:dyDescent="0.25">
      <c r="A2" t="s">
        <v>173</v>
      </c>
      <c r="B2">
        <v>300</v>
      </c>
      <c r="C2" t="s">
        <v>174</v>
      </c>
    </row>
    <row r="3" spans="1:3" x14ac:dyDescent="0.25">
      <c r="A3" t="s">
        <v>175</v>
      </c>
      <c r="B3">
        <v>8.7799999999999994</v>
      </c>
    </row>
    <row r="4" spans="1:3" x14ac:dyDescent="0.25">
      <c r="A4" t="s">
        <v>176</v>
      </c>
      <c r="B4" s="13">
        <f>B3*9.81</f>
        <v>86.131799999999998</v>
      </c>
    </row>
    <row r="5" spans="1:3" x14ac:dyDescent="0.25">
      <c r="A5" t="s">
        <v>177</v>
      </c>
      <c r="B5" s="13">
        <f>ROUNDUP(398.17,1)</f>
        <v>398.20000000000005</v>
      </c>
      <c r="C5" t="s">
        <v>179</v>
      </c>
    </row>
    <row r="6" spans="1:3" x14ac:dyDescent="0.25">
      <c r="A6" t="s">
        <v>178</v>
      </c>
      <c r="B6">
        <f>structure!E7</f>
        <v>197</v>
      </c>
    </row>
    <row r="7" spans="1:3" x14ac:dyDescent="0.25">
      <c r="A7" t="s">
        <v>180</v>
      </c>
      <c r="B7">
        <v>500</v>
      </c>
    </row>
    <row r="8" spans="1:3" x14ac:dyDescent="0.25">
      <c r="A8" t="s">
        <v>181</v>
      </c>
      <c r="B8">
        <v>500</v>
      </c>
    </row>
    <row r="9" spans="1:3" x14ac:dyDescent="0.25">
      <c r="A9" t="s">
        <v>182</v>
      </c>
      <c r="B9">
        <v>250</v>
      </c>
    </row>
    <row r="10" spans="1:3" x14ac:dyDescent="0.25">
      <c r="A10" t="s">
        <v>183</v>
      </c>
      <c r="B10">
        <v>375</v>
      </c>
      <c r="C10" t="s">
        <v>192</v>
      </c>
    </row>
    <row r="11" spans="1:3" x14ac:dyDescent="0.25">
      <c r="A11" t="s">
        <v>186</v>
      </c>
      <c r="B11" s="13">
        <f>B6+B4</f>
        <v>283.1318</v>
      </c>
    </row>
    <row r="12" spans="1:3" x14ac:dyDescent="0.25">
      <c r="A12" t="s">
        <v>188</v>
      </c>
      <c r="B12" s="28">
        <v>500</v>
      </c>
    </row>
    <row r="13" spans="1:3" x14ac:dyDescent="0.25">
      <c r="A13" t="s">
        <v>187</v>
      </c>
      <c r="B13" s="32">
        <f>B1*(B6+B4)</f>
        <v>70.78295</v>
      </c>
    </row>
    <row r="15" spans="1:3" x14ac:dyDescent="0.25">
      <c r="A15" s="18" t="s">
        <v>190</v>
      </c>
    </row>
    <row r="16" spans="1:3" x14ac:dyDescent="0.25">
      <c r="A16" t="s">
        <v>184</v>
      </c>
      <c r="B16">
        <f>-B4*B9</f>
        <v>-21532.95</v>
      </c>
    </row>
    <row r="17" spans="1:2" x14ac:dyDescent="0.25">
      <c r="A17" t="s">
        <v>185</v>
      </c>
      <c r="B17">
        <f>-B6*B10</f>
        <v>-73875</v>
      </c>
    </row>
    <row r="18" spans="1:2" x14ac:dyDescent="0.25">
      <c r="A18" t="s">
        <v>189</v>
      </c>
      <c r="B18">
        <f>B11*B12</f>
        <v>141565.9</v>
      </c>
    </row>
    <row r="19" spans="1:2" x14ac:dyDescent="0.25">
      <c r="A19" t="s">
        <v>191</v>
      </c>
      <c r="B19" s="32">
        <f>SUM(B16:B18)/B5</f>
        <v>115.91649924660972</v>
      </c>
    </row>
    <row r="21" spans="1:2" x14ac:dyDescent="0.25">
      <c r="A21" s="22" t="s">
        <v>193</v>
      </c>
      <c r="B21" s="22">
        <f>B19/B13</f>
        <v>1.6376330634228966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G18" sqref="G18"/>
    </sheetView>
  </sheetViews>
  <sheetFormatPr defaultRowHeight="15" x14ac:dyDescent="0.25"/>
  <cols>
    <col min="1" max="1" width="47.5703125" bestFit="1" customWidth="1"/>
    <col min="2" max="2" width="9.5703125" bestFit="1" customWidth="1"/>
    <col min="3" max="3" width="88" bestFit="1" customWidth="1"/>
    <col min="5" max="5" width="48.85546875" bestFit="1" customWidth="1"/>
  </cols>
  <sheetData>
    <row r="1" spans="1:7" ht="15.75" thickBot="1" x14ac:dyDescent="0.3">
      <c r="A1" s="18" t="s">
        <v>228</v>
      </c>
      <c r="E1" s="55"/>
      <c r="F1" s="43"/>
      <c r="G1" s="43"/>
    </row>
    <row r="2" spans="1:7" x14ac:dyDescent="0.25">
      <c r="A2" s="33" t="s">
        <v>221</v>
      </c>
      <c r="B2" s="34"/>
      <c r="C2" s="35"/>
      <c r="E2" s="56"/>
      <c r="F2" s="37"/>
      <c r="G2" s="43"/>
    </row>
    <row r="3" spans="1:7" x14ac:dyDescent="0.25">
      <c r="A3" s="47" t="s">
        <v>207</v>
      </c>
      <c r="B3" s="37">
        <v>600</v>
      </c>
      <c r="C3" s="38" t="s">
        <v>220</v>
      </c>
      <c r="E3" s="56"/>
      <c r="F3" s="37"/>
      <c r="G3" s="43"/>
    </row>
    <row r="4" spans="1:7" x14ac:dyDescent="0.25">
      <c r="A4" s="47" t="s">
        <v>196</v>
      </c>
      <c r="B4" s="37">
        <v>2</v>
      </c>
      <c r="C4" s="38"/>
      <c r="E4" s="56"/>
      <c r="F4" s="37"/>
      <c r="G4" s="43"/>
    </row>
    <row r="5" spans="1:7" x14ac:dyDescent="0.25">
      <c r="A5" s="47" t="s">
        <v>205</v>
      </c>
      <c r="B5" s="37">
        <v>10</v>
      </c>
      <c r="C5" s="38"/>
      <c r="E5" s="56"/>
      <c r="F5" s="39"/>
      <c r="G5" s="43"/>
    </row>
    <row r="6" spans="1:7" x14ac:dyDescent="0.25">
      <c r="A6" s="47" t="s">
        <v>206</v>
      </c>
      <c r="B6" s="39">
        <v>0.25</v>
      </c>
      <c r="C6" s="38" t="s">
        <v>215</v>
      </c>
      <c r="E6" s="56"/>
      <c r="F6" s="39"/>
      <c r="G6" s="43"/>
    </row>
    <row r="7" spans="1:7" x14ac:dyDescent="0.25">
      <c r="A7" s="47" t="s">
        <v>208</v>
      </c>
      <c r="B7" s="39">
        <v>0.2</v>
      </c>
      <c r="C7" s="38"/>
      <c r="E7" s="56"/>
      <c r="F7" s="40"/>
      <c r="G7" s="43"/>
    </row>
    <row r="8" spans="1:7" x14ac:dyDescent="0.25">
      <c r="A8" s="47" t="s">
        <v>16</v>
      </c>
      <c r="B8" s="40">
        <f>structure!$E$24</f>
        <v>45.027900000000002</v>
      </c>
      <c r="C8" s="38"/>
      <c r="E8" s="56"/>
      <c r="F8" s="40"/>
      <c r="G8" s="43"/>
    </row>
    <row r="9" spans="1:7" x14ac:dyDescent="0.25">
      <c r="A9" s="47" t="s">
        <v>14</v>
      </c>
      <c r="B9" s="40">
        <f>structure!$E$23</f>
        <v>197</v>
      </c>
      <c r="C9" s="38"/>
      <c r="E9" s="56"/>
      <c r="F9" s="40"/>
      <c r="G9" s="43"/>
    </row>
    <row r="10" spans="1:7" x14ac:dyDescent="0.25">
      <c r="A10" s="47" t="s">
        <v>216</v>
      </c>
      <c r="B10" s="40">
        <f>B9+B8</f>
        <v>242.02789999999999</v>
      </c>
      <c r="C10" s="38"/>
      <c r="E10" s="56"/>
      <c r="F10" s="37"/>
      <c r="G10" s="43"/>
    </row>
    <row r="11" spans="1:7" x14ac:dyDescent="0.25">
      <c r="A11" s="47" t="s">
        <v>209</v>
      </c>
      <c r="B11" s="37">
        <v>100</v>
      </c>
      <c r="C11" s="38"/>
      <c r="E11" s="56"/>
      <c r="F11" s="40"/>
      <c r="G11" s="43"/>
    </row>
    <row r="12" spans="1:7" x14ac:dyDescent="0.25">
      <c r="A12" s="47" t="s">
        <v>210</v>
      </c>
      <c r="B12" s="40">
        <f>250</f>
        <v>250</v>
      </c>
      <c r="C12" s="38"/>
      <c r="E12" s="56"/>
      <c r="F12" s="40"/>
      <c r="G12" s="43"/>
    </row>
    <row r="13" spans="1:7" x14ac:dyDescent="0.25">
      <c r="A13" s="47" t="s">
        <v>211</v>
      </c>
      <c r="B13" s="40">
        <f>B12*B9/2</f>
        <v>24625</v>
      </c>
      <c r="C13" s="38"/>
      <c r="E13" s="56"/>
      <c r="F13" s="40"/>
      <c r="G13" s="43"/>
    </row>
    <row r="14" spans="1:7" x14ac:dyDescent="0.25">
      <c r="A14" s="47" t="s">
        <v>212</v>
      </c>
      <c r="B14" s="40">
        <f>B13/B11</f>
        <v>246.25</v>
      </c>
      <c r="C14" s="38"/>
      <c r="E14" s="56"/>
      <c r="F14" s="40"/>
      <c r="G14" s="43"/>
    </row>
    <row r="15" spans="1:7" x14ac:dyDescent="0.25">
      <c r="A15" s="47" t="s">
        <v>213</v>
      </c>
      <c r="B15" s="40">
        <f>B14*B7</f>
        <v>49.25</v>
      </c>
      <c r="C15" s="38"/>
      <c r="E15" s="56"/>
      <c r="F15" s="40"/>
      <c r="G15" s="43"/>
    </row>
    <row r="16" spans="1:7" x14ac:dyDescent="0.25">
      <c r="A16" s="47" t="s">
        <v>214</v>
      </c>
      <c r="B16" s="40">
        <f>B15*4</f>
        <v>197</v>
      </c>
      <c r="C16" s="38"/>
      <c r="E16" s="56"/>
      <c r="F16" s="40"/>
      <c r="G16" s="43"/>
    </row>
    <row r="17" spans="1:7" x14ac:dyDescent="0.25">
      <c r="A17" s="47" t="s">
        <v>217</v>
      </c>
      <c r="B17" s="40">
        <f>B16+B10</f>
        <v>439.02789999999999</v>
      </c>
      <c r="C17" s="38"/>
      <c r="E17" s="56"/>
      <c r="F17" s="41"/>
      <c r="G17" s="43"/>
    </row>
    <row r="18" spans="1:7" x14ac:dyDescent="0.25">
      <c r="A18" s="47" t="s">
        <v>204</v>
      </c>
      <c r="B18" s="41">
        <f>B3/(B6*B5)</f>
        <v>240</v>
      </c>
      <c r="C18" s="38"/>
      <c r="E18" s="56"/>
      <c r="F18" s="42"/>
      <c r="G18" s="43"/>
    </row>
    <row r="19" spans="1:7" x14ac:dyDescent="0.25">
      <c r="A19" s="47" t="s">
        <v>222</v>
      </c>
      <c r="B19" s="42" t="str">
        <f>IF(2*B18&gt;B17,"YES","NO")</f>
        <v>YES</v>
      </c>
      <c r="C19" s="38"/>
      <c r="E19" s="43"/>
      <c r="F19" s="43"/>
      <c r="G19" s="43"/>
    </row>
    <row r="20" spans="1:7" x14ac:dyDescent="0.25">
      <c r="A20" s="36"/>
      <c r="B20" s="43"/>
      <c r="C20" s="38"/>
      <c r="E20" s="43"/>
      <c r="F20" s="43"/>
      <c r="G20" s="43"/>
    </row>
    <row r="21" spans="1:7" x14ac:dyDescent="0.25">
      <c r="A21" s="44" t="s">
        <v>223</v>
      </c>
      <c r="B21" s="43"/>
      <c r="C21" s="38"/>
      <c r="E21" s="43"/>
      <c r="F21" s="43"/>
      <c r="G21" s="43"/>
    </row>
    <row r="22" spans="1:7" x14ac:dyDescent="0.25">
      <c r="A22" s="47" t="s">
        <v>197</v>
      </c>
      <c r="B22" s="37">
        <v>12</v>
      </c>
      <c r="C22" s="38" t="s">
        <v>224</v>
      </c>
      <c r="E22" s="43"/>
      <c r="F22" s="43"/>
      <c r="G22" s="43"/>
    </row>
    <row r="23" spans="1:7" x14ac:dyDescent="0.25">
      <c r="A23" s="47" t="s">
        <v>198</v>
      </c>
      <c r="B23" s="39">
        <v>0.5</v>
      </c>
      <c r="C23" s="38" t="s">
        <v>225</v>
      </c>
      <c r="E23" s="43"/>
      <c r="F23" s="43"/>
      <c r="G23" s="43"/>
    </row>
    <row r="24" spans="1:7" x14ac:dyDescent="0.25">
      <c r="A24" s="47" t="s">
        <v>203</v>
      </c>
      <c r="B24" s="40">
        <f>B23*B22</f>
        <v>6</v>
      </c>
      <c r="C24" s="38"/>
      <c r="E24" s="43"/>
      <c r="F24" s="43"/>
      <c r="G24" s="43"/>
    </row>
    <row r="25" spans="1:7" x14ac:dyDescent="0.25">
      <c r="A25" s="47" t="s">
        <v>199</v>
      </c>
      <c r="B25" s="39">
        <v>0.9</v>
      </c>
      <c r="C25" s="38" t="s">
        <v>226</v>
      </c>
      <c r="E25" s="43"/>
      <c r="F25" s="43"/>
      <c r="G25" s="43"/>
    </row>
    <row r="26" spans="1:7" x14ac:dyDescent="0.25">
      <c r="A26" s="47" t="s">
        <v>200</v>
      </c>
      <c r="B26" s="39">
        <v>0.3</v>
      </c>
      <c r="C26" s="38" t="s">
        <v>218</v>
      </c>
      <c r="E26" s="43"/>
      <c r="F26" s="43"/>
      <c r="G26" s="43"/>
    </row>
    <row r="27" spans="1:7" x14ac:dyDescent="0.25">
      <c r="A27" s="47" t="s">
        <v>201</v>
      </c>
      <c r="B27" s="41">
        <f>B26*B25</f>
        <v>0.27</v>
      </c>
      <c r="C27" s="38"/>
      <c r="E27" s="43"/>
      <c r="F27" s="43"/>
      <c r="G27" s="43"/>
    </row>
    <row r="28" spans="1:7" x14ac:dyDescent="0.25">
      <c r="A28" s="47" t="s">
        <v>202</v>
      </c>
      <c r="B28" s="41">
        <f>B24*B27</f>
        <v>1.62</v>
      </c>
      <c r="C28" s="38"/>
      <c r="E28" s="43"/>
      <c r="F28" s="43"/>
      <c r="G28" s="43"/>
    </row>
    <row r="29" spans="1:7" x14ac:dyDescent="0.25">
      <c r="A29" s="47" t="s">
        <v>219</v>
      </c>
      <c r="B29" s="40">
        <f>((B28*B4)/B17)*1000</f>
        <v>7.3799410014716615</v>
      </c>
      <c r="C29" s="38"/>
      <c r="E29" s="43"/>
      <c r="F29" s="43"/>
      <c r="G29" s="43"/>
    </row>
    <row r="30" spans="1:7" ht="15.75" thickBot="1" x14ac:dyDescent="0.3">
      <c r="A30" s="48" t="s">
        <v>227</v>
      </c>
      <c r="B30" s="45">
        <f>B29*60</f>
        <v>442.79646008829968</v>
      </c>
      <c r="C30" s="46"/>
      <c r="E30" s="43"/>
      <c r="F30" s="43"/>
      <c r="G30" s="43"/>
    </row>
    <row r="31" spans="1:7" x14ac:dyDescent="0.25">
      <c r="E31" s="43"/>
      <c r="F31" s="43"/>
      <c r="G31" s="43"/>
    </row>
    <row r="32" spans="1:7" x14ac:dyDescent="0.25">
      <c r="E32" s="43"/>
      <c r="F32" s="43"/>
      <c r="G32" s="43"/>
    </row>
    <row r="33" spans="5:7" x14ac:dyDescent="0.25">
      <c r="E33" s="43"/>
      <c r="F33" s="43"/>
      <c r="G33" s="43"/>
    </row>
    <row r="34" spans="5:7" x14ac:dyDescent="0.25">
      <c r="E34" s="43"/>
      <c r="F34" s="43"/>
      <c r="G34" s="43"/>
    </row>
    <row r="35" spans="5:7" x14ac:dyDescent="0.25">
      <c r="E35" s="43"/>
      <c r="F35" s="43"/>
      <c r="G35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4" workbookViewId="0">
      <selection activeCell="C5" sqref="C5"/>
    </sheetView>
  </sheetViews>
  <sheetFormatPr defaultRowHeight="15" x14ac:dyDescent="0.25"/>
  <cols>
    <col min="1" max="1" width="52.28515625" bestFit="1" customWidth="1"/>
  </cols>
  <sheetData>
    <row r="1" spans="1:3" ht="15.75" thickBot="1" x14ac:dyDescent="0.3">
      <c r="A1" s="18" t="s">
        <v>229</v>
      </c>
    </row>
    <row r="2" spans="1:3" x14ac:dyDescent="0.25">
      <c r="A2" s="49" t="s">
        <v>207</v>
      </c>
      <c r="B2" s="50">
        <v>600</v>
      </c>
    </row>
    <row r="3" spans="1:3" x14ac:dyDescent="0.25">
      <c r="A3" s="47" t="s">
        <v>196</v>
      </c>
      <c r="B3" s="51">
        <v>2</v>
      </c>
    </row>
    <row r="4" spans="1:3" x14ac:dyDescent="0.25">
      <c r="A4" s="47" t="s">
        <v>205</v>
      </c>
      <c r="B4" s="51">
        <v>10</v>
      </c>
    </row>
    <row r="5" spans="1:3" x14ac:dyDescent="0.25">
      <c r="A5" s="47" t="s">
        <v>206</v>
      </c>
      <c r="B5" s="58">
        <v>0.4278564505307334</v>
      </c>
      <c r="C5" t="s">
        <v>233</v>
      </c>
    </row>
    <row r="6" spans="1:3" x14ac:dyDescent="0.25">
      <c r="A6" s="47" t="s">
        <v>208</v>
      </c>
      <c r="B6" s="52">
        <v>0.2</v>
      </c>
    </row>
    <row r="7" spans="1:3" x14ac:dyDescent="0.25">
      <c r="A7" s="47" t="s">
        <v>16</v>
      </c>
      <c r="B7" s="53">
        <f>structure!$E$24</f>
        <v>45.027900000000002</v>
      </c>
    </row>
    <row r="8" spans="1:3" x14ac:dyDescent="0.25">
      <c r="A8" s="47" t="s">
        <v>14</v>
      </c>
      <c r="B8" s="53">
        <f>12*9.81</f>
        <v>117.72</v>
      </c>
      <c r="C8" t="s">
        <v>232</v>
      </c>
    </row>
    <row r="9" spans="1:3" x14ac:dyDescent="0.25">
      <c r="A9" s="47" t="s">
        <v>216</v>
      </c>
      <c r="B9" s="53">
        <f>B8+B7</f>
        <v>162.74790000000002</v>
      </c>
    </row>
    <row r="10" spans="1:3" x14ac:dyDescent="0.25">
      <c r="A10" s="47" t="s">
        <v>209</v>
      </c>
      <c r="B10" s="51">
        <v>100</v>
      </c>
    </row>
    <row r="11" spans="1:3" x14ac:dyDescent="0.25">
      <c r="A11" s="47" t="s">
        <v>210</v>
      </c>
      <c r="B11" s="53">
        <f>250</f>
        <v>250</v>
      </c>
    </row>
    <row r="12" spans="1:3" x14ac:dyDescent="0.25">
      <c r="A12" s="47" t="s">
        <v>211</v>
      </c>
      <c r="B12" s="53">
        <f>B11*B8/2</f>
        <v>14715</v>
      </c>
    </row>
    <row r="13" spans="1:3" x14ac:dyDescent="0.25">
      <c r="A13" s="47" t="s">
        <v>212</v>
      </c>
      <c r="B13" s="53">
        <f>B12/B10</f>
        <v>147.15</v>
      </c>
    </row>
    <row r="14" spans="1:3" x14ac:dyDescent="0.25">
      <c r="A14" s="47" t="s">
        <v>213</v>
      </c>
      <c r="B14" s="53">
        <f>B13*B6</f>
        <v>29.430000000000003</v>
      </c>
    </row>
    <row r="15" spans="1:3" x14ac:dyDescent="0.25">
      <c r="A15" s="47" t="s">
        <v>214</v>
      </c>
      <c r="B15" s="53">
        <f>B14*4</f>
        <v>117.72000000000001</v>
      </c>
    </row>
    <row r="16" spans="1:3" x14ac:dyDescent="0.25">
      <c r="A16" s="47" t="s">
        <v>217</v>
      </c>
      <c r="B16" s="53">
        <f>B15+B9</f>
        <v>280.46790000000004</v>
      </c>
    </row>
    <row r="17" spans="1:2" x14ac:dyDescent="0.25">
      <c r="A17" s="47" t="s">
        <v>204</v>
      </c>
      <c r="B17" s="54">
        <f>B2/(B5*B4)</f>
        <v>140.23394978753541</v>
      </c>
    </row>
    <row r="18" spans="1:2" ht="15.75" thickBot="1" x14ac:dyDescent="0.3">
      <c r="A18" s="48" t="s">
        <v>231</v>
      </c>
      <c r="B18" s="57">
        <f>(B17*2)-B16</f>
        <v>-4.249292260283255E-7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H35" sqref="H35"/>
    </sheetView>
  </sheetViews>
  <sheetFormatPr defaultRowHeight="15" x14ac:dyDescent="0.25"/>
  <cols>
    <col min="1" max="1" width="56.42578125" bestFit="1" customWidth="1"/>
  </cols>
  <sheetData>
    <row r="1" spans="1:3" ht="15.75" thickBot="1" x14ac:dyDescent="0.3">
      <c r="A1" s="18" t="s">
        <v>230</v>
      </c>
    </row>
    <row r="2" spans="1:3" x14ac:dyDescent="0.25">
      <c r="A2" s="49" t="s">
        <v>207</v>
      </c>
      <c r="B2" s="50">
        <v>600</v>
      </c>
    </row>
    <row r="3" spans="1:3" x14ac:dyDescent="0.25">
      <c r="A3" s="47" t="s">
        <v>196</v>
      </c>
      <c r="B3" s="51">
        <v>2</v>
      </c>
    </row>
    <row r="4" spans="1:3" x14ac:dyDescent="0.25">
      <c r="A4" s="47" t="s">
        <v>205</v>
      </c>
      <c r="B4" s="51">
        <v>10</v>
      </c>
    </row>
    <row r="5" spans="1:3" x14ac:dyDescent="0.25">
      <c r="A5" s="47" t="s">
        <v>206</v>
      </c>
      <c r="B5" s="52">
        <v>0.25</v>
      </c>
    </row>
    <row r="6" spans="1:3" x14ac:dyDescent="0.25">
      <c r="A6" s="47" t="s">
        <v>208</v>
      </c>
      <c r="B6" s="59">
        <v>0.53899439517499137</v>
      </c>
      <c r="C6" t="s">
        <v>233</v>
      </c>
    </row>
    <row r="7" spans="1:3" x14ac:dyDescent="0.25">
      <c r="A7" s="47" t="s">
        <v>16</v>
      </c>
      <c r="B7" s="53">
        <f>structure!$E$24</f>
        <v>45.027900000000002</v>
      </c>
    </row>
    <row r="8" spans="1:3" x14ac:dyDescent="0.25">
      <c r="A8" s="47" t="s">
        <v>14</v>
      </c>
      <c r="B8" s="53">
        <f>12*9.81</f>
        <v>117.72</v>
      </c>
      <c r="C8" t="s">
        <v>234</v>
      </c>
    </row>
    <row r="9" spans="1:3" x14ac:dyDescent="0.25">
      <c r="A9" s="47" t="s">
        <v>216</v>
      </c>
      <c r="B9" s="53">
        <f>B8+B7</f>
        <v>162.74790000000002</v>
      </c>
    </row>
    <row r="10" spans="1:3" x14ac:dyDescent="0.25">
      <c r="A10" s="47" t="s">
        <v>209</v>
      </c>
      <c r="B10" s="51">
        <v>100</v>
      </c>
    </row>
    <row r="11" spans="1:3" x14ac:dyDescent="0.25">
      <c r="A11" s="47" t="s">
        <v>210</v>
      </c>
      <c r="B11" s="53">
        <f>250</f>
        <v>250</v>
      </c>
    </row>
    <row r="12" spans="1:3" x14ac:dyDescent="0.25">
      <c r="A12" s="47" t="s">
        <v>211</v>
      </c>
      <c r="B12" s="53">
        <f>B11*B8/2</f>
        <v>14715</v>
      </c>
    </row>
    <row r="13" spans="1:3" x14ac:dyDescent="0.25">
      <c r="A13" s="47" t="s">
        <v>212</v>
      </c>
      <c r="B13" s="53">
        <f>B12/B10</f>
        <v>147.15</v>
      </c>
    </row>
    <row r="14" spans="1:3" x14ac:dyDescent="0.25">
      <c r="A14" s="47" t="s">
        <v>213</v>
      </c>
      <c r="B14" s="53">
        <f>B13*B6</f>
        <v>79.313025249999981</v>
      </c>
    </row>
    <row r="15" spans="1:3" x14ac:dyDescent="0.25">
      <c r="A15" s="47" t="s">
        <v>214</v>
      </c>
      <c r="B15" s="53">
        <f>B14*4</f>
        <v>317.25210099999993</v>
      </c>
    </row>
    <row r="16" spans="1:3" x14ac:dyDescent="0.25">
      <c r="A16" s="47" t="s">
        <v>217</v>
      </c>
      <c r="B16" s="53">
        <f>B15+B9</f>
        <v>480.00000099999994</v>
      </c>
    </row>
    <row r="17" spans="1:2" x14ac:dyDescent="0.25">
      <c r="A17" s="47" t="s">
        <v>204</v>
      </c>
      <c r="B17" s="54">
        <f>B2/(B5*B4)</f>
        <v>240</v>
      </c>
    </row>
    <row r="18" spans="1:2" ht="15.75" thickBot="1" x14ac:dyDescent="0.3">
      <c r="A18" s="48" t="s">
        <v>231</v>
      </c>
      <c r="B18" s="57">
        <f>(B17*2)-B16</f>
        <v>-9.9999994063182385E-7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joints and bearings</vt:lpstr>
      <vt:lpstr>tip vs. slip</vt:lpstr>
      <vt:lpstr>actuator</vt:lpstr>
      <vt:lpstr>actuator_diag-ls-friction</vt:lpstr>
      <vt:lpstr>actuator-diag-slider-friction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2017-05-23T00:24:41Z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