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06"/>
  <workbookPr date1904="1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052\"/>
    </mc:Choice>
  </mc:AlternateContent>
  <xr:revisionPtr revIDLastSave="0" documentId="8_{5E8CE899-88F5-4BDD-9505-47D6E81B4F73}" xr6:coauthVersionLast="14" xr6:coauthVersionMax="14" xr10:uidLastSave="{00000000-0000-0000-0000-000000000000}"/>
  <bookViews>
    <workbookView xWindow="1305" yWindow="0" windowWidth="21840" windowHeight="13740" xr2:uid="{00000000-000D-0000-FFFF-FFFF00000000}"/>
  </bookViews>
  <sheets>
    <sheet name="Couplng.xls" sheetId="1" r:id="rId1"/>
  </sheets>
  <definedNames>
    <definedName name="a">Couplng.xls!$H$31</definedName>
    <definedName name="Aba">Couplng.xls!$B$71</definedName>
    <definedName name="Abb">Couplng.xls!$D$71</definedName>
    <definedName name="Abc">Couplng.xls!$B$96</definedName>
    <definedName name="Abd">Couplng.xls!$D$96</definedName>
    <definedName name="Abe">Couplng.xls!$B$121</definedName>
    <definedName name="Abf">Couplng.xls!$D$121</definedName>
    <definedName name="AbthreeN">Couplng.xls!#REF!</definedName>
    <definedName name="AbthreeO">Couplng.xls!$D$206</definedName>
    <definedName name="AbtwoN">Couplng.xls!#REF!</definedName>
    <definedName name="AbtwoO">Couplng.xls!$D$205</definedName>
    <definedName name="alpha_1">Couplng.xls!$B$87</definedName>
    <definedName name="alpha_2">Couplng.xls!$B$112</definedName>
    <definedName name="alpha_3">Couplng.xls!$B$137</definedName>
    <definedName name="Alumina">Couplng.xls!$G$7</definedName>
    <definedName name="AmthreeN">Couplng.xls!#REF!</definedName>
    <definedName name="AmthreeO">Couplng.xls!$B$206</definedName>
    <definedName name="AmtwoN">Couplng.xls!#REF!</definedName>
    <definedName name="AmtwoO">Couplng.xls!$B$205</definedName>
    <definedName name="Angone">Couplng.xls!$B$193</definedName>
    <definedName name="AngoneN">Couplng.xls!$B$197</definedName>
    <definedName name="Angthree">Couplng.xls!$B$195</definedName>
    <definedName name="AngthreeN">Couplng.xls!$B$199</definedName>
    <definedName name="Angtwo">Couplng.xls!$B$194</definedName>
    <definedName name="AngtwoN">Couplng.xls!$B$198</definedName>
    <definedName name="Aone">Couplng.xls!$E$193</definedName>
    <definedName name="Aot">Couplng.xls!$E$197</definedName>
    <definedName name="AotN">Couplng.xls!$B$201</definedName>
    <definedName name="Athree">Couplng.xls!$E$195</definedName>
    <definedName name="Ato">Couplng.xls!$E$199</definedName>
    <definedName name="AtoN">Couplng.xls!$B$203</definedName>
    <definedName name="Att">Couplng.xls!$E$198</definedName>
    <definedName name="AttN">Couplng.xls!$B$202</definedName>
    <definedName name="Atwo">Couplng.xls!$E$194</definedName>
    <definedName name="Bba">Couplng.xls!$B$72</definedName>
    <definedName name="Bbb">Couplng.xls!$D$72</definedName>
    <definedName name="Bbc">Couplng.xls!$B$97</definedName>
    <definedName name="Bbd">Couplng.xls!$D$97</definedName>
    <definedName name="Bbe">Couplng.xls!$B$122</definedName>
    <definedName name="Bbf">Couplng.xls!$D$122</definedName>
    <definedName name="beta_1">Couplng.xls!$B$88</definedName>
    <definedName name="beta_2">Couplng.xls!$B$113</definedName>
    <definedName name="beta_3">Couplng.xls!$B$138</definedName>
    <definedName name="_xlnm.Print_Area" localSheetId="0">Couplng.xls!$A$1:$H$224</definedName>
    <definedName name="Costheta">Couplng.xls!$B$12</definedName>
    <definedName name="Daone">Couplng.xls!$B$83</definedName>
    <definedName name="Dathree">Couplng.xls!$B$133</definedName>
    <definedName name="Datwo">Couplng.xls!$B$108</definedName>
    <definedName name="Dball">Couplng.xls!$B$65</definedName>
    <definedName name="Dbeq">Couplng.xls!$B$8</definedName>
    <definedName name="Dbone">Couplng.xls!$B$81</definedName>
    <definedName name="Dbthree">Couplng.xls!$B$131</definedName>
    <definedName name="Dbtwo">Couplng.xls!$B$106</definedName>
    <definedName name="Dcone">Couplng.xls!$D$189</definedName>
    <definedName name="Dcoup">Couplng.xls!$B$13</definedName>
    <definedName name="Dcoupling">Couplng.xls!$B$66</definedName>
    <definedName name="Dcthree">Couplng.xls!$D$191</definedName>
    <definedName name="Dctwo">Couplng.xls!$D$190</definedName>
    <definedName name="delfive">Couplng.xls!$G$48</definedName>
    <definedName name="delfour">Couplng.xls!$G$46</definedName>
    <definedName name="delone">Couplng.xls!$G$42</definedName>
    <definedName name="delsix">Couplng.xls!$G$49</definedName>
    <definedName name="DeltaX">Couplng.xls!$B$221</definedName>
    <definedName name="DeltaY">Couplng.xls!$B$222</definedName>
    <definedName name="DeltaZ">Couplng.xls!$B$223</definedName>
    <definedName name="delthree">Couplng.xls!$G$45</definedName>
    <definedName name="deltwo">Couplng.xls!$G$43</definedName>
    <definedName name="DLotI">Couplng.xls!$F$179</definedName>
    <definedName name="DLtoI">Couplng.xls!$F$181</definedName>
    <definedName name="DLttI">Couplng.xls!$F$180</definedName>
    <definedName name="Dpin">Couplng.xls!$B$65</definedName>
    <definedName name="Dpinarch">Couplng.xls!$B$10</definedName>
    <definedName name="Dpone">Couplng.xls!$B$82</definedName>
    <definedName name="Dpthree">Couplng.xls!$B$132</definedName>
    <definedName name="Dptwo">Couplng.xls!$B$107</definedName>
    <definedName name="dxc">Couplng.xls!$F$189</definedName>
    <definedName name="dxone">Couplng.xls!$B$174</definedName>
    <definedName name="dxthree">Couplng.xls!$F$174</definedName>
    <definedName name="dxtwo">Couplng.xls!$D$174</definedName>
    <definedName name="dyc">Couplng.xls!$F$190</definedName>
    <definedName name="dyone">Couplng.xls!$B$175</definedName>
    <definedName name="dythree">Couplng.xls!$F$175</definedName>
    <definedName name="dytwo">Couplng.xls!$D$175</definedName>
    <definedName name="dzc">Couplng.xls!$F$191</definedName>
    <definedName name="dzone">Couplng.xls!$B$176</definedName>
    <definedName name="dzthree">Couplng.xls!$F$176</definedName>
    <definedName name="dztwo">Couplng.xls!$D$176</definedName>
    <definedName name="EAlumina">Couplng.xls!$G$12</definedName>
    <definedName name="Ebone">Couplng.xls!$B$78</definedName>
    <definedName name="Ebthree">Couplng.xls!$B$128</definedName>
    <definedName name="Ebtwo">Couplng.xls!$B$103</definedName>
    <definedName name="Eeone">Couplng.xls!$B$80</definedName>
    <definedName name="Eethree">Couplng.xls!$B$130</definedName>
    <definedName name="Eetwo">Couplng.xls!$B$105</definedName>
    <definedName name="Egone">Couplng.xls!$B$75</definedName>
    <definedName name="Egthree">Couplng.xls!$B$125</definedName>
    <definedName name="Egtwo">Couplng.xls!$B$100</definedName>
    <definedName name="Eother_4">Couplng.xls!$G$15</definedName>
    <definedName name="Eplastic">Couplng.xls!$G$12</definedName>
    <definedName name="EpsX">Couplng.xls!$B$212</definedName>
    <definedName name="EpsY">Couplng.xls!$B$213</definedName>
    <definedName name="EpsZ">Couplng.xls!$B$214</definedName>
    <definedName name="ESiN">Couplng.xls!$G$14</definedName>
    <definedName name="ESteel">Couplng.xls!$G$13</definedName>
    <definedName name="fbnfive">Couplng.xls!$B$163</definedName>
    <definedName name="fbnfour">Couplng.xls!$B$162</definedName>
    <definedName name="fbnone">Couplng.xls!$B$159</definedName>
    <definedName name="fbnsix">Couplng.xls!$B$164</definedName>
    <definedName name="fbnthree">Couplng.xls!$B$161</definedName>
    <definedName name="fbntwo">Couplng.xls!$B$160</definedName>
    <definedName name="ffive">Couplng.xls!$D$163</definedName>
    <definedName name="ffour">Couplng.xls!$D$162</definedName>
    <definedName name="FLx">Couplng.xls!$B$31</definedName>
    <definedName name="FLy">Couplng.xls!$B$32</definedName>
    <definedName name="FLz">Couplng.xls!$B$33</definedName>
    <definedName name="fone">Couplng.xls!$D$159</definedName>
    <definedName name="Fpreload">Couplng.xls!$B$14</definedName>
    <definedName name="Fpxone">Couplng.xls!$B$142</definedName>
    <definedName name="Fpxthree">Couplng.xls!$F$142</definedName>
    <definedName name="Fpxtwo">Couplng.xls!$D$142</definedName>
    <definedName name="Fpyone">Couplng.xls!$B$143</definedName>
    <definedName name="Fpythree">Couplng.xls!$F$143</definedName>
    <definedName name="Fpytwo">Couplng.xls!$D$143</definedName>
    <definedName name="Fpzone">Couplng.xls!$B$144</definedName>
    <definedName name="Fpzthree">Couplng.xls!$F$144</definedName>
    <definedName name="Fpztwo">Couplng.xls!$D$144</definedName>
    <definedName name="fsix">Couplng.xls!$D$164</definedName>
    <definedName name="fthree">Couplng.xls!$D$161</definedName>
    <definedName name="ftwo">Couplng.xls!$D$160</definedName>
    <definedName name="Gba">Couplng.xls!$B$73</definedName>
    <definedName name="Gbb">Couplng.xls!$D$73</definedName>
    <definedName name="Gbc">Couplng.xls!$B$98</definedName>
    <definedName name="Gbd">Couplng.xls!$D$98</definedName>
    <definedName name="Gbe">Couplng.xls!$B$123</definedName>
    <definedName name="Gbf">Couplng.xls!$D$123</definedName>
    <definedName name="lambda_1">Couplng.xls!$B$89</definedName>
    <definedName name="lambda_2">Couplng.xls!$B$114</definedName>
    <definedName name="lambda_3">Couplng.xls!$B$139</definedName>
    <definedName name="LotI">Couplng.xls!$B$179</definedName>
    <definedName name="LotN">Couplng.xls!$D$179</definedName>
    <definedName name="LtoI">Couplng.xls!$B$181</definedName>
    <definedName name="LtoN">Couplng.xls!$D$181</definedName>
    <definedName name="LttI">Couplng.xls!$B$180</definedName>
    <definedName name="LttN">Couplng.xls!$D$180</definedName>
    <definedName name="Matlab">Couplng.xls!$B$19</definedName>
    <definedName name="matlabball">Couplng.xls!$B$19</definedName>
    <definedName name="matlabgroove">Couplng.xls!$B$20</definedName>
    <definedName name="Mone">Couplng.xls!$E$193</definedName>
    <definedName name="Mthree">Couplng.xls!$E$195</definedName>
    <definedName name="Mtwo">Couplng.xls!$E$194</definedName>
    <definedName name="Nylon">Couplng.xls!$G$7</definedName>
    <definedName name="Other_4">Couplng.xls!$G$10</definedName>
    <definedName name="plastic">Couplng.xls!$G$7</definedName>
    <definedName name="Raone">Couplng.xls!$B$83</definedName>
    <definedName name="Rathree">Couplng.xls!$B$133</definedName>
    <definedName name="Ratwo">Couplng.xls!$B$108</definedName>
    <definedName name="Rbmajor">Couplng.xls!$B$10</definedName>
    <definedName name="Rbminor">Couplng.xls!$B$9</definedName>
    <definedName name="Reone">Couplng.xls!$B$84</definedName>
    <definedName name="Rethree">Couplng.xls!$B$134</definedName>
    <definedName name="Retwo">Couplng.xls!$B$109</definedName>
    <definedName name="Rgone">Couplng.xls!$B$77</definedName>
    <definedName name="Rgroove">Couplng.xls!$B$11</definedName>
    <definedName name="Rgthree">Couplng.xls!$B$127</definedName>
    <definedName name="Rgtwo">Couplng.xls!$B$102</definedName>
    <definedName name="Rpone">Couplng.xls!$B$82</definedName>
    <definedName name="Rpthree">Couplng.xls!$B$132</definedName>
    <definedName name="Rptwo">Couplng.xls!$B$107</definedName>
    <definedName name="SiN">Couplng.xls!$G$9</definedName>
    <definedName name="Sone">Couplng.xls!$B$90</definedName>
    <definedName name="Steel">Couplng.xls!$G$8</definedName>
    <definedName name="Sthree">Couplng.xls!$B$140</definedName>
    <definedName name="Stwo">Couplng.xls!$B$115</definedName>
    <definedName name="theta_1">Couplng.xls!$B$86</definedName>
    <definedName name="theta_2">Couplng.xls!$B$111</definedName>
    <definedName name="theta_3">Couplng.xls!$B$136</definedName>
    <definedName name="Tot">Couplng.xls!$B$210</definedName>
    <definedName name="Tto">Couplng.xls!$B$209</definedName>
    <definedName name="Ttt">Couplng.xls!$B$208</definedName>
    <definedName name="vAlumina">Couplng.xls!$G$17</definedName>
    <definedName name="vbone">Couplng.xls!$B$79</definedName>
    <definedName name="vbthree">Couplng.xls!$B$129</definedName>
    <definedName name="vbtwo">Couplng.xls!$B$104</definedName>
    <definedName name="vgone">Couplng.xls!$B$76</definedName>
    <definedName name="vgthree">Couplng.xls!$B$126</definedName>
    <definedName name="vgtwo">Couplng.xls!$B$101</definedName>
    <definedName name="vother_4">Couplng.xls!$G$20</definedName>
    <definedName name="vplastic">Couplng.xls!$G$17</definedName>
    <definedName name="vSiN">Couplng.xls!$G$19</definedName>
    <definedName name="vSteel">Couplng.xls!$G$18</definedName>
    <definedName name="Xba">Couplng.xls!$B$68</definedName>
    <definedName name="Xbb">Couplng.xls!$D$68</definedName>
    <definedName name="Xbc">Couplng.xls!$B$93</definedName>
    <definedName name="Xbd">Couplng.xls!$D$93</definedName>
    <definedName name="Xbe">Couplng.xls!$B$118</definedName>
    <definedName name="Xbf">Couplng.xls!$D$118</definedName>
    <definedName name="xboneN">Couplng.xls!$B$170</definedName>
    <definedName name="xboneO">Couplng.xls!$B$166</definedName>
    <definedName name="xbthreeN">Couplng.xls!$F$170</definedName>
    <definedName name="xbthreeO">Couplng.xls!$F$166</definedName>
    <definedName name="xbtwoN">Couplng.xls!$D$170</definedName>
    <definedName name="xbtwoO">Couplng.xls!$D$166</definedName>
    <definedName name="xci">Couplng.xls!$B$189</definedName>
    <definedName name="xcn">Couplng.xls!$D$189</definedName>
    <definedName name="Xerr">Couplng.xls!$B$15</definedName>
    <definedName name="XL">Couplng.xls!$I$31</definedName>
    <definedName name="xpone">Couplng.xls!$B$145</definedName>
    <definedName name="xpthree">Couplng.xls!$F$145</definedName>
    <definedName name="xptwo">Couplng.xls!$D$145</definedName>
    <definedName name="Yba">Couplng.xls!$B$69</definedName>
    <definedName name="Ybb">Couplng.xls!$D$69</definedName>
    <definedName name="Ybc">Couplng.xls!$B$94</definedName>
    <definedName name="Ybd">Couplng.xls!$D$94</definedName>
    <definedName name="Ybe">Couplng.xls!$B$119</definedName>
    <definedName name="Ybf">Couplng.xls!$D$119</definedName>
    <definedName name="yboneN">Couplng.xls!$B$171</definedName>
    <definedName name="yboneO">Couplng.xls!$B$167</definedName>
    <definedName name="ybthreeN">Couplng.xls!$F$171</definedName>
    <definedName name="ybthreeO">Couplng.xls!$F$167</definedName>
    <definedName name="ybtwoN">Couplng.xls!$D$171</definedName>
    <definedName name="ybtwoO">Couplng.xls!$D$167</definedName>
    <definedName name="yci">Couplng.xls!$B$190</definedName>
    <definedName name="ycn">Couplng.xls!$D$190</definedName>
    <definedName name="Yerr">Couplng.xls!$B$16</definedName>
    <definedName name="YL">Couplng.xls!$I$32</definedName>
    <definedName name="ypone">Couplng.xls!$B$146</definedName>
    <definedName name="ypthree">Couplng.xls!$F$146</definedName>
    <definedName name="yptwo">Couplng.xls!$D$146</definedName>
    <definedName name="Zba">Couplng.xls!$B$70</definedName>
    <definedName name="Zbb">Couplng.xls!$D$70</definedName>
    <definedName name="Zbc">Couplng.xls!$B$95</definedName>
    <definedName name="Zbd">Couplng.xls!$D$95</definedName>
    <definedName name="Zbe">Couplng.xls!$B$120</definedName>
    <definedName name="Zbf">Couplng.xls!$D$120</definedName>
    <definedName name="zboneN">Couplng.xls!$B$172</definedName>
    <definedName name="zboneO">Couplng.xls!$B$168</definedName>
    <definedName name="zbthreeN">Couplng.xls!$F$172</definedName>
    <definedName name="zbthreeO">Couplng.xls!$F$168</definedName>
    <definedName name="zbtwoN">Couplng.xls!$D$172</definedName>
    <definedName name="zbtwoO">Couplng.xls!$D$168</definedName>
    <definedName name="zci">Couplng.xls!$B$191</definedName>
    <definedName name="zcn">Couplng.xls!$D$191</definedName>
    <definedName name="Zerr">Couplng.xls!$B$17</definedName>
    <definedName name="ZL">Couplng.xls!$I$33</definedName>
    <definedName name="zpone">Couplng.xls!$B$147</definedName>
    <definedName name="zpthree">Couplng.xls!$F$147</definedName>
    <definedName name="zptwo">Couplng.xls!$D$147</definedName>
  </definedNames>
  <calcPr calcId="171026" concurrentCalc="0"/>
</workbook>
</file>

<file path=xl/calcChain.xml><?xml version="1.0" encoding="utf-8"?>
<calcChain xmlns="http://schemas.openxmlformats.org/spreadsheetml/2006/main">
  <c r="B11" i="1" l="1"/>
  <c r="B13" i="1"/>
  <c r="B79" i="1"/>
  <c r="B78" i="1"/>
  <c r="B76" i="1"/>
  <c r="B75" i="1"/>
  <c r="B80" i="1"/>
  <c r="B77" i="1"/>
  <c r="B9" i="1"/>
  <c r="B10" i="1"/>
  <c r="B82" i="1"/>
  <c r="B83" i="1"/>
  <c r="B84" i="1"/>
  <c r="B85" i="1"/>
  <c r="B86" i="1"/>
  <c r="B88" i="1"/>
  <c r="B105" i="1"/>
  <c r="B102" i="1"/>
  <c r="B107" i="1"/>
  <c r="B108" i="1"/>
  <c r="B109" i="1"/>
  <c r="B110" i="1"/>
  <c r="B111" i="1"/>
  <c r="B113" i="1"/>
  <c r="B130" i="1"/>
  <c r="B127" i="1"/>
  <c r="B132" i="1"/>
  <c r="B133" i="1"/>
  <c r="B134" i="1"/>
  <c r="B135" i="1"/>
  <c r="B136" i="1"/>
  <c r="B138" i="1"/>
  <c r="B144" i="1"/>
  <c r="D144" i="1"/>
  <c r="F144" i="1"/>
  <c r="I154" i="1"/>
  <c r="B143" i="1"/>
  <c r="B65" i="1"/>
  <c r="B147" i="1"/>
  <c r="D143" i="1"/>
  <c r="D147" i="1"/>
  <c r="F143" i="1"/>
  <c r="F147" i="1"/>
  <c r="B66" i="1"/>
  <c r="B146" i="1"/>
  <c r="D146" i="1"/>
  <c r="F146" i="1"/>
  <c r="I155" i="1"/>
  <c r="B142" i="1"/>
  <c r="D142" i="1"/>
  <c r="F142" i="1"/>
  <c r="B145" i="1"/>
  <c r="D145" i="1"/>
  <c r="F145" i="1"/>
  <c r="I156" i="1"/>
  <c r="B89" i="1"/>
  <c r="B114" i="1"/>
  <c r="B139" i="1"/>
  <c r="H154" i="1"/>
  <c r="D33" i="1"/>
  <c r="I33" i="1"/>
  <c r="I32" i="1"/>
  <c r="H155" i="1"/>
  <c r="I31" i="1"/>
  <c r="H156" i="1"/>
  <c r="H153" i="1"/>
  <c r="H157" i="1"/>
  <c r="B68" i="1"/>
  <c r="D68" i="1"/>
  <c r="B81" i="1"/>
  <c r="B71" i="1"/>
  <c r="D71" i="1"/>
  <c r="B166" i="1"/>
  <c r="B69" i="1"/>
  <c r="D69" i="1"/>
  <c r="B72" i="1"/>
  <c r="D72" i="1"/>
  <c r="B167" i="1"/>
  <c r="B70" i="1"/>
  <c r="D70" i="1"/>
  <c r="B73" i="1"/>
  <c r="D73" i="1"/>
  <c r="B168" i="1"/>
  <c r="B93" i="1"/>
  <c r="D93" i="1"/>
  <c r="B106" i="1"/>
  <c r="B96" i="1"/>
  <c r="D96" i="1"/>
  <c r="D166" i="1"/>
  <c r="B94" i="1"/>
  <c r="D94" i="1"/>
  <c r="B97" i="1"/>
  <c r="D97" i="1"/>
  <c r="D167" i="1"/>
  <c r="B95" i="1"/>
  <c r="D95" i="1"/>
  <c r="B98" i="1"/>
  <c r="D98" i="1"/>
  <c r="D168" i="1"/>
  <c r="B118" i="1"/>
  <c r="D118" i="1"/>
  <c r="B131" i="1"/>
  <c r="B121" i="1"/>
  <c r="D121" i="1"/>
  <c r="F166" i="1"/>
  <c r="B119" i="1"/>
  <c r="D119" i="1"/>
  <c r="B122" i="1"/>
  <c r="D122" i="1"/>
  <c r="F167" i="1"/>
  <c r="B120" i="1"/>
  <c r="D120" i="1"/>
  <c r="B123" i="1"/>
  <c r="D123" i="1"/>
  <c r="F168" i="1"/>
  <c r="B112" i="1"/>
  <c r="B87" i="1"/>
  <c r="B191" i="1"/>
  <c r="F33" i="1"/>
  <c r="E198" i="1"/>
  <c r="B181" i="1"/>
  <c r="B179" i="1"/>
  <c r="B180" i="1"/>
  <c r="B194" i="1"/>
  <c r="B205" i="1"/>
  <c r="E199" i="1"/>
  <c r="B195" i="1"/>
  <c r="B206" i="1"/>
  <c r="D206" i="1"/>
  <c r="D205" i="1"/>
  <c r="B189" i="1"/>
  <c r="B190" i="1"/>
  <c r="F32" i="1"/>
  <c r="F31" i="1"/>
  <c r="F218" i="1"/>
  <c r="F217" i="1"/>
  <c r="F216" i="1"/>
  <c r="F54" i="1"/>
  <c r="E54" i="1"/>
  <c r="D54" i="1"/>
  <c r="B104" i="1"/>
  <c r="G12" i="1"/>
  <c r="B103" i="1"/>
  <c r="B101" i="1"/>
  <c r="B100" i="1"/>
  <c r="G7" i="1"/>
  <c r="B115" i="1"/>
  <c r="B125" i="1"/>
  <c r="B126" i="1"/>
  <c r="B128" i="1"/>
  <c r="B129" i="1"/>
  <c r="B140" i="1"/>
  <c r="B90" i="1"/>
  <c r="B137" i="1"/>
  <c r="F157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H152" i="1"/>
  <c r="I157" i="1"/>
  <c r="I152" i="1"/>
  <c r="I153" i="1"/>
  <c r="E197" i="1"/>
  <c r="C25" i="1"/>
  <c r="C21" i="1"/>
  <c r="D21" i="1"/>
  <c r="D57" i="1" a="1"/>
  <c r="D57" i="1"/>
  <c r="E58" i="1"/>
  <c r="F59" i="1"/>
  <c r="D60" i="1"/>
  <c r="E60" i="1"/>
  <c r="F60" i="1"/>
  <c r="G60" i="1"/>
  <c r="B193" i="1"/>
  <c r="E202" i="1"/>
  <c r="D159" i="1" a="1"/>
  <c r="D159" i="1"/>
  <c r="D160" i="1"/>
  <c r="D161" i="1"/>
  <c r="D162" i="1"/>
  <c r="D163" i="1"/>
  <c r="D164" i="1"/>
  <c r="H42" i="1"/>
  <c r="H43" i="1"/>
  <c r="H45" i="1"/>
  <c r="H46" i="1"/>
  <c r="H48" i="1"/>
  <c r="H49" i="1"/>
  <c r="C27" i="1"/>
  <c r="B159" i="1" a="1"/>
  <c r="B159" i="1"/>
  <c r="G42" i="1"/>
  <c r="B160" i="1"/>
  <c r="G43" i="1"/>
  <c r="B170" i="1"/>
  <c r="B174" i="1"/>
  <c r="B171" i="1"/>
  <c r="B172" i="1"/>
  <c r="D189" i="1"/>
  <c r="B161" i="1"/>
  <c r="G45" i="1"/>
  <c r="B162" i="1"/>
  <c r="G46" i="1"/>
  <c r="D170" i="1"/>
  <c r="D171" i="1"/>
  <c r="D172" i="1"/>
  <c r="D190" i="1"/>
  <c r="B163" i="1"/>
  <c r="G48" i="1"/>
  <c r="B164" i="1"/>
  <c r="G49" i="1"/>
  <c r="F170" i="1"/>
  <c r="F171" i="1"/>
  <c r="F172" i="1"/>
  <c r="D191" i="1"/>
  <c r="D174" i="1"/>
  <c r="F174" i="1"/>
  <c r="G189" i="1"/>
  <c r="E212" i="1"/>
  <c r="E213" i="1"/>
  <c r="E214" i="1"/>
  <c r="B214" i="1"/>
  <c r="B216" i="1"/>
  <c r="B176" i="1"/>
  <c r="D179" i="1"/>
  <c r="E193" i="1"/>
  <c r="B208" i="1"/>
  <c r="D176" i="1"/>
  <c r="D180" i="1"/>
  <c r="E194" i="1"/>
  <c r="B209" i="1"/>
  <c r="F176" i="1"/>
  <c r="E195" i="1"/>
  <c r="B210" i="1"/>
  <c r="B213" i="1"/>
  <c r="C216" i="1"/>
  <c r="F189" i="1"/>
  <c r="D216" i="1"/>
  <c r="A217" i="1"/>
  <c r="B212" i="1"/>
  <c r="C217" i="1"/>
  <c r="B175" i="1"/>
  <c r="D175" i="1"/>
  <c r="F175" i="1"/>
  <c r="F190" i="1"/>
  <c r="D217" i="1"/>
  <c r="A218" i="1"/>
  <c r="B218" i="1"/>
  <c r="F191" i="1"/>
  <c r="D218" i="1"/>
  <c r="B221" i="1" a="1"/>
  <c r="B222" i="1"/>
  <c r="E36" i="1"/>
  <c r="E37" i="1"/>
  <c r="B224" i="1"/>
  <c r="B221" i="1"/>
  <c r="B36" i="1"/>
  <c r="B37" i="1"/>
  <c r="E57" i="1"/>
  <c r="F57" i="1"/>
  <c r="G57" i="1"/>
  <c r="D58" i="1"/>
  <c r="F58" i="1"/>
  <c r="G58" i="1"/>
  <c r="D59" i="1"/>
  <c r="E59" i="1"/>
  <c r="G59" i="1"/>
  <c r="B55" i="1"/>
  <c r="B56" i="1"/>
  <c r="B223" i="1"/>
  <c r="B57" i="1"/>
  <c r="E55" i="1"/>
  <c r="C26" i="1"/>
  <c r="B42" i="1"/>
  <c r="B43" i="1"/>
  <c r="B45" i="1"/>
  <c r="B46" i="1"/>
  <c r="B48" i="1"/>
  <c r="B49" i="1"/>
  <c r="B59" i="1"/>
  <c r="B60" i="1"/>
  <c r="D183" i="1"/>
  <c r="F179" i="1"/>
  <c r="A183" i="1"/>
  <c r="F183" i="1"/>
  <c r="D184" i="1"/>
  <c r="F180" i="1"/>
  <c r="A184" i="1"/>
  <c r="F184" i="1"/>
  <c r="D185" i="1"/>
  <c r="D181" i="1"/>
  <c r="F181" i="1"/>
  <c r="A185" i="1"/>
  <c r="F185" i="1"/>
  <c r="B197" i="1"/>
  <c r="B198" i="1"/>
  <c r="B199" i="1"/>
  <c r="B201" i="1"/>
  <c r="E201" i="1"/>
  <c r="B202" i="1"/>
  <c r="B203" i="1"/>
  <c r="I42" i="1"/>
  <c r="J42" i="1"/>
  <c r="D42" i="1"/>
  <c r="E42" i="1"/>
  <c r="I43" i="1"/>
  <c r="J43" i="1"/>
  <c r="D43" i="1"/>
  <c r="E43" i="1"/>
  <c r="I45" i="1"/>
  <c r="J45" i="1"/>
  <c r="D45" i="1"/>
  <c r="E45" i="1"/>
  <c r="I46" i="1"/>
  <c r="J46" i="1"/>
  <c r="D46" i="1"/>
  <c r="E46" i="1"/>
  <c r="I48" i="1"/>
  <c r="J48" i="1"/>
  <c r="D48" i="1"/>
  <c r="E48" i="1"/>
  <c r="I49" i="1"/>
  <c r="J49" i="1"/>
  <c r="D49" i="1"/>
  <c r="E49" i="1"/>
  <c r="C24" i="1"/>
  <c r="C22" i="1"/>
  <c r="B58" i="1"/>
  <c r="C58" i="1"/>
  <c r="H36" i="1"/>
  <c r="B38" i="1"/>
  <c r="C23" i="1"/>
</calcChain>
</file>

<file path=xl/sharedStrings.xml><?xml version="1.0" encoding="utf-8"?>
<sst xmlns="http://schemas.openxmlformats.org/spreadsheetml/2006/main" count="458" uniqueCount="399">
  <si>
    <t>Kinematic_Coupling_3Groove_Design.xls</t>
  </si>
  <si>
    <t>To design three groove kinematic couplings</t>
  </si>
  <si>
    <t>Written by Alex Slocum long ago.  Last modified 2012/10/28 by Alex Slocum</t>
  </si>
  <si>
    <r>
      <t xml:space="preserve">Metric units only!  </t>
    </r>
    <r>
      <rPr>
        <sz val="10"/>
        <rFont val="Times New Roman"/>
        <family val="1"/>
      </rPr>
      <t xml:space="preserve">Enters numbers in </t>
    </r>
    <r>
      <rPr>
        <b/>
        <sz val="10"/>
        <rFont val="Times New Roman"/>
        <family val="1"/>
      </rPr>
      <t>BOLD</t>
    </r>
    <r>
      <rPr>
        <sz val="10"/>
        <rFont val="Times New Roman"/>
        <family val="1"/>
      </rPr>
      <t xml:space="preserve">, Results in </t>
    </r>
    <r>
      <rPr>
        <b/>
        <sz val="10"/>
        <color indexed="10"/>
        <rFont val="Times New Roman"/>
        <family val="1"/>
      </rPr>
      <t>RED</t>
    </r>
  </si>
  <si>
    <t>Material properties</t>
  </si>
  <si>
    <r>
      <t xml:space="preserve">Standard 120 degree equal size groove coupling? </t>
    </r>
    <r>
      <rPr>
        <sz val="10"/>
        <rFont val="Times New Roman"/>
        <family val="1"/>
      </rPr>
      <t>(contact forces are inclined at 45 to the XY plane.  For non standard designs, enter geometry after results section)</t>
    </r>
  </si>
  <si>
    <t>User defined material</t>
  </si>
  <si>
    <t>Aluminum</t>
  </si>
  <si>
    <t>Yield stress</t>
  </si>
  <si>
    <t>System geometry (XY plane is assumed to contain the ball centers)</t>
  </si>
  <si>
    <t>plastic</t>
  </si>
  <si>
    <t xml:space="preserve">Dbeq (mm) = </t>
  </si>
  <si>
    <t>Equivalent diameter ball to contact the groove at the same points</t>
  </si>
  <si>
    <t>3/8"</t>
  </si>
  <si>
    <t>RC 62 Steel</t>
  </si>
  <si>
    <t>Rbminor (mm) =</t>
  </si>
  <si>
    <t>"Ball" minor radius</t>
  </si>
  <si>
    <t>CARBIDE</t>
  </si>
  <si>
    <t>Rbmajor (mm) =</t>
  </si>
  <si>
    <t>"Ball" major radius</t>
  </si>
  <si>
    <t>user defined</t>
  </si>
  <si>
    <t>Rgroove (mm) =</t>
  </si>
  <si>
    <t>Groove radius (negative for a trough)</t>
  </si>
  <si>
    <t>1/4"</t>
  </si>
  <si>
    <t>Elastic modulus</t>
  </si>
  <si>
    <t>Costheta =</t>
  </si>
  <si>
    <t>Is ball major radius along groove axis?</t>
  </si>
  <si>
    <t>Dcoupling (mm) =</t>
  </si>
  <si>
    <t>Coupling diameter</t>
  </si>
  <si>
    <t>2.5"</t>
  </si>
  <si>
    <t xml:space="preserve">Fpreload (N) = </t>
  </si>
  <si>
    <t>Preload force over each ball (negative pushes ball into groove)</t>
  </si>
  <si>
    <t>1 lbf centralized, 0.333 lbf/ball</t>
  </si>
  <si>
    <t>Xerr (mm) =</t>
  </si>
  <si>
    <t>X location of error reporting</t>
  </si>
  <si>
    <t>Yerr (mm) =</t>
  </si>
  <si>
    <t>Y location of error reporting</t>
  </si>
  <si>
    <t>Poisson ratio</t>
  </si>
  <si>
    <t>Zerr (mm) =</t>
  </si>
  <si>
    <t>Z location of error reporting</t>
  </si>
  <si>
    <r>
      <t xml:space="preserve">Auto select material values (enter </t>
    </r>
    <r>
      <rPr>
        <b/>
        <i/>
        <sz val="10"/>
        <rFont val="Times New Roman"/>
        <family val="1"/>
      </rPr>
      <t>other_4</t>
    </r>
    <r>
      <rPr>
        <b/>
        <sz val="10"/>
        <rFont val="Times New Roman"/>
        <family val="1"/>
      </rPr>
      <t xml:space="preserve"> to the right)</t>
    </r>
  </si>
  <si>
    <t>Matlabball =</t>
  </si>
  <si>
    <t>Enter 1 for plastic, 2 for steel, 3 for carbide, 4 for user defined, 5 where each ball and groove is defined individually</t>
  </si>
  <si>
    <t>Matlabgroove =</t>
  </si>
  <si>
    <t>Min. yield strength (Pa, psi)</t>
  </si>
  <si>
    <t>Largest contact ellipse major diameter (mm)</t>
  </si>
  <si>
    <t>Smallest contact ellipse major diameter (mm)</t>
  </si>
  <si>
    <t>Largest contact stress ratio</t>
  </si>
  <si>
    <t>RMS applied force (N)</t>
  </si>
  <si>
    <t>RMS stiffness (N/micron)</t>
  </si>
  <si>
    <t>Z displacement caused by preload (mm)</t>
  </si>
  <si>
    <t>Applied Z load at zero inclination (N)</t>
  </si>
  <si>
    <t>inclination angle (degrees)</t>
  </si>
  <si>
    <t>Applied force's Z,Y,Z values and coordinates</t>
  </si>
  <si>
    <t>Coupling centroid location</t>
  </si>
  <si>
    <t>FLx (N) =</t>
  </si>
  <si>
    <t>XL (mm) =</t>
  </si>
  <si>
    <t>xc (mm)</t>
  </si>
  <si>
    <t>XL (m) =</t>
  </si>
  <si>
    <t>FLy (N) =</t>
  </si>
  <si>
    <t>YL (mm) =</t>
  </si>
  <si>
    <t>yc (mm)</t>
  </si>
  <si>
    <t>YL (m) =</t>
  </si>
  <si>
    <t>FLz (N) =</t>
  </si>
  <si>
    <t>ZL (mm) =</t>
  </si>
  <si>
    <t>zc (mm)</t>
  </si>
  <si>
    <t>ZL (m) =</t>
  </si>
  <si>
    <t>Results:  Hertz stresses and deformations</t>
  </si>
  <si>
    <t>Error displacements at the point of interest due to applied load (preload displacement subtracted off) (micron)</t>
  </si>
  <si>
    <t>DeltaX (mm)</t>
  </si>
  <si>
    <t>DeltaY (mm)</t>
  </si>
  <si>
    <t>DeltaZ (mm)</t>
  </si>
  <si>
    <t>resulting rotation (degrees) wrt center)</t>
  </si>
  <si>
    <t>Vector displacement (mm)</t>
  </si>
  <si>
    <t>Groove normal forces (preload + applied load) (N)</t>
  </si>
  <si>
    <t>Contact stress (preload + applied load) (Pa)</t>
  </si>
  <si>
    <t>Max shear stress/(ult. tensile/2)</t>
  </si>
  <si>
    <t>Deflection (+into ball) (m)</t>
  </si>
  <si>
    <t>Contact ellipse size (m)</t>
  </si>
  <si>
    <t>from:</t>
  </si>
  <si>
    <t>Applied Load</t>
  </si>
  <si>
    <t>Preload only</t>
  </si>
  <si>
    <t>Rmajor</t>
  </si>
  <si>
    <t>Rminor</t>
  </si>
  <si>
    <t>Ball-Groove 1</t>
  </si>
  <si>
    <t>Fbnone</t>
  </si>
  <si>
    <t>sigone</t>
  </si>
  <si>
    <t>delone</t>
  </si>
  <si>
    <t>Fbntwo</t>
  </si>
  <si>
    <t>sigtwo</t>
  </si>
  <si>
    <t>deltwo</t>
  </si>
  <si>
    <t>Ball-Groove 2</t>
  </si>
  <si>
    <t>Fbnthree</t>
  </si>
  <si>
    <t>sigthree</t>
  </si>
  <si>
    <t>delthree</t>
  </si>
  <si>
    <t>Fbnfour</t>
  </si>
  <si>
    <t>sigfour</t>
  </si>
  <si>
    <t>delfour</t>
  </si>
  <si>
    <t>Ball-Groove 3</t>
  </si>
  <si>
    <t>Fbnfive</t>
  </si>
  <si>
    <t>sigfive</t>
  </si>
  <si>
    <t>delfive</t>
  </si>
  <si>
    <t>Fbnsix</t>
  </si>
  <si>
    <t>sigsix</t>
  </si>
  <si>
    <t>delsix</t>
  </si>
  <si>
    <t>Results: Error motions</t>
  </si>
  <si>
    <t>Xerr</t>
  </si>
  <si>
    <t>Yerr</t>
  </si>
  <si>
    <t>Zerr</t>
  </si>
  <si>
    <t>Error motions are at X,Y,Z coordinates (m)</t>
  </si>
  <si>
    <t>deltaX</t>
  </si>
  <si>
    <t>RMS</t>
  </si>
  <si>
    <t>deltaY</t>
  </si>
  <si>
    <t>Homogenous Transformation Matrix:</t>
  </si>
  <si>
    <t>deltaZ</t>
  </si>
  <si>
    <t>EpsX</t>
  </si>
  <si>
    <t>EpsY</t>
  </si>
  <si>
    <t>EpsZ</t>
  </si>
  <si>
    <t>Generic data entry for non-120 degree couplings</t>
  </si>
  <si>
    <t>NOTE! For calculation of angular errors, the coupling is assumed to lie in the XY plane.</t>
  </si>
  <si>
    <t xml:space="preserve">     Ball 1 must lie in quadrants 1 0r 2, and Balls 2 &amp; 3 must lie in quadrants 3 and 4</t>
  </si>
  <si>
    <t>Enter X,Y,Z coordinates and alpha, beta, gamma direction  cosines for Ball 1</t>
  </si>
  <si>
    <t>Dball (m)</t>
  </si>
  <si>
    <t>Dcoupling (m)</t>
  </si>
  <si>
    <t>Contact point 1</t>
  </si>
  <si>
    <t>Contact point 2</t>
  </si>
  <si>
    <t xml:space="preserve">Xba = </t>
  </si>
  <si>
    <t xml:space="preserve">Xbb = </t>
  </si>
  <si>
    <t xml:space="preserve">Yba = </t>
  </si>
  <si>
    <t xml:space="preserve">Ybb = </t>
  </si>
  <si>
    <t xml:space="preserve">Zba = </t>
  </si>
  <si>
    <t xml:space="preserve">Zbb = </t>
  </si>
  <si>
    <t xml:space="preserve">Aba = </t>
  </si>
  <si>
    <t xml:space="preserve">Abb = </t>
  </si>
  <si>
    <t xml:space="preserve">Bba = </t>
  </si>
  <si>
    <t xml:space="preserve">Bbb = </t>
  </si>
  <si>
    <t>Gba =</t>
  </si>
  <si>
    <t>Gbb =</t>
  </si>
  <si>
    <t>User values if matlabs = 5</t>
  </si>
  <si>
    <t>Enter characteristics for groove 1 and ball 1</t>
  </si>
  <si>
    <t>Egone =</t>
  </si>
  <si>
    <t>Groove material elastic modulus, or enter value (mm):</t>
  </si>
  <si>
    <t>vgone =</t>
  </si>
  <si>
    <t>Groove material Poisson ratio, or enter value (mm):</t>
  </si>
  <si>
    <t>Rgone =</t>
  </si>
  <si>
    <t>Groove radius of curvature</t>
  </si>
  <si>
    <t>Ebone =</t>
  </si>
  <si>
    <t>Ball material elastic modulus, or enter value (Pa):</t>
  </si>
  <si>
    <t>vbone =</t>
  </si>
  <si>
    <t>Ball material Poisson ratio, or enter value (Pa):</t>
  </si>
  <si>
    <t>Eeone =</t>
  </si>
  <si>
    <t>Equivelent modulus</t>
  </si>
  <si>
    <t>Dbone =</t>
  </si>
  <si>
    <t>Equivelent diameter ball that would contact the groove at the same points</t>
  </si>
  <si>
    <t>Rpone =</t>
  </si>
  <si>
    <t>"Ball" major radius of curvature, or enter value (mm):</t>
  </si>
  <si>
    <t>Raone =</t>
  </si>
  <si>
    <t>"Ball" minor radius of curvture, or enter value (mm):</t>
  </si>
  <si>
    <t>Reone =</t>
  </si>
  <si>
    <t>Equivelent radius</t>
  </si>
  <si>
    <t>ctone =</t>
  </si>
  <si>
    <t>Cos(theta)</t>
  </si>
  <si>
    <t>theta_1 =</t>
  </si>
  <si>
    <t>alpha_1 =</t>
  </si>
  <si>
    <t>beta_1 =</t>
  </si>
  <si>
    <t>lambda_1 =</t>
  </si>
  <si>
    <t>Sone =</t>
  </si>
  <si>
    <t>Allowable Hertz stress, or enter value:</t>
  </si>
  <si>
    <t>Enter X,Y,Z coordinates and alpha, beta, gamma direction  cosines for Ball 2</t>
  </si>
  <si>
    <t>Contact point 3</t>
  </si>
  <si>
    <t>Contact point 4</t>
  </si>
  <si>
    <t xml:space="preserve">Xbc = </t>
  </si>
  <si>
    <t xml:space="preserve">Xbd = </t>
  </si>
  <si>
    <t xml:space="preserve">Ybc = </t>
  </si>
  <si>
    <t xml:space="preserve">Ybd = </t>
  </si>
  <si>
    <t xml:space="preserve">Zbc = </t>
  </si>
  <si>
    <t xml:space="preserve">Zbd = </t>
  </si>
  <si>
    <t xml:space="preserve">Abc = </t>
  </si>
  <si>
    <t xml:space="preserve">Abd = </t>
  </si>
  <si>
    <t xml:space="preserve">Bbc = </t>
  </si>
  <si>
    <t xml:space="preserve">Bbd = </t>
  </si>
  <si>
    <t>Gbc =</t>
  </si>
  <si>
    <t>Gbd =</t>
  </si>
  <si>
    <t>Enter characteristics for groove 2 and pin 2</t>
  </si>
  <si>
    <t>Egtwo =</t>
  </si>
  <si>
    <t>vgtwo =</t>
  </si>
  <si>
    <t>Rgtwo =</t>
  </si>
  <si>
    <t>Ebtwo =</t>
  </si>
  <si>
    <t>vbtwo =</t>
  </si>
  <si>
    <t>Eetwo =</t>
  </si>
  <si>
    <t>Dbtwo =</t>
  </si>
  <si>
    <t>Rptwo =</t>
  </si>
  <si>
    <t>Ratwo =</t>
  </si>
  <si>
    <t>Retwo =</t>
  </si>
  <si>
    <t>cttwo =</t>
  </si>
  <si>
    <t>theta_2 =</t>
  </si>
  <si>
    <t>alpha_2 =</t>
  </si>
  <si>
    <t>beta_2 =</t>
  </si>
  <si>
    <t>lambda_2 =</t>
  </si>
  <si>
    <t>Stwo =</t>
  </si>
  <si>
    <t>Allowable Hertz stress</t>
  </si>
  <si>
    <t>Enter X,Y,Z coordinates and alpha, beta, gamma direction  cosines for Ball 3</t>
  </si>
  <si>
    <t>Contact point 5</t>
  </si>
  <si>
    <t>Contact point 6</t>
  </si>
  <si>
    <t xml:space="preserve">Xbe = </t>
  </si>
  <si>
    <t xml:space="preserve">Xbf = </t>
  </si>
  <si>
    <t xml:space="preserve">Ybe = </t>
  </si>
  <si>
    <t xml:space="preserve">Ybf = </t>
  </si>
  <si>
    <t xml:space="preserve">Zbe = </t>
  </si>
  <si>
    <t xml:space="preserve">Zbf = </t>
  </si>
  <si>
    <t xml:space="preserve">Abe = </t>
  </si>
  <si>
    <t xml:space="preserve">Abf = </t>
  </si>
  <si>
    <t xml:space="preserve">Bbe = </t>
  </si>
  <si>
    <t xml:space="preserve">Bbf = </t>
  </si>
  <si>
    <t>Gbe =</t>
  </si>
  <si>
    <t>Gbf =</t>
  </si>
  <si>
    <t>Enter characteristics for groove 3 and ball 3</t>
  </si>
  <si>
    <t>Egthree =</t>
  </si>
  <si>
    <t>vgthree =</t>
  </si>
  <si>
    <t>Rgthree =</t>
  </si>
  <si>
    <t>Ebthree =</t>
  </si>
  <si>
    <t>vbthree =</t>
  </si>
  <si>
    <t>Eethree =</t>
  </si>
  <si>
    <t>Dbthree =</t>
  </si>
  <si>
    <t>Rpthree =</t>
  </si>
  <si>
    <t>Rathree =</t>
  </si>
  <si>
    <t>Rethree =</t>
  </si>
  <si>
    <t>ctthree =</t>
  </si>
  <si>
    <t>theta_3 =</t>
  </si>
  <si>
    <t>alpha_3 =</t>
  </si>
  <si>
    <t>beta_3 =</t>
  </si>
  <si>
    <t>lambda_3 =</t>
  </si>
  <si>
    <t>Sthree =</t>
  </si>
  <si>
    <t>Preload forces' X,Y,Z components and coordinates</t>
  </si>
  <si>
    <t xml:space="preserve">Fpxone = </t>
  </si>
  <si>
    <t xml:space="preserve">Fpxtwo = </t>
  </si>
  <si>
    <t xml:space="preserve">Fpxthree = </t>
  </si>
  <si>
    <t>Fpyone =</t>
  </si>
  <si>
    <t>Fpytwo =</t>
  </si>
  <si>
    <t>Fpythree =</t>
  </si>
  <si>
    <t>Fpzone =</t>
  </si>
  <si>
    <t>Fpztwo =</t>
  </si>
  <si>
    <t>Fpzthree =</t>
  </si>
  <si>
    <t>Xpone =</t>
  </si>
  <si>
    <t>Xptwo =</t>
  </si>
  <si>
    <t>Xpthree =</t>
  </si>
  <si>
    <t>Ypone =</t>
  </si>
  <si>
    <t>Yptwo =</t>
  </si>
  <si>
    <t>Ypthree =</t>
  </si>
  <si>
    <t>Zpone =</t>
  </si>
  <si>
    <t>Zptwo =</t>
  </si>
  <si>
    <t>Zpthree =</t>
  </si>
  <si>
    <t>Calculations:</t>
  </si>
  <si>
    <t>Build Force Moment equilibrium matrices: AF = B (Equations 1-6)</t>
  </si>
  <si>
    <t>Matrix A</t>
  </si>
  <si>
    <t>Matrix F</t>
  </si>
  <si>
    <t>B with loads</t>
  </si>
  <si>
    <t>B w/o loads</t>
  </si>
  <si>
    <t>Fbn1</t>
  </si>
  <si>
    <t>Fbn2</t>
  </si>
  <si>
    <t>Fbn3</t>
  </si>
  <si>
    <t>Fbn4</t>
  </si>
  <si>
    <t>Fbn5</t>
  </si>
  <si>
    <t>Fbn6</t>
  </si>
  <si>
    <t>Sum forces X direction</t>
  </si>
  <si>
    <t>Sum forces Y direction</t>
  </si>
  <si>
    <t>Sum forces Z direction</t>
  </si>
  <si>
    <t>Sum moments X axis</t>
  </si>
  <si>
    <t>Sum moments Y axis</t>
  </si>
  <si>
    <t>Sum moments Z axis</t>
  </si>
  <si>
    <t>Res. Forces with applied loads</t>
  </si>
  <si>
    <t>Res forces with preload only</t>
  </si>
  <si>
    <t>fbnone</t>
  </si>
  <si>
    <t>fone</t>
  </si>
  <si>
    <t>fbntwo</t>
  </si>
  <si>
    <t>ftwo</t>
  </si>
  <si>
    <t>fbnthree</t>
  </si>
  <si>
    <t>fthree</t>
  </si>
  <si>
    <t>fbnfour</t>
  </si>
  <si>
    <t>ffour</t>
  </si>
  <si>
    <t>fbnfive</t>
  </si>
  <si>
    <t>ffive</t>
  </si>
  <si>
    <t>fbnsix</t>
  </si>
  <si>
    <t>fsix</t>
  </si>
  <si>
    <t>Original ball corrdinates</t>
  </si>
  <si>
    <t>xboneO</t>
  </si>
  <si>
    <t>xbtwoO</t>
  </si>
  <si>
    <t>xbthreeO</t>
  </si>
  <si>
    <t>yboneO</t>
  </si>
  <si>
    <t>ybtwoO</t>
  </si>
  <si>
    <t>ybthreeO</t>
  </si>
  <si>
    <t>zboneO</t>
  </si>
  <si>
    <t>zbtwoO</t>
  </si>
  <si>
    <t>zbthreeO</t>
  </si>
  <si>
    <t>New ball coordinates (=original + ball deflection*direction cosines)</t>
  </si>
  <si>
    <t>xboneN</t>
  </si>
  <si>
    <t>xbtwoN</t>
  </si>
  <si>
    <t>xbthreeN</t>
  </si>
  <si>
    <t>yboneN</t>
  </si>
  <si>
    <t>ybtwoN</t>
  </si>
  <si>
    <t>ybthreeN</t>
  </si>
  <si>
    <t>zboneN</t>
  </si>
  <si>
    <t>zbtwoN</t>
  </si>
  <si>
    <t>zbthreeN</t>
  </si>
  <si>
    <t>Ball centers' deflections</t>
  </si>
  <si>
    <t>dxone</t>
  </si>
  <si>
    <t>dxtwo</t>
  </si>
  <si>
    <t>dxthree</t>
  </si>
  <si>
    <t>dyone</t>
  </si>
  <si>
    <t>dytwo</t>
  </si>
  <si>
    <t>dythree</t>
  </si>
  <si>
    <t>dzone</t>
  </si>
  <si>
    <t>dztwo</t>
  </si>
  <si>
    <t>dzthree</t>
  </si>
  <si>
    <t>Theory applicability check:</t>
  </si>
  <si>
    <t>Initiial dist. between balls</t>
  </si>
  <si>
    <t>Final dist. between balls</t>
  </si>
  <si>
    <t>Difference</t>
  </si>
  <si>
    <t>LotI</t>
  </si>
  <si>
    <t>LotN</t>
  </si>
  <si>
    <t>DLotI</t>
  </si>
  <si>
    <t>LttI</t>
  </si>
  <si>
    <t>LttN</t>
  </si>
  <si>
    <t>DLttI</t>
  </si>
  <si>
    <t>LtoI</t>
  </si>
  <si>
    <t>LtoN</t>
  </si>
  <si>
    <t>DLtoI</t>
  </si>
  <si>
    <t>Change in length/distance between balls</t>
  </si>
  <si>
    <t>Deflection/ball radius</t>
  </si>
  <si>
    <t>Ratio (should be &gt;5)</t>
  </si>
  <si>
    <t>Coupling centroid is assumed to be at intersection of coupling triangle's angle bisectors</t>
  </si>
  <si>
    <t>but if only apply load over balls, gives erroroneous value</t>
  </si>
  <si>
    <t>Initial centroid</t>
  </si>
  <si>
    <t>Distance from ball to centroid</t>
  </si>
  <si>
    <t>Error motion at centroid from weighted ball motions</t>
  </si>
  <si>
    <t>initial theory was dzone*(LotI-Dcone)/LotI+dztwo*(LttI-Dctwo)/LttI+dzthree*(LtoI-Dcthree)/LtoI</t>
  </si>
  <si>
    <t>xci</t>
  </si>
  <si>
    <t>Dcone</t>
  </si>
  <si>
    <t>dxc</t>
  </si>
  <si>
    <t>yci</t>
  </si>
  <si>
    <t>Dctwo</t>
  </si>
  <si>
    <t>dyc</t>
  </si>
  <si>
    <t>zci</t>
  </si>
  <si>
    <t>Dcthree</t>
  </si>
  <si>
    <t>dzc</t>
  </si>
  <si>
    <t>Original angles between balls</t>
  </si>
  <si>
    <t>Original altitude lengths</t>
  </si>
  <si>
    <t>Angone</t>
  </si>
  <si>
    <t>angle at ball 1</t>
  </si>
  <si>
    <t>Aone</t>
  </si>
  <si>
    <t>Ball 1 to side 2 3</t>
  </si>
  <si>
    <t>Angtwo</t>
  </si>
  <si>
    <t>angle at ball 2</t>
  </si>
  <si>
    <t>Atwo</t>
  </si>
  <si>
    <t>Ball 2 to side 1 3</t>
  </si>
  <si>
    <t>Angthree</t>
  </si>
  <si>
    <t>angle at ball 3</t>
  </si>
  <si>
    <t>Athree</t>
  </si>
  <si>
    <t>Ball 3 to side 2 1</t>
  </si>
  <si>
    <t>New angles between balls</t>
  </si>
  <si>
    <t>Original sides' angle with X axis</t>
  </si>
  <si>
    <t>AngoneN</t>
  </si>
  <si>
    <t>Aot</t>
  </si>
  <si>
    <t>Side opposite ball 3</t>
  </si>
  <si>
    <t>AngtwoN</t>
  </si>
  <si>
    <t>Att</t>
  </si>
  <si>
    <t>Side opposite ball 1</t>
  </si>
  <si>
    <t>AngthreeN</t>
  </si>
  <si>
    <t>Ato</t>
  </si>
  <si>
    <t>Side opposite ball 2</t>
  </si>
  <si>
    <t>New sides' angle with X axis</t>
  </si>
  <si>
    <t>AotN</t>
  </si>
  <si>
    <t>AttN</t>
  </si>
  <si>
    <t>AtoN</t>
  </si>
  <si>
    <t>Original altitudes' slope angles and Y intercepts</t>
  </si>
  <si>
    <t>AmtwoO</t>
  </si>
  <si>
    <t>AbtwoO</t>
  </si>
  <si>
    <t>AmthreeO</t>
  </si>
  <si>
    <t>AbthreeO</t>
  </si>
  <si>
    <t>Rotation about opposite side (radians)</t>
  </si>
  <si>
    <t>Ttt</t>
  </si>
  <si>
    <t>rotation about side 23 due to Z motion at ball 1</t>
  </si>
  <si>
    <t>Tto</t>
  </si>
  <si>
    <t>rotation about side 13 due to Z motion at ball 2</t>
  </si>
  <si>
    <t>Tot</t>
  </si>
  <si>
    <t>rotation about side 12 due to Z motion at ball 3</t>
  </si>
  <si>
    <t>Coupling error rotations</t>
  </si>
  <si>
    <t>EpsZ1</t>
  </si>
  <si>
    <t>Z rot from ball 1</t>
  </si>
  <si>
    <t>EpsZ2</t>
  </si>
  <si>
    <t>Z rot from ball 2</t>
  </si>
  <si>
    <t>EpsZ3</t>
  </si>
  <si>
    <t>Z rot from ball 3</t>
  </si>
  <si>
    <t>Coupling HTM</t>
  </si>
  <si>
    <t>Point of interest</t>
  </si>
  <si>
    <t>Error displacements at the point of interest</t>
  </si>
  <si>
    <t>DeltaX</t>
  </si>
  <si>
    <t>DeltaY</t>
  </si>
  <si>
    <t>DeltaZ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</si>
</sst>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000"/>
    <numFmt numFmtId="165" formatCode="0.0000000"/>
    <numFmt numFmtId="166" formatCode="0.0000"/>
    <numFmt numFmtId="167" formatCode="0.000"/>
    <numFmt numFmtId="168" formatCode="0.0000E+00"/>
    <numFmt numFmtId="169" formatCode="0.000000000"/>
    <numFmt numFmtId="170" formatCode="0.00000"/>
    <numFmt numFmtId="171" formatCode="0.0"/>
    <numFmt numFmtId="172" formatCode="#,##0.000"/>
    <numFmt numFmtId="173" formatCode="0.00000E+00"/>
    <numFmt numFmtId="174" formatCode="0.00000000000"/>
    <numFmt numFmtId="175" formatCode="0.00000000000000000000"/>
    <numFmt numFmtId="176" formatCode="0.00E+00;\_x0000_"/>
  </numFmts>
  <fonts count="18">
    <font>
      <sz val="10"/>
      <name val="Geneva"/>
    </font>
    <font>
      <sz val="10"/>
      <name val="Geneva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color indexed="8"/>
      <name val="Times New Roman"/>
      <family val="1"/>
    </font>
    <font>
      <b/>
      <i/>
      <sz val="10"/>
      <color indexed="10"/>
      <name val="Times New Roman"/>
      <family val="1"/>
    </font>
    <font>
      <b/>
      <sz val="10"/>
      <color indexed="12"/>
      <name val="Times New Roman"/>
      <family val="1"/>
    </font>
    <font>
      <i/>
      <sz val="10"/>
      <color indexed="8"/>
      <name val="Times New Roman"/>
      <family val="1"/>
    </font>
    <font>
      <i/>
      <sz val="10"/>
      <color indexed="14"/>
      <name val="Times New Roman"/>
      <family val="1"/>
    </font>
    <font>
      <b/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11"/>
      <name val="Times New Roman"/>
      <family val="1"/>
    </font>
    <font>
      <b/>
      <sz val="10"/>
      <color indexed="11"/>
      <name val="Times New Roman"/>
    </font>
    <font>
      <b/>
      <sz val="10"/>
      <color rgb="FFFF0000"/>
      <name val="Times New Roman"/>
    </font>
    <font>
      <b/>
      <i/>
      <sz val="10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" fontId="1" fillId="0" borderId="0" applyFont="0" applyFill="0" applyBorder="0" applyAlignment="0" applyProtection="0"/>
  </cellStyleXfs>
  <cellXfs count="184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2" xfId="0" applyFont="1" applyFill="1" applyBorder="1"/>
    <xf numFmtId="0" fontId="2" fillId="0" borderId="4" xfId="0" applyFont="1" applyFill="1" applyBorder="1" applyAlignment="1">
      <alignment horizontal="right"/>
    </xf>
    <xf numFmtId="11" fontId="3" fillId="0" borderId="5" xfId="0" applyNumberFormat="1" applyFont="1" applyFill="1" applyBorder="1"/>
    <xf numFmtId="0" fontId="3" fillId="0" borderId="2" xfId="0" applyFont="1" applyFill="1" applyBorder="1"/>
    <xf numFmtId="0" fontId="3" fillId="0" borderId="1" xfId="0" applyFont="1" applyFill="1" applyBorder="1"/>
    <xf numFmtId="11" fontId="4" fillId="0" borderId="2" xfId="0" applyNumberFormat="1" applyFont="1" applyFill="1" applyBorder="1"/>
    <xf numFmtId="0" fontId="3" fillId="0" borderId="1" xfId="0" applyNumberFormat="1" applyFont="1" applyFill="1" applyBorder="1"/>
    <xf numFmtId="11" fontId="3" fillId="0" borderId="1" xfId="0" applyNumberFormat="1" applyFont="1" applyFill="1" applyBorder="1"/>
    <xf numFmtId="3" fontId="2" fillId="0" borderId="3" xfId="0" applyNumberFormat="1" applyFont="1" applyFill="1" applyBorder="1"/>
    <xf numFmtId="0" fontId="3" fillId="0" borderId="1" xfId="0" applyFont="1" applyFill="1" applyBorder="1" applyAlignment="1">
      <alignment horizontal="right"/>
    </xf>
    <xf numFmtId="173" fontId="2" fillId="0" borderId="3" xfId="0" applyNumberFormat="1" applyFont="1" applyFill="1" applyBorder="1"/>
    <xf numFmtId="2" fontId="3" fillId="0" borderId="5" xfId="0" applyNumberFormat="1" applyFont="1" applyFill="1" applyBorder="1"/>
    <xf numFmtId="0" fontId="4" fillId="0" borderId="1" xfId="0" applyFont="1" applyFill="1" applyBorder="1"/>
    <xf numFmtId="0" fontId="3" fillId="0" borderId="5" xfId="0" applyFont="1" applyFill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0" xfId="0" applyFont="1" applyFill="1"/>
    <xf numFmtId="0" fontId="5" fillId="0" borderId="3" xfId="0" applyFont="1" applyFill="1" applyBorder="1"/>
    <xf numFmtId="0" fontId="5" fillId="0" borderId="0" xfId="0" applyFont="1" applyFill="1"/>
    <xf numFmtId="0" fontId="5" fillId="0" borderId="1" xfId="0" applyFont="1" applyFill="1" applyBorder="1"/>
    <xf numFmtId="11" fontId="2" fillId="0" borderId="1" xfId="0" applyNumberFormat="1" applyFont="1" applyFill="1" applyBorder="1"/>
    <xf numFmtId="167" fontId="4" fillId="0" borderId="1" xfId="0" applyNumberFormat="1" applyFont="1" applyFill="1" applyBorder="1"/>
    <xf numFmtId="11" fontId="8" fillId="0" borderId="1" xfId="0" applyNumberFormat="1" applyFont="1" applyFill="1" applyBorder="1"/>
    <xf numFmtId="2" fontId="4" fillId="0" borderId="1" xfId="0" applyNumberFormat="1" applyFont="1" applyFill="1" applyBorder="1"/>
    <xf numFmtId="11" fontId="9" fillId="0" borderId="1" xfId="0" applyNumberFormat="1" applyFont="1" applyFill="1" applyBorder="1"/>
    <xf numFmtId="0" fontId="10" fillId="0" borderId="1" xfId="0" applyFont="1" applyFill="1" applyBorder="1"/>
    <xf numFmtId="0" fontId="9" fillId="0" borderId="1" xfId="0" applyFont="1" applyFill="1" applyBorder="1"/>
    <xf numFmtId="170" fontId="2" fillId="0" borderId="0" xfId="0" applyNumberFormat="1" applyFont="1" applyFill="1"/>
    <xf numFmtId="0" fontId="5" fillId="0" borderId="6" xfId="0" applyFont="1" applyFill="1" applyBorder="1"/>
    <xf numFmtId="0" fontId="2" fillId="0" borderId="6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/>
    <xf numFmtId="164" fontId="4" fillId="0" borderId="0" xfId="0" applyNumberFormat="1" applyFont="1" applyFill="1"/>
    <xf numFmtId="164" fontId="2" fillId="0" borderId="0" xfId="0" applyNumberFormat="1" applyFont="1" applyFill="1"/>
    <xf numFmtId="0" fontId="11" fillId="0" borderId="0" xfId="0" applyFont="1" applyFill="1"/>
    <xf numFmtId="11" fontId="4" fillId="0" borderId="0" xfId="0" applyNumberFormat="1" applyFont="1" applyFill="1"/>
    <xf numFmtId="0" fontId="2" fillId="2" borderId="1" xfId="0" applyFont="1" applyFill="1" applyBorder="1"/>
    <xf numFmtId="170" fontId="4" fillId="0" borderId="0" xfId="0" applyNumberFormat="1" applyFont="1" applyFill="1"/>
    <xf numFmtId="0" fontId="4" fillId="0" borderId="0" xfId="0" applyFont="1" applyFill="1"/>
    <xf numFmtId="2" fontId="4" fillId="0" borderId="0" xfId="0" applyNumberFormat="1" applyFont="1" applyFill="1"/>
    <xf numFmtId="0" fontId="12" fillId="0" borderId="0" xfId="0" applyFont="1" applyFill="1"/>
    <xf numFmtId="0" fontId="13" fillId="0" borderId="0" xfId="0" applyFont="1" applyFill="1"/>
    <xf numFmtId="0" fontId="3" fillId="0" borderId="0" xfId="0" applyFont="1" applyFill="1"/>
    <xf numFmtId="11" fontId="14" fillId="0" borderId="0" xfId="0" applyNumberFormat="1" applyFont="1" applyFill="1"/>
    <xf numFmtId="11" fontId="2" fillId="0" borderId="0" xfId="0" applyNumberFormat="1" applyFont="1" applyFill="1"/>
    <xf numFmtId="2" fontId="14" fillId="0" borderId="0" xfId="0" applyNumberFormat="1" applyFont="1" applyFill="1"/>
    <xf numFmtId="2" fontId="2" fillId="0" borderId="0" xfId="0" applyNumberFormat="1" applyFont="1" applyFill="1"/>
    <xf numFmtId="165" fontId="14" fillId="0" borderId="0" xfId="0" applyNumberFormat="1" applyFont="1" applyFill="1"/>
    <xf numFmtId="165" fontId="2" fillId="0" borderId="0" xfId="0" applyNumberFormat="1" applyFont="1" applyFill="1"/>
    <xf numFmtId="174" fontId="14" fillId="0" borderId="0" xfId="0" applyNumberFormat="1" applyFont="1" applyFill="1"/>
    <xf numFmtId="0" fontId="14" fillId="0" borderId="0" xfId="0" applyFont="1" applyFill="1"/>
    <xf numFmtId="11" fontId="7" fillId="0" borderId="0" xfId="0" applyNumberFormat="1" applyFont="1" applyFill="1"/>
    <xf numFmtId="169" fontId="2" fillId="0" borderId="0" xfId="0" applyNumberFormat="1" applyFont="1" applyFill="1"/>
    <xf numFmtId="175" fontId="14" fillId="0" borderId="0" xfId="0" applyNumberFormat="1" applyFont="1" applyFill="1"/>
    <xf numFmtId="166" fontId="14" fillId="0" borderId="0" xfId="0" applyNumberFormat="1" applyFont="1" applyFill="1"/>
    <xf numFmtId="171" fontId="3" fillId="0" borderId="1" xfId="0" applyNumberFormat="1" applyFont="1" applyFill="1" applyBorder="1"/>
    <xf numFmtId="166" fontId="4" fillId="0" borderId="0" xfId="0" applyNumberFormat="1" applyFont="1" applyFill="1" applyBorder="1"/>
    <xf numFmtId="0" fontId="5" fillId="0" borderId="7" xfId="0" applyFont="1" applyFill="1" applyBorder="1" applyAlignment="1">
      <alignment wrapText="1"/>
    </xf>
    <xf numFmtId="0" fontId="6" fillId="0" borderId="7" xfId="0" applyFont="1" applyFill="1" applyBorder="1" applyAlignment="1"/>
    <xf numFmtId="0" fontId="5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2" fontId="3" fillId="0" borderId="9" xfId="0" applyNumberFormat="1" applyFont="1" applyFill="1" applyBorder="1"/>
    <xf numFmtId="0" fontId="5" fillId="0" borderId="7" xfId="0" applyFont="1" applyFill="1" applyBorder="1"/>
    <xf numFmtId="0" fontId="4" fillId="0" borderId="1" xfId="0" applyFont="1" applyFill="1" applyBorder="1" applyAlignment="1">
      <alignment horizontal="center"/>
    </xf>
    <xf numFmtId="167" fontId="8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1" fontId="3" fillId="0" borderId="1" xfId="0" applyNumberFormat="1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left"/>
    </xf>
    <xf numFmtId="15" fontId="2" fillId="0" borderId="10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5" fontId="2" fillId="0" borderId="11" xfId="0" applyNumberFormat="1" applyFont="1" applyFill="1" applyBorder="1" applyAlignment="1"/>
    <xf numFmtId="15" fontId="2" fillId="0" borderId="12" xfId="0" applyNumberFormat="1" applyFont="1" applyFill="1" applyBorder="1" applyAlignment="1"/>
    <xf numFmtId="176" fontId="16" fillId="0" borderId="1" xfId="0" applyNumberFormat="1" applyFont="1" applyFill="1" applyBorder="1"/>
    <xf numFmtId="11" fontId="4" fillId="0" borderId="1" xfId="0" applyNumberFormat="1" applyFont="1" applyFill="1" applyBorder="1" applyAlignment="1">
      <alignment horizontal="center"/>
    </xf>
    <xf numFmtId="3" fontId="4" fillId="0" borderId="1" xfId="1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3" fontId="4" fillId="0" borderId="3" xfId="1" applyNumberFormat="1" applyFont="1" applyFill="1" applyBorder="1" applyAlignment="1">
      <alignment horizontal="center"/>
    </xf>
    <xf numFmtId="0" fontId="16" fillId="0" borderId="1" xfId="0" applyFont="1" applyFill="1" applyBorder="1"/>
    <xf numFmtId="2" fontId="16" fillId="0" borderId="1" xfId="0" applyNumberFormat="1" applyFont="1" applyFill="1" applyBorder="1"/>
    <xf numFmtId="1" fontId="16" fillId="0" borderId="1" xfId="0" applyNumberFormat="1" applyFont="1" applyFill="1" applyBorder="1"/>
    <xf numFmtId="0" fontId="16" fillId="0" borderId="1" xfId="0" applyNumberFormat="1" applyFont="1" applyFill="1" applyBorder="1"/>
    <xf numFmtId="11" fontId="3" fillId="3" borderId="1" xfId="0" applyNumberFormat="1" applyFont="1" applyFill="1" applyBorder="1"/>
    <xf numFmtId="166" fontId="16" fillId="3" borderId="1" xfId="0" applyNumberFormat="1" applyFont="1" applyFill="1" applyBorder="1"/>
    <xf numFmtId="11" fontId="16" fillId="3" borderId="1" xfId="0" applyNumberFormat="1" applyFont="1" applyFill="1" applyBorder="1"/>
    <xf numFmtId="0" fontId="2" fillId="3" borderId="0" xfId="0" applyFont="1" applyFill="1"/>
    <xf numFmtId="166" fontId="16" fillId="3" borderId="13" xfId="0" applyNumberFormat="1" applyFont="1" applyFill="1" applyBorder="1"/>
    <xf numFmtId="11" fontId="15" fillId="4" borderId="0" xfId="0" applyNumberFormat="1" applyFont="1" applyFill="1"/>
    <xf numFmtId="11" fontId="14" fillId="4" borderId="0" xfId="0" applyNumberFormat="1" applyFont="1" applyFill="1"/>
    <xf numFmtId="0" fontId="5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indent="1"/>
    </xf>
    <xf numFmtId="171" fontId="8" fillId="0" borderId="5" xfId="0" applyNumberFormat="1" applyFont="1" applyFill="1" applyBorder="1"/>
    <xf numFmtId="0" fontId="2" fillId="0" borderId="4" xfId="0" applyFont="1" applyFill="1" applyBorder="1"/>
    <xf numFmtId="0" fontId="2" fillId="0" borderId="14" xfId="0" applyFont="1" applyFill="1" applyBorder="1"/>
    <xf numFmtId="171" fontId="8" fillId="0" borderId="15" xfId="0" applyNumberFormat="1" applyFont="1" applyFill="1" applyBorder="1"/>
    <xf numFmtId="11" fontId="8" fillId="0" borderId="5" xfId="0" applyNumberFormat="1" applyFont="1" applyFill="1" applyBorder="1"/>
    <xf numFmtId="0" fontId="2" fillId="0" borderId="14" xfId="0" applyFont="1" applyFill="1" applyBorder="1" applyAlignment="1">
      <alignment horizontal="left" indent="1"/>
    </xf>
    <xf numFmtId="11" fontId="8" fillId="0" borderId="15" xfId="0" applyNumberFormat="1" applyFont="1" applyFill="1" applyBorder="1"/>
    <xf numFmtId="11" fontId="3" fillId="3" borderId="13" xfId="0" applyNumberFormat="1" applyFont="1" applyFill="1" applyBorder="1"/>
    <xf numFmtId="11" fontId="8" fillId="0" borderId="16" xfId="0" applyNumberFormat="1" applyFont="1" applyFill="1" applyBorder="1"/>
    <xf numFmtId="167" fontId="8" fillId="0" borderId="2" xfId="0" applyNumberFormat="1" applyFont="1" applyFill="1" applyBorder="1"/>
    <xf numFmtId="167" fontId="8" fillId="0" borderId="17" xfId="0" applyNumberFormat="1" applyFont="1" applyFill="1" applyBorder="1"/>
    <xf numFmtId="11" fontId="16" fillId="3" borderId="13" xfId="0" applyNumberFormat="1" applyFont="1" applyFill="1" applyBorder="1"/>
    <xf numFmtId="0" fontId="5" fillId="0" borderId="4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33" xfId="0" applyFont="1" applyBorder="1" applyAlignment="1"/>
    <xf numFmtId="0" fontId="2" fillId="0" borderId="10" xfId="0" applyFont="1" applyFill="1" applyBorder="1" applyAlignment="1"/>
    <xf numFmtId="0" fontId="5" fillId="0" borderId="2" xfId="0" applyFont="1" applyFill="1" applyBorder="1"/>
    <xf numFmtId="11" fontId="17" fillId="0" borderId="2" xfId="0" applyNumberFormat="1" applyFont="1" applyFill="1" applyBorder="1"/>
    <xf numFmtId="11" fontId="17" fillId="0" borderId="17" xfId="0" applyNumberFormat="1" applyFont="1" applyFill="1" applyBorder="1"/>
    <xf numFmtId="0" fontId="5" fillId="0" borderId="4" xfId="0" applyFont="1" applyFill="1" applyBorder="1" applyAlignment="1">
      <alignment horizontal="center"/>
    </xf>
    <xf numFmtId="0" fontId="5" fillId="0" borderId="4" xfId="0" applyFont="1" applyBorder="1" applyAlignment="1"/>
    <xf numFmtId="11" fontId="8" fillId="0" borderId="4" xfId="0" applyNumberFormat="1" applyFont="1" applyFill="1" applyBorder="1"/>
    <xf numFmtId="11" fontId="8" fillId="0" borderId="14" xfId="0" applyNumberFormat="1" applyFont="1" applyFill="1" applyBorder="1"/>
    <xf numFmtId="169" fontId="14" fillId="4" borderId="0" xfId="0" applyNumberFormat="1" applyFont="1" applyFill="1"/>
    <xf numFmtId="168" fontId="14" fillId="4" borderId="0" xfId="0" applyNumberFormat="1" applyFont="1" applyFill="1"/>
    <xf numFmtId="168" fontId="2" fillId="4" borderId="0" xfId="0" applyNumberFormat="1" applyFont="1" applyFill="1"/>
    <xf numFmtId="0" fontId="14" fillId="4" borderId="0" xfId="0" applyFont="1" applyFill="1"/>
    <xf numFmtId="172" fontId="4" fillId="0" borderId="3" xfId="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/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15" fontId="3" fillId="0" borderId="1" xfId="0" applyNumberFormat="1" applyFont="1" applyFill="1" applyBorder="1" applyAlignment="1">
      <alignment horizontal="left"/>
    </xf>
    <xf numFmtId="0" fontId="5" fillId="0" borderId="18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 wrapText="1"/>
    </xf>
    <xf numFmtId="0" fontId="7" fillId="0" borderId="20" xfId="0" applyFont="1" applyFill="1" applyBorder="1" applyAlignment="1">
      <alignment horizontal="left" wrapText="1"/>
    </xf>
    <xf numFmtId="0" fontId="7" fillId="0" borderId="2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1" fontId="2" fillId="0" borderId="1" xfId="0" applyNumberFormat="1" applyFont="1" applyFill="1" applyBorder="1" applyAlignment="1">
      <alignment horizontal="left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</cellXfs>
  <cellStyles count="2">
    <cellStyle name="Koma" xfId="1" builtinId="3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4"/>
  <sheetViews>
    <sheetView tabSelected="1" topLeftCell="A16" zoomScale="150" zoomScaleNormal="150" workbookViewId="0" xr3:uid="{AEA406A1-0E4B-5B11-9CD5-51D6E497D94C}">
      <selection activeCell="B32" sqref="B32"/>
    </sheetView>
  </sheetViews>
  <sheetFormatPr defaultColWidth="11.42578125" defaultRowHeight="12.75"/>
  <cols>
    <col min="1" max="1" width="24.5703125" style="1" customWidth="1"/>
    <col min="2" max="2" width="13.28515625" style="1" customWidth="1"/>
    <col min="3" max="3" width="25.140625" style="1" customWidth="1"/>
    <col min="4" max="4" width="11.85546875" style="1" customWidth="1"/>
    <col min="5" max="5" width="14.28515625" style="1" customWidth="1"/>
    <col min="6" max="6" width="18.42578125" style="1" customWidth="1"/>
    <col min="7" max="8" width="12.28515625" style="1" customWidth="1"/>
    <col min="9" max="9" width="12.140625" style="1" customWidth="1"/>
    <col min="10" max="12" width="10.7109375" style="1" customWidth="1"/>
    <col min="13" max="16384" width="11.42578125" style="1"/>
  </cols>
  <sheetData>
    <row r="1" spans="1:9">
      <c r="A1" s="141" t="s">
        <v>0</v>
      </c>
      <c r="B1" s="142"/>
      <c r="C1" s="142"/>
      <c r="D1" s="142"/>
      <c r="E1" s="142"/>
      <c r="F1" s="142"/>
      <c r="G1" s="143"/>
      <c r="H1" s="2"/>
      <c r="I1" s="2"/>
    </row>
    <row r="2" spans="1:9">
      <c r="A2" s="157" t="s">
        <v>1</v>
      </c>
      <c r="B2" s="163"/>
      <c r="C2" s="163"/>
      <c r="D2" s="163"/>
      <c r="E2" s="163"/>
      <c r="F2" s="163"/>
      <c r="G2" s="164"/>
      <c r="H2" s="2"/>
      <c r="I2" s="2"/>
    </row>
    <row r="3" spans="1:9" ht="13.5" thickBot="1">
      <c r="A3" s="75" t="s">
        <v>2</v>
      </c>
      <c r="B3" s="76"/>
      <c r="C3" s="78"/>
      <c r="D3" s="78"/>
      <c r="E3" s="78"/>
      <c r="F3" s="78"/>
      <c r="G3" s="79"/>
      <c r="H3" s="2"/>
      <c r="I3" s="2"/>
    </row>
    <row r="4" spans="1:9">
      <c r="A4" s="133" t="s">
        <v>3</v>
      </c>
      <c r="B4" s="133"/>
      <c r="C4" s="133"/>
      <c r="D4" s="2"/>
      <c r="E4" s="3"/>
      <c r="F4" s="166" t="s">
        <v>4</v>
      </c>
      <c r="G4" s="167"/>
      <c r="H4" s="4"/>
      <c r="I4" s="4"/>
    </row>
    <row r="5" spans="1:9" ht="15.75" customHeight="1">
      <c r="A5" s="144" t="s">
        <v>5</v>
      </c>
      <c r="B5" s="145"/>
      <c r="C5" s="145"/>
      <c r="D5" s="146"/>
      <c r="E5" s="136" t="b">
        <v>1</v>
      </c>
      <c r="F5" s="66" t="s">
        <v>6</v>
      </c>
      <c r="G5" s="67" t="s">
        <v>7</v>
      </c>
      <c r="H5" s="4"/>
      <c r="I5" s="4"/>
    </row>
    <row r="6" spans="1:9">
      <c r="A6" s="147"/>
      <c r="B6" s="148"/>
      <c r="C6" s="148"/>
      <c r="D6" s="149"/>
      <c r="E6" s="136"/>
      <c r="F6" s="139" t="s">
        <v>8</v>
      </c>
      <c r="G6" s="140"/>
      <c r="H6" s="4"/>
      <c r="I6" s="4"/>
    </row>
    <row r="7" spans="1:9">
      <c r="A7" s="141" t="s">
        <v>9</v>
      </c>
      <c r="B7" s="142"/>
      <c r="C7" s="142"/>
      <c r="D7" s="143"/>
      <c r="E7" s="5"/>
      <c r="F7" s="6" t="s">
        <v>10</v>
      </c>
      <c r="G7" s="7">
        <f>5000*6900</f>
        <v>34500000</v>
      </c>
      <c r="H7" s="4"/>
      <c r="I7" s="4"/>
    </row>
    <row r="8" spans="1:9">
      <c r="A8" s="2" t="s">
        <v>11</v>
      </c>
      <c r="B8" s="49">
        <v>9.5250000000000004</v>
      </c>
      <c r="C8" s="9" t="s">
        <v>12</v>
      </c>
      <c r="D8" s="128" t="s">
        <v>13</v>
      </c>
      <c r="E8" s="8"/>
      <c r="F8" s="6" t="s">
        <v>14</v>
      </c>
      <c r="G8" s="7">
        <v>1724000000</v>
      </c>
    </row>
    <row r="9" spans="1:9">
      <c r="A9" s="2" t="s">
        <v>15</v>
      </c>
      <c r="B9" s="9">
        <f>B8/2</f>
        <v>4.7625000000000002</v>
      </c>
      <c r="C9" s="2" t="s">
        <v>16</v>
      </c>
      <c r="D9" s="128"/>
      <c r="E9" s="10"/>
      <c r="F9" s="6" t="s">
        <v>17</v>
      </c>
      <c r="G9" s="7">
        <v>2758000000</v>
      </c>
      <c r="H9" s="4"/>
      <c r="I9" s="4"/>
    </row>
    <row r="10" spans="1:9">
      <c r="A10" s="2" t="s">
        <v>18</v>
      </c>
      <c r="B10" s="11">
        <f>B9</f>
        <v>4.7625000000000002</v>
      </c>
      <c r="C10" s="2" t="s">
        <v>19</v>
      </c>
      <c r="D10" s="128"/>
      <c r="E10" s="3"/>
      <c r="F10" s="6" t="s">
        <v>20</v>
      </c>
      <c r="G10" s="7">
        <v>276000000</v>
      </c>
      <c r="H10" s="4"/>
      <c r="I10" s="4"/>
    </row>
    <row r="11" spans="1:9">
      <c r="A11" s="2" t="s">
        <v>21</v>
      </c>
      <c r="B11" s="12">
        <f>25.4/8</f>
        <v>3.1749999999999998</v>
      </c>
      <c r="C11" s="2" t="s">
        <v>22</v>
      </c>
      <c r="D11" s="128" t="s">
        <v>23</v>
      </c>
      <c r="E11" s="3"/>
      <c r="F11" s="139" t="s">
        <v>24</v>
      </c>
      <c r="G11" s="140"/>
      <c r="H11" s="4"/>
      <c r="I11" s="13"/>
    </row>
    <row r="12" spans="1:9">
      <c r="A12" s="2" t="s">
        <v>25</v>
      </c>
      <c r="B12" s="14">
        <v>1</v>
      </c>
      <c r="C12" s="2" t="s">
        <v>26</v>
      </c>
      <c r="D12" s="128"/>
      <c r="E12" s="3"/>
      <c r="F12" s="6" t="s">
        <v>10</v>
      </c>
      <c r="G12" s="7">
        <f>300000*6900</f>
        <v>2070000000</v>
      </c>
      <c r="H12" s="4"/>
      <c r="I12" s="15"/>
    </row>
    <row r="13" spans="1:9">
      <c r="A13" s="2" t="s">
        <v>27</v>
      </c>
      <c r="B13" s="49">
        <f>2.5*25.4</f>
        <v>63.5</v>
      </c>
      <c r="C13" s="2" t="s">
        <v>28</v>
      </c>
      <c r="D13" s="128" t="s">
        <v>29</v>
      </c>
      <c r="E13" s="3"/>
      <c r="F13" s="6" t="s">
        <v>14</v>
      </c>
      <c r="G13" s="7">
        <v>204100000000</v>
      </c>
      <c r="H13" s="4"/>
      <c r="I13" s="15"/>
    </row>
    <row r="14" spans="1:9">
      <c r="A14" s="2" t="s">
        <v>30</v>
      </c>
      <c r="B14" s="129">
        <v>-1.48</v>
      </c>
      <c r="C14" s="2" t="s">
        <v>31</v>
      </c>
      <c r="D14" s="128" t="s">
        <v>32</v>
      </c>
      <c r="E14" s="3"/>
      <c r="F14" s="6" t="s">
        <v>17</v>
      </c>
      <c r="G14" s="7">
        <v>310300000000</v>
      </c>
      <c r="H14" s="4"/>
      <c r="I14" s="15"/>
    </row>
    <row r="15" spans="1:9">
      <c r="A15" s="2" t="s">
        <v>33</v>
      </c>
      <c r="B15" s="62">
        <v>0</v>
      </c>
      <c r="C15" s="2" t="s">
        <v>34</v>
      </c>
      <c r="D15" s="128"/>
      <c r="E15" s="3"/>
      <c r="F15" s="6" t="s">
        <v>20</v>
      </c>
      <c r="G15" s="7">
        <v>68000000000</v>
      </c>
      <c r="H15" s="4"/>
      <c r="I15" s="15"/>
    </row>
    <row r="16" spans="1:9">
      <c r="A16" s="2" t="s">
        <v>35</v>
      </c>
      <c r="B16" s="62">
        <v>0</v>
      </c>
      <c r="C16" s="2" t="s">
        <v>36</v>
      </c>
      <c r="D16" s="128"/>
      <c r="E16" s="3"/>
      <c r="F16" s="139" t="s">
        <v>37</v>
      </c>
      <c r="G16" s="140"/>
      <c r="H16" s="4"/>
      <c r="I16" s="15"/>
    </row>
    <row r="17" spans="1:10">
      <c r="A17" s="2" t="s">
        <v>38</v>
      </c>
      <c r="B17" s="62">
        <v>0</v>
      </c>
      <c r="C17" s="2" t="s">
        <v>39</v>
      </c>
      <c r="D17" s="128"/>
      <c r="E17" s="3"/>
      <c r="F17" s="6" t="s">
        <v>10</v>
      </c>
      <c r="G17" s="16">
        <v>0.2</v>
      </c>
      <c r="H17" s="4"/>
      <c r="I17" s="15"/>
    </row>
    <row r="18" spans="1:10" ht="13.5">
      <c r="A18" s="9" t="s">
        <v>40</v>
      </c>
      <c r="B18" s="17"/>
      <c r="C18" s="2"/>
      <c r="D18" s="2"/>
      <c r="E18" s="3"/>
      <c r="F18" s="6" t="s">
        <v>14</v>
      </c>
      <c r="G18" s="18">
        <v>0.28999999999999998</v>
      </c>
      <c r="H18" s="4"/>
      <c r="I18" s="15"/>
    </row>
    <row r="19" spans="1:10" s="21" customFormat="1" ht="15.75" customHeight="1">
      <c r="A19" s="19" t="s">
        <v>41</v>
      </c>
      <c r="B19" s="9">
        <v>2</v>
      </c>
      <c r="C19" s="151" t="s">
        <v>42</v>
      </c>
      <c r="D19" s="152"/>
      <c r="E19" s="152"/>
      <c r="F19" s="6" t="s">
        <v>17</v>
      </c>
      <c r="G19" s="16">
        <v>0.3</v>
      </c>
      <c r="H19" s="20"/>
      <c r="I19" s="20"/>
    </row>
    <row r="20" spans="1:10" s="23" customFormat="1">
      <c r="A20" s="19" t="s">
        <v>43</v>
      </c>
      <c r="B20" s="9">
        <v>2</v>
      </c>
      <c r="C20" s="153"/>
      <c r="D20" s="154"/>
      <c r="E20" s="155"/>
      <c r="F20" s="68" t="s">
        <v>20</v>
      </c>
      <c r="G20" s="69">
        <v>0.28999999999999998</v>
      </c>
      <c r="H20" s="22"/>
      <c r="I20" s="22"/>
    </row>
    <row r="21" spans="1:10" s="23" customFormat="1" ht="12.75" customHeight="1">
      <c r="A21" s="137" t="s">
        <v>44</v>
      </c>
      <c r="B21" s="137"/>
      <c r="C21" s="81">
        <f>B90</f>
        <v>1724000000</v>
      </c>
      <c r="D21" s="82">
        <f>C21/6900</f>
        <v>249855.07246376813</v>
      </c>
      <c r="E21" s="24"/>
      <c r="F21" s="24"/>
      <c r="G21" s="24"/>
      <c r="H21" s="24"/>
      <c r="I21" s="22"/>
    </row>
    <row r="22" spans="1:10" s="23" customFormat="1" ht="12.75" customHeight="1">
      <c r="A22" s="137" t="s">
        <v>45</v>
      </c>
      <c r="B22" s="137"/>
      <c r="C22" s="83">
        <f>1000*2*MAX(I42,I43,I45,I46,I48,I49)</f>
        <v>0.16475296868662409</v>
      </c>
      <c r="D22" s="81"/>
      <c r="E22" s="70"/>
      <c r="F22" s="64"/>
      <c r="G22" s="65"/>
      <c r="H22" s="24"/>
      <c r="I22" s="24"/>
    </row>
    <row r="23" spans="1:10" s="23" customFormat="1">
      <c r="A23" s="137" t="s">
        <v>46</v>
      </c>
      <c r="B23" s="137"/>
      <c r="C23" s="83">
        <f>1000*2*MAX(J42,J43,J45,J46,J48,J49)</f>
        <v>8.9921472308039721E-2</v>
      </c>
      <c r="D23" s="77"/>
      <c r="E23" s="24"/>
      <c r="F23" s="24"/>
      <c r="G23" s="24"/>
      <c r="H23" s="24"/>
      <c r="I23" s="24"/>
    </row>
    <row r="24" spans="1:10" s="23" customFormat="1">
      <c r="A24" s="137" t="s">
        <v>47</v>
      </c>
      <c r="B24" s="137"/>
      <c r="C24" s="84">
        <f>MAX(E42,E43,E45,E46,E48,E49)</f>
        <v>0.51225545336414335</v>
      </c>
      <c r="D24" s="77"/>
      <c r="E24" s="24"/>
      <c r="F24" s="24"/>
      <c r="G24" s="24"/>
      <c r="H24" s="24"/>
      <c r="I24" s="24"/>
    </row>
    <row r="25" spans="1:10" s="23" customFormat="1">
      <c r="A25" s="165" t="s">
        <v>48</v>
      </c>
      <c r="B25" s="165"/>
      <c r="C25" s="71">
        <f>SQRT(FLx^2+FLy^2+FLz^2)</f>
        <v>23.323807579381203</v>
      </c>
      <c r="D25" s="77"/>
      <c r="E25" s="24"/>
      <c r="F25" s="24"/>
      <c r="G25" s="24"/>
      <c r="H25" s="24"/>
      <c r="I25" s="24"/>
    </row>
    <row r="26" spans="1:10" s="23" customFormat="1">
      <c r="A26" s="137" t="s">
        <v>49</v>
      </c>
      <c r="B26" s="137"/>
      <c r="C26" s="82">
        <f>C25/E55/1000000</f>
        <v>59.919238274100842</v>
      </c>
      <c r="D26" s="77"/>
      <c r="E26" s="24"/>
      <c r="F26" s="24"/>
      <c r="G26" s="24"/>
      <c r="H26" s="24"/>
      <c r="I26" s="24"/>
    </row>
    <row r="27" spans="1:10" s="23" customFormat="1">
      <c r="A27" s="157" t="s">
        <v>50</v>
      </c>
      <c r="B27" s="164"/>
      <c r="C27" s="127">
        <f>1000*AVERAGE(H42,H43,H45,H46,H48,H49)*AVERAGE(Gba,Gbb,Gbc,Gbd,Gbe,Gbf)</f>
        <v>1.7785830116160735E-4</v>
      </c>
      <c r="D27" s="77"/>
      <c r="E27" s="24"/>
      <c r="F27" s="24"/>
      <c r="G27" s="24"/>
      <c r="H27" s="24"/>
      <c r="I27" s="24"/>
    </row>
    <row r="28" spans="1:10" s="23" customFormat="1">
      <c r="A28" s="131" t="s">
        <v>51</v>
      </c>
      <c r="B28" s="14">
        <v>-10</v>
      </c>
      <c r="C28" s="85"/>
      <c r="D28" s="77"/>
      <c r="E28" s="24"/>
      <c r="F28" s="24"/>
      <c r="G28" s="24"/>
      <c r="H28" s="24"/>
      <c r="I28" s="24"/>
    </row>
    <row r="29" spans="1:10" s="23" customFormat="1">
      <c r="A29" s="131" t="s">
        <v>52</v>
      </c>
      <c r="B29" s="14">
        <v>0</v>
      </c>
      <c r="C29" s="85"/>
      <c r="D29" s="77"/>
      <c r="E29" s="24"/>
      <c r="F29" s="24"/>
      <c r="G29" s="24"/>
      <c r="H29" s="24"/>
      <c r="I29" s="24"/>
    </row>
    <row r="30" spans="1:10" s="23" customFormat="1">
      <c r="A30" s="141" t="s">
        <v>53</v>
      </c>
      <c r="B30" s="142"/>
      <c r="C30" s="143"/>
      <c r="D30" s="24"/>
      <c r="E30" s="138" t="s">
        <v>54</v>
      </c>
      <c r="F30" s="138"/>
      <c r="G30" s="2"/>
      <c r="H30" s="2"/>
      <c r="I30" s="2"/>
      <c r="J30" s="1"/>
    </row>
    <row r="31" spans="1:10">
      <c r="A31" s="2" t="s">
        <v>55</v>
      </c>
      <c r="B31" s="87">
        <v>12</v>
      </c>
      <c r="C31" s="2" t="s">
        <v>56</v>
      </c>
      <c r="D31" s="9">
        <v>0</v>
      </c>
      <c r="E31" s="2" t="s">
        <v>57</v>
      </c>
      <c r="F31" s="26">
        <f>xci*1000</f>
        <v>0</v>
      </c>
      <c r="G31" s="2"/>
      <c r="H31" s="2" t="s">
        <v>58</v>
      </c>
      <c r="I31" s="26">
        <f>D31/1000</f>
        <v>0</v>
      </c>
    </row>
    <row r="32" spans="1:10">
      <c r="A32" s="2" t="s">
        <v>59</v>
      </c>
      <c r="B32" s="88">
        <v>0</v>
      </c>
      <c r="C32" s="2" t="s">
        <v>60</v>
      </c>
      <c r="D32" s="9">
        <v>0</v>
      </c>
      <c r="E32" s="2" t="s">
        <v>61</v>
      </c>
      <c r="F32" s="26">
        <f>yci*1000</f>
        <v>0</v>
      </c>
      <c r="G32" s="2"/>
      <c r="H32" s="2" t="s">
        <v>62</v>
      </c>
      <c r="I32" s="26">
        <f>D32/1000</f>
        <v>0</v>
      </c>
    </row>
    <row r="33" spans="1:11" ht="13.5" thickBot="1">
      <c r="A33" s="2" t="s">
        <v>63</v>
      </c>
      <c r="B33" s="88">
        <v>-20</v>
      </c>
      <c r="C33" s="2" t="s">
        <v>64</v>
      </c>
      <c r="D33" s="86">
        <f>Zerr</f>
        <v>0</v>
      </c>
      <c r="E33" s="2" t="s">
        <v>65</v>
      </c>
      <c r="F33" s="26">
        <f>zci*1000</f>
        <v>0</v>
      </c>
      <c r="G33" s="2"/>
      <c r="H33" s="2" t="s">
        <v>66</v>
      </c>
      <c r="I33" s="26">
        <f>D33/1000</f>
        <v>0</v>
      </c>
    </row>
    <row r="34" spans="1:11" s="34" customFormat="1">
      <c r="A34" s="9" t="s">
        <v>67</v>
      </c>
      <c r="B34" s="2"/>
      <c r="C34" s="2"/>
      <c r="D34" s="2"/>
      <c r="E34" s="2"/>
      <c r="F34" s="2"/>
      <c r="G34" s="2"/>
      <c r="H34" s="2"/>
      <c r="I34" s="2"/>
    </row>
    <row r="35" spans="1:11">
      <c r="A35" s="2" t="s">
        <v>68</v>
      </c>
      <c r="B35" s="2"/>
      <c r="C35" s="2"/>
      <c r="D35" s="2"/>
      <c r="E35" s="25"/>
      <c r="F35" s="2"/>
      <c r="G35" s="2"/>
      <c r="H35" s="2"/>
      <c r="I35" s="2"/>
    </row>
    <row r="36" spans="1:11" s="93" customFormat="1">
      <c r="A36" s="90" t="s">
        <v>69</v>
      </c>
      <c r="B36" s="91">
        <f>B221*1000</f>
        <v>-2.0111635391708405E-4</v>
      </c>
      <c r="C36" s="90"/>
      <c r="D36" s="90" t="s">
        <v>70</v>
      </c>
      <c r="E36" s="91">
        <f>B222*1000</f>
        <v>0</v>
      </c>
      <c r="F36" s="90"/>
      <c r="G36" s="90" t="s">
        <v>71</v>
      </c>
      <c r="H36" s="91">
        <f>B223*1000</f>
        <v>3.3327308010947237E-4</v>
      </c>
      <c r="I36" s="92"/>
    </row>
    <row r="37" spans="1:11" s="93" customFormat="1">
      <c r="A37" s="90" t="s">
        <v>72</v>
      </c>
      <c r="B37" s="91">
        <f>(B36/(Dcoup/2))*180/PI()</f>
        <v>-3.6293285891364659E-4</v>
      </c>
      <c r="C37" s="90"/>
      <c r="D37" s="90"/>
      <c r="E37" s="91">
        <f>(E36/(Dcoup/2))*180/PI()</f>
        <v>0</v>
      </c>
      <c r="F37" s="90"/>
      <c r="G37" s="90"/>
      <c r="H37" s="92"/>
      <c r="I37" s="92"/>
    </row>
    <row r="38" spans="1:11" s="93" customFormat="1" ht="13.5" thickBot="1">
      <c r="A38" s="106" t="s">
        <v>73</v>
      </c>
      <c r="B38" s="94">
        <f>SQRT(B36^2+E36^2+H36^2)</f>
        <v>3.8925407350284287E-4</v>
      </c>
      <c r="C38" s="106"/>
      <c r="D38" s="106"/>
      <c r="E38" s="94"/>
      <c r="F38" s="106"/>
      <c r="G38" s="106"/>
      <c r="H38" s="110"/>
      <c r="I38" s="110"/>
    </row>
    <row r="39" spans="1:11" ht="14.1" customHeight="1">
      <c r="A39" s="172" t="s">
        <v>74</v>
      </c>
      <c r="B39" s="179"/>
      <c r="C39" s="172" t="s">
        <v>75</v>
      </c>
      <c r="D39" s="173"/>
      <c r="E39" s="134" t="s">
        <v>76</v>
      </c>
      <c r="F39" s="177" t="s">
        <v>77</v>
      </c>
      <c r="G39" s="181"/>
      <c r="H39" s="182"/>
      <c r="I39" s="177" t="s">
        <v>78</v>
      </c>
      <c r="J39" s="178"/>
    </row>
    <row r="40" spans="1:11" s="23" customFormat="1" ht="12.95" customHeight="1">
      <c r="A40" s="174"/>
      <c r="B40" s="180"/>
      <c r="C40" s="174"/>
      <c r="D40" s="175"/>
      <c r="E40" s="135"/>
      <c r="F40" s="111" t="s">
        <v>79</v>
      </c>
      <c r="G40" s="97" t="s">
        <v>80</v>
      </c>
      <c r="H40" s="130" t="s">
        <v>81</v>
      </c>
      <c r="I40" s="119" t="s">
        <v>82</v>
      </c>
      <c r="J40" s="112" t="s">
        <v>83</v>
      </c>
    </row>
    <row r="41" spans="1:11" s="23" customFormat="1">
      <c r="A41" s="168" t="s">
        <v>84</v>
      </c>
      <c r="B41" s="169"/>
      <c r="C41" s="158" t="s">
        <v>84</v>
      </c>
      <c r="D41" s="159"/>
      <c r="E41" s="160"/>
      <c r="F41" s="158" t="s">
        <v>84</v>
      </c>
      <c r="G41" s="159"/>
      <c r="H41" s="116"/>
      <c r="I41" s="120" t="s">
        <v>84</v>
      </c>
      <c r="J41" s="113"/>
      <c r="K41" s="114"/>
    </row>
    <row r="42" spans="1:11" ht="13.5">
      <c r="A42" s="98" t="s">
        <v>85</v>
      </c>
      <c r="B42" s="99">
        <f>fbnone</f>
        <v>11.417417493558784</v>
      </c>
      <c r="C42" s="98" t="s">
        <v>86</v>
      </c>
      <c r="D42" s="27">
        <f>3*fbnone/(2*PI()*I42*J42)</f>
        <v>1471880669.332972</v>
      </c>
      <c r="E42" s="108">
        <f>0.3*D42/(0.5*Sone)</f>
        <v>0.51225545336414335</v>
      </c>
      <c r="F42" s="100" t="s">
        <v>87</v>
      </c>
      <c r="G42" s="27">
        <f>lambda_1*(2*fbnone^2/(3*Reone*Eeone^2))^0.33333-lambda_1*(2*fone^2/(3*Reone*Eeone^2))^0.33333</f>
        <v>9.8551628226414353E-7</v>
      </c>
      <c r="H42" s="117">
        <f>lambda_1*(2*fone^2/(3*Reone*Eeone^2))^0.33333</f>
        <v>2.5147352074382725E-7</v>
      </c>
      <c r="I42" s="121">
        <f>alpha_1*(1.5*fbnone*Reone/Eeone)^0.333333</f>
        <v>8.2376484343312051E-5</v>
      </c>
      <c r="J42" s="103">
        <f>beta_1*(1.5*fbnone*Reone/Eeone)^0.333333</f>
        <v>4.496073615401986E-5</v>
      </c>
    </row>
    <row r="43" spans="1:11" ht="13.5">
      <c r="A43" s="98" t="s">
        <v>88</v>
      </c>
      <c r="B43" s="99">
        <f>fbntwo</f>
        <v>0.10370899457402594</v>
      </c>
      <c r="C43" s="98" t="s">
        <v>89</v>
      </c>
      <c r="D43" s="27">
        <f>3*fbntwo/(2*PI()*I43*J43)</f>
        <v>307105377.49219376</v>
      </c>
      <c r="E43" s="108">
        <f>0.3*D43/(0.5*Sone)</f>
        <v>0.10688122186503261</v>
      </c>
      <c r="F43" s="100" t="s">
        <v>90</v>
      </c>
      <c r="G43" s="27">
        <f>lambda_1*(2*fbntwo^2/(3*Reone*Eeone^2))^0.33333-lambda_1*(2*ftwo^2/(3*Reone*Eeone^2))^0.33333</f>
        <v>-1.9762024906100797E-7</v>
      </c>
      <c r="H43" s="117">
        <f>lambda_1*(2*ftwo^2/(3*Reone*Eeone^2))^0.33333</f>
        <v>2.5147352074382725E-7</v>
      </c>
      <c r="I43" s="121">
        <f>alpha_1*(1.5*fbntwo*Reone/Eeone)^0.333333</f>
        <v>1.7187792993678413E-5</v>
      </c>
      <c r="J43" s="103">
        <f>beta_1*(1.5*fbntwo*Reone/Eeone)^0.333333</f>
        <v>9.3810245972390291E-6</v>
      </c>
    </row>
    <row r="44" spans="1:11" s="23" customFormat="1" ht="13.5">
      <c r="A44" s="168" t="s">
        <v>91</v>
      </c>
      <c r="B44" s="169"/>
      <c r="C44" s="158" t="s">
        <v>91</v>
      </c>
      <c r="D44" s="159"/>
      <c r="E44" s="160"/>
      <c r="F44" s="158" t="s">
        <v>91</v>
      </c>
      <c r="G44" s="159"/>
      <c r="H44" s="117"/>
      <c r="I44" s="158" t="s">
        <v>91</v>
      </c>
      <c r="J44" s="183"/>
      <c r="K44" s="114"/>
    </row>
    <row r="45" spans="1:11" s="23" customFormat="1" ht="13.5">
      <c r="A45" s="98" t="s">
        <v>92</v>
      </c>
      <c r="B45" s="99">
        <f>fbnthree</f>
        <v>2.9321361193202167</v>
      </c>
      <c r="C45" s="98" t="s">
        <v>93</v>
      </c>
      <c r="D45" s="27">
        <f>3*fbnthree/(2*PI()*I45*J45)</f>
        <v>935572878.15961623</v>
      </c>
      <c r="E45" s="108">
        <f>0.3*D45/(0.5*Stwo)</f>
        <v>0.325605410032349</v>
      </c>
      <c r="F45" s="100" t="s">
        <v>94</v>
      </c>
      <c r="G45" s="27">
        <f>lambda_2*(2*fbnthree^2/(3*Retwo*Eetwo^2))^0.33333-lambda_2*(2*fthree^2/(3*Retwo*Eetwo^2))^0.33333</f>
        <v>2.4830879620005828E-7</v>
      </c>
      <c r="H45" s="117">
        <f>lambda_2*(2*fthree^2/(3*Retwo*Eetwo^2))^0.33333</f>
        <v>2.5147352074382725E-7</v>
      </c>
      <c r="I45" s="121">
        <f>alpha_2*(1.5*fbnthree*Retwo/Eetwo)^0.333333</f>
        <v>5.2361112503296808E-5</v>
      </c>
      <c r="J45" s="103">
        <f>beta_2*(1.5*fbnthree*Retwo/Eetwo)^0.333333</f>
        <v>2.8578473368447525E-5</v>
      </c>
    </row>
    <row r="46" spans="1:11" ht="13.5">
      <c r="A46" s="98" t="s">
        <v>95</v>
      </c>
      <c r="B46" s="99">
        <f>fbnfour</f>
        <v>8.5889903688125973</v>
      </c>
      <c r="C46" s="98" t="s">
        <v>96</v>
      </c>
      <c r="D46" s="27">
        <f>3*fbnfour/(2*PI()*I46*J46)</f>
        <v>1338640408.1740057</v>
      </c>
      <c r="E46" s="108">
        <f>0.3*D46/(0.5*Stwo)</f>
        <v>0.46588413277517604</v>
      </c>
      <c r="F46" s="100" t="s">
        <v>97</v>
      </c>
      <c r="G46" s="27">
        <f>lambda_2*(2*fbnfour^2/(3*Retwo*Eetwo^2))^0.33333-lambda_2*(2*ffour^2/(3*Retwo*Eetwo^2))^0.33333</f>
        <v>7.7170111679577388E-7</v>
      </c>
      <c r="H46" s="117">
        <f>lambda_2*(2*ffour^2/(3*Retwo*Eetwo^2))^0.33333</f>
        <v>2.5147352074382725E-7</v>
      </c>
      <c r="I46" s="121">
        <f>alpha_2*(1.5*fbnfour*Retwo/Eetwo)^0.333333</f>
        <v>7.4919471607225174E-5</v>
      </c>
      <c r="J46" s="103">
        <f>beta_2*(1.5*fbnfour*Retwo/Eetwo)^0.333333</f>
        <v>4.089073019543724E-5</v>
      </c>
    </row>
    <row r="47" spans="1:11" ht="12.95" customHeight="1">
      <c r="A47" s="170" t="s">
        <v>98</v>
      </c>
      <c r="B47" s="171"/>
      <c r="C47" s="156" t="s">
        <v>98</v>
      </c>
      <c r="D47" s="137"/>
      <c r="E47" s="157"/>
      <c r="F47" s="100"/>
      <c r="G47" s="2"/>
      <c r="H47" s="117"/>
      <c r="I47" s="156" t="s">
        <v>98</v>
      </c>
      <c r="J47" s="176"/>
      <c r="K47" s="115"/>
    </row>
    <row r="48" spans="1:11" ht="13.5">
      <c r="A48" s="100" t="s">
        <v>99</v>
      </c>
      <c r="B48" s="99">
        <f>fbnfive</f>
        <v>2.9321361193202162</v>
      </c>
      <c r="C48" s="98" t="s">
        <v>100</v>
      </c>
      <c r="D48" s="27">
        <f>3*fbnfive/(2*PI()*I48*J48)</f>
        <v>935572878.15961611</v>
      </c>
      <c r="E48" s="108">
        <f>0.3*D48/(0.5*Sthree)</f>
        <v>0.32560541003234894</v>
      </c>
      <c r="F48" s="100" t="s">
        <v>101</v>
      </c>
      <c r="G48" s="27">
        <f>lambda_3*(2*fbnfive^2/(3*Rethree*Eethree^2))^0.33333-lambda_3*(2*ffive^2/(3*Rethree*Eethree^2))^0.33333</f>
        <v>2.4830879620005828E-7</v>
      </c>
      <c r="H48" s="117">
        <f>lambda_3*(2*ffive^2/(3*Rethree*Eethree^2))^0.3333</f>
        <v>2.5181012638116478E-7</v>
      </c>
      <c r="I48" s="121">
        <f>alpha_3*(1.5*fbnfive*Rethree/Eethree)^0.333333</f>
        <v>5.2361112503296808E-5</v>
      </c>
      <c r="J48" s="103">
        <f>beta_3*(1.5*fbnfive*Rethree/Eethree)^0.333333</f>
        <v>2.8578473368447525E-5</v>
      </c>
    </row>
    <row r="49" spans="1:10" s="23" customFormat="1" ht="14.25" thickBot="1">
      <c r="A49" s="101" t="s">
        <v>102</v>
      </c>
      <c r="B49" s="102">
        <f>fbnsix</f>
        <v>8.5889903688125973</v>
      </c>
      <c r="C49" s="104" t="s">
        <v>103</v>
      </c>
      <c r="D49" s="107">
        <f>3*fbnsix/(2*PI()*I49*J49)</f>
        <v>1338640408.1740057</v>
      </c>
      <c r="E49" s="109">
        <f>0.3*D49/(0.5*Sthree)</f>
        <v>0.46588413277517604</v>
      </c>
      <c r="F49" s="101" t="s">
        <v>104</v>
      </c>
      <c r="G49" s="107">
        <f>lambda_3*(2*fbnsix^2/(3*Rethree*Eethree^2))^0.33333-lambda_3*(2*fsix^2/(3*Rethree*Eethree^2))^0.33333</f>
        <v>7.7170111679577388E-7</v>
      </c>
      <c r="H49" s="118">
        <f>lambda_3*(2*fsix^2/(3*Rethree*Eethree^2))^0.33333</f>
        <v>2.5147352074382725E-7</v>
      </c>
      <c r="I49" s="122">
        <f>alpha_3*(1.5*fbnsix*Rethree/Eethree)^0.333333</f>
        <v>7.4919471607225174E-5</v>
      </c>
      <c r="J49" s="105">
        <f>beta_3*(1.5*fbnsix*Rethree/Eethree)^0.333333</f>
        <v>4.089073019543724E-5</v>
      </c>
    </row>
    <row r="52" spans="1:10">
      <c r="E52" s="28"/>
      <c r="F52" s="2"/>
      <c r="G52" s="29"/>
      <c r="H52" s="25"/>
      <c r="I52" s="2"/>
    </row>
    <row r="53" spans="1:10">
      <c r="A53" s="9" t="s">
        <v>105</v>
      </c>
      <c r="B53" s="29"/>
      <c r="C53" s="2"/>
      <c r="D53" s="73" t="s">
        <v>106</v>
      </c>
      <c r="E53" s="73" t="s">
        <v>107</v>
      </c>
      <c r="F53" s="74" t="s">
        <v>108</v>
      </c>
      <c r="G53" s="2"/>
      <c r="H53" s="2"/>
      <c r="I53" s="2"/>
    </row>
    <row r="54" spans="1:10" ht="13.5">
      <c r="A54" s="161" t="s">
        <v>109</v>
      </c>
      <c r="B54" s="162"/>
      <c r="C54" s="2"/>
      <c r="D54" s="72">
        <f>Xerr/1000</f>
        <v>0</v>
      </c>
      <c r="E54" s="72">
        <f>Yerr/1000</f>
        <v>0</v>
      </c>
      <c r="F54" s="72">
        <f>Zerr/1000</f>
        <v>0</v>
      </c>
      <c r="G54" s="2"/>
      <c r="H54" s="2"/>
      <c r="I54" s="2"/>
    </row>
    <row r="55" spans="1:10">
      <c r="A55" s="2" t="s">
        <v>110</v>
      </c>
      <c r="B55" s="29">
        <f>DeltaX</f>
        <v>-2.0111635391708405E-7</v>
      </c>
      <c r="C55" s="2"/>
      <c r="D55" s="2" t="s">
        <v>111</v>
      </c>
      <c r="E55" s="80">
        <f>SQRT(B55^2+B56^2+B57^2)</f>
        <v>3.8925407350284283E-7</v>
      </c>
      <c r="F55" s="2"/>
      <c r="G55" s="2"/>
      <c r="H55" s="2"/>
      <c r="I55" s="2"/>
    </row>
    <row r="56" spans="1:10">
      <c r="A56" s="2" t="s">
        <v>112</v>
      </c>
      <c r="B56" s="29">
        <f>DeltaY</f>
        <v>0</v>
      </c>
      <c r="C56" s="2"/>
      <c r="D56" s="30" t="s">
        <v>113</v>
      </c>
      <c r="E56" s="31"/>
      <c r="F56" s="29"/>
      <c r="G56" s="2"/>
      <c r="H56" s="2"/>
      <c r="I56" s="2"/>
    </row>
    <row r="57" spans="1:10">
      <c r="A57" s="2" t="s">
        <v>114</v>
      </c>
      <c r="B57" s="29">
        <f>DeltaZ</f>
        <v>3.3327308010947236E-7</v>
      </c>
      <c r="C57" s="2"/>
      <c r="D57" s="29">
        <f t="array" ref="D57:G60">A216:D219</f>
        <v>1</v>
      </c>
      <c r="E57" s="29">
        <v>-5.0611730257825117E-7</v>
      </c>
      <c r="F57" s="29">
        <v>0</v>
      </c>
      <c r="G57" s="29">
        <v>-2.0111635391708405E-7</v>
      </c>
      <c r="H57" s="2"/>
      <c r="I57" s="2"/>
      <c r="J57" s="32"/>
    </row>
    <row r="58" spans="1:10">
      <c r="A58" s="2" t="s">
        <v>115</v>
      </c>
      <c r="B58" s="29">
        <f>EpsX</f>
        <v>-1.7231101536905258E-6</v>
      </c>
      <c r="C58" s="89">
        <f>B58*180/PI()</f>
        <v>-9.8726939442605755E-5</v>
      </c>
      <c r="D58" s="29">
        <v>5.0611730257825117E-7</v>
      </c>
      <c r="E58" s="29">
        <v>1</v>
      </c>
      <c r="F58" s="29">
        <v>1.7231101536905258E-6</v>
      </c>
      <c r="G58" s="29">
        <v>0</v>
      </c>
      <c r="H58" s="2"/>
      <c r="I58" s="2"/>
    </row>
    <row r="59" spans="1:10">
      <c r="A59" s="2" t="s">
        <v>116</v>
      </c>
      <c r="B59" s="29">
        <f>EpsY</f>
        <v>0</v>
      </c>
      <c r="C59" s="2"/>
      <c r="D59" s="29">
        <v>0</v>
      </c>
      <c r="E59" s="29">
        <v>-1.7231101536905258E-6</v>
      </c>
      <c r="F59" s="29">
        <v>1</v>
      </c>
      <c r="G59" s="29">
        <v>3.3327308010947236E-7</v>
      </c>
      <c r="H59" s="2"/>
      <c r="I59" s="2"/>
    </row>
    <row r="60" spans="1:10" ht="13.5" thickBot="1">
      <c r="A60" s="2" t="s">
        <v>117</v>
      </c>
      <c r="B60" s="29">
        <f>EpsZ</f>
        <v>5.0611730257825117E-7</v>
      </c>
      <c r="C60" s="2"/>
      <c r="D60" s="29">
        <v>0</v>
      </c>
      <c r="E60" s="29">
        <v>0</v>
      </c>
      <c r="F60" s="29">
        <v>0</v>
      </c>
      <c r="G60" s="29">
        <v>1</v>
      </c>
      <c r="H60" s="2"/>
      <c r="I60" s="2"/>
    </row>
    <row r="61" spans="1:10" s="33" customFormat="1">
      <c r="A61" s="35" t="s">
        <v>118</v>
      </c>
      <c r="B61" s="36"/>
      <c r="C61" s="37"/>
      <c r="D61" s="36"/>
      <c r="E61" s="36"/>
      <c r="F61" s="36"/>
      <c r="G61" s="36"/>
      <c r="H61" s="36"/>
      <c r="I61" s="36"/>
    </row>
    <row r="62" spans="1:10" s="23" customFormat="1" ht="13.5">
      <c r="A62" s="38" t="s">
        <v>119</v>
      </c>
    </row>
    <row r="63" spans="1:10" s="23" customFormat="1" ht="13.5">
      <c r="A63" s="38" t="s">
        <v>120</v>
      </c>
    </row>
    <row r="64" spans="1:10" s="23" customFormat="1">
      <c r="A64" s="23" t="s">
        <v>121</v>
      </c>
    </row>
    <row r="65" spans="1:6" s="23" customFormat="1">
      <c r="A65" s="37" t="s">
        <v>122</v>
      </c>
      <c r="B65" s="63">
        <f>Dbeq/1000</f>
        <v>9.5250000000000005E-3</v>
      </c>
    </row>
    <row r="66" spans="1:6" s="23" customFormat="1">
      <c r="A66" s="37" t="s">
        <v>123</v>
      </c>
      <c r="B66" s="26">
        <f>Dcoup/1000</f>
        <v>6.3500000000000001E-2</v>
      </c>
    </row>
    <row r="67" spans="1:6">
      <c r="B67" s="1" t="s">
        <v>124</v>
      </c>
      <c r="D67" s="1" t="s">
        <v>125</v>
      </c>
    </row>
    <row r="68" spans="1:6">
      <c r="A68" s="1" t="s">
        <v>126</v>
      </c>
      <c r="B68" s="39">
        <f>IF($E$5=TRUE,Dball*SQRT(2)/4,user number)</f>
        <v>3.3675960454009331E-3</v>
      </c>
      <c r="C68" s="40" t="s">
        <v>127</v>
      </c>
      <c r="D68" s="39">
        <f>IF($E$5=TRUE,-Dball*SQRT(2)/4,user number)</f>
        <v>-3.3675960454009331E-3</v>
      </c>
    </row>
    <row r="69" spans="1:6">
      <c r="A69" s="1" t="s">
        <v>128</v>
      </c>
      <c r="B69" s="39">
        <f>IF($E$5=TRUE,Dcoupling/2,user number)</f>
        <v>3.175E-2</v>
      </c>
      <c r="C69" s="40" t="s">
        <v>129</v>
      </c>
      <c r="D69" s="39">
        <f>IF($E$5=TRUE,Dcoupling/2,user number)</f>
        <v>3.175E-2</v>
      </c>
    </row>
    <row r="70" spans="1:6">
      <c r="A70" s="1" t="s">
        <v>130</v>
      </c>
      <c r="B70" s="39">
        <f>IF($E$5=TRUE,-Dball*SQRT(2)/4,user defined)</f>
        <v>-3.3675960454009331E-3</v>
      </c>
      <c r="C70" s="40" t="s">
        <v>131</v>
      </c>
      <c r="D70" s="39">
        <f>IF($E$5=TRUE,-Dball*SQRT(2)/4,user defined)</f>
        <v>-3.3675960454009331E-3</v>
      </c>
    </row>
    <row r="71" spans="1:6">
      <c r="A71" s="1" t="s">
        <v>132</v>
      </c>
      <c r="B71" s="39">
        <f>IF($E$5=TRUE,-SQRT(2)/2,user defined)</f>
        <v>-0.70710678118654757</v>
      </c>
      <c r="C71" s="40" t="s">
        <v>133</v>
      </c>
      <c r="D71" s="39">
        <f>IF($E$5=TRUE,SQRT(2)/2,user number)</f>
        <v>0.70710678118654757</v>
      </c>
    </row>
    <row r="72" spans="1:6">
      <c r="A72" s="1" t="s">
        <v>134</v>
      </c>
      <c r="B72" s="39">
        <f>IF($E$5=TRUE,0,user number)</f>
        <v>0</v>
      </c>
      <c r="C72" s="40" t="s">
        <v>135</v>
      </c>
      <c r="D72" s="39">
        <f>IF($E$5=TRUE,0,user number)</f>
        <v>0</v>
      </c>
    </row>
    <row r="73" spans="1:6">
      <c r="A73" s="1" t="s">
        <v>136</v>
      </c>
      <c r="B73" s="39">
        <f>IF($E$5=TRUE,SQRT(2)/2,user number)</f>
        <v>0.70710678118654757</v>
      </c>
      <c r="C73" s="40" t="s">
        <v>137</v>
      </c>
      <c r="D73" s="39">
        <f>IF($E$5=TRUE,SQRT(2)/2,user number)</f>
        <v>0.70710678118654757</v>
      </c>
      <c r="F73" s="150" t="s">
        <v>138</v>
      </c>
    </row>
    <row r="74" spans="1:6" s="23" customFormat="1">
      <c r="A74" s="23" t="s">
        <v>139</v>
      </c>
      <c r="E74" s="41"/>
      <c r="F74" s="150"/>
    </row>
    <row r="75" spans="1:6">
      <c r="A75" s="1" t="s">
        <v>140</v>
      </c>
      <c r="B75" s="42">
        <f>IF(matlabgroove=1,Eplastic,IF(matlabgroove=2,ESteel,IF(matlabgroove=3,ESiN,IF(matlabgroove=4,Eother_4,F75))))</f>
        <v>204100000000</v>
      </c>
      <c r="C75" s="132" t="s">
        <v>141</v>
      </c>
      <c r="D75" s="132"/>
      <c r="E75" s="132"/>
      <c r="F75" s="43"/>
    </row>
    <row r="76" spans="1:6">
      <c r="A76" s="1" t="s">
        <v>142</v>
      </c>
      <c r="B76" s="44">
        <f>IF(matlabgroove=1,vplastic,IF(matlabgroove=2,vSteel,IF(matlabgroove=3,vSiN,IF(matlabgroove=4,vother_4,F76))))</f>
        <v>0.28999999999999998</v>
      </c>
      <c r="C76" s="132" t="s">
        <v>143</v>
      </c>
      <c r="D76" s="132"/>
      <c r="E76" s="132"/>
      <c r="F76" s="43"/>
    </row>
    <row r="77" spans="1:6">
      <c r="A77" s="1" t="s">
        <v>144</v>
      </c>
      <c r="B77" s="45">
        <f>IF($E$5=TRUE,Rgroove,user number)/1000</f>
        <v>3.1749999999999999E-3</v>
      </c>
      <c r="C77" s="1" t="s">
        <v>145</v>
      </c>
      <c r="F77" s="2"/>
    </row>
    <row r="78" spans="1:6">
      <c r="A78" s="1" t="s">
        <v>146</v>
      </c>
      <c r="B78" s="42">
        <f>IF(matlabball=1,Eplastic,IF(matlabball=2,ESteel,IF(matlabball=3,ESiN,IF(matlabball=4,Eother_4,F78))))</f>
        <v>204100000000</v>
      </c>
      <c r="C78" s="132" t="s">
        <v>147</v>
      </c>
      <c r="D78" s="132"/>
      <c r="E78" s="132"/>
      <c r="F78" s="43"/>
    </row>
    <row r="79" spans="1:6">
      <c r="A79" s="1" t="s">
        <v>148</v>
      </c>
      <c r="B79" s="46">
        <f>IF(matlabball=1,vplastic,IF(matlabball=2,vSteel,IF(matlabball=3,vSiN,IF(matlabball=4,vother_4,F79))))</f>
        <v>0.28999999999999998</v>
      </c>
      <c r="C79" s="132" t="s">
        <v>149</v>
      </c>
      <c r="D79" s="132"/>
      <c r="E79" s="132"/>
      <c r="F79" s="43"/>
    </row>
    <row r="80" spans="1:6">
      <c r="A80" s="1" t="s">
        <v>150</v>
      </c>
      <c r="B80" s="42">
        <f>1/((1-vgone^2)/Egone+(1-vbone^2)/Ebone)</f>
        <v>111420460748.99005</v>
      </c>
      <c r="C80" s="1" t="s">
        <v>151</v>
      </c>
      <c r="E80" s="47"/>
    </row>
    <row r="81" spans="1:6">
      <c r="A81" s="1" t="s">
        <v>152</v>
      </c>
      <c r="B81" s="42">
        <f>IF($E$5=TRUE,Dball,user number)</f>
        <v>9.5250000000000005E-3</v>
      </c>
      <c r="C81" s="1" t="s">
        <v>153</v>
      </c>
      <c r="E81" s="47"/>
    </row>
    <row r="82" spans="1:6">
      <c r="A82" s="1" t="s">
        <v>154</v>
      </c>
      <c r="B82" s="45">
        <f>IF($E$5=TRUE,Rbmajor,user number)/1000</f>
        <v>4.7625000000000002E-3</v>
      </c>
      <c r="C82" s="1" t="s">
        <v>155</v>
      </c>
      <c r="F82" s="43"/>
    </row>
    <row r="83" spans="1:6">
      <c r="A83" s="1" t="s">
        <v>156</v>
      </c>
      <c r="B83" s="45">
        <f>IF($E$5=TRUE,Rbminor,user number)/1000</f>
        <v>4.7625000000000002E-3</v>
      </c>
      <c r="C83" s="1" t="s">
        <v>157</v>
      </c>
      <c r="F83" s="43"/>
    </row>
    <row r="84" spans="1:6">
      <c r="A84" s="1" t="s">
        <v>158</v>
      </c>
      <c r="B84" s="45">
        <f>1/(1/Rgone+1/Rpone+1/Raone)</f>
        <v>1.3607142857142856E-3</v>
      </c>
      <c r="C84" s="1" t="s">
        <v>159</v>
      </c>
    </row>
    <row r="85" spans="1:6">
      <c r="A85" s="1" t="s">
        <v>160</v>
      </c>
      <c r="B85" s="45">
        <f>Reone*SQRT((1/Rgone)^2+(1/Rpone-1/Raone)^2+2*(-1/Rgone)*(1/Rpone-1/Raone)*COS(IF(Costheta=TRUE, 0,2*PI()/2)))</f>
        <v>0.42857142857142855</v>
      </c>
      <c r="C85" s="1" t="s">
        <v>161</v>
      </c>
    </row>
    <row r="86" spans="1:6">
      <c r="A86" s="1" t="s">
        <v>162</v>
      </c>
      <c r="B86" s="45">
        <f>ACOS(B85)</f>
        <v>1.1278852827212578</v>
      </c>
    </row>
    <row r="87" spans="1:6">
      <c r="A87" s="1" t="s">
        <v>163</v>
      </c>
      <c r="B87" s="45">
        <f>1.939*2.71831^(-5.26*theta_1)+1.78*2.71831^(-1.09*theta_1)+0.723/theta_1+0.221</f>
        <v>1.387752382578344</v>
      </c>
    </row>
    <row r="88" spans="1:6">
      <c r="A88" s="1" t="s">
        <v>164</v>
      </c>
      <c r="B88" s="45">
        <f>35.228*2.71831^(-0.98*theta_1)-32.424*2.71831^(-1.0475*theta_1)+1.486*theta_1-2.634</f>
        <v>0.75742937098629648</v>
      </c>
    </row>
    <row r="89" spans="1:6">
      <c r="A89" s="1" t="s">
        <v>165</v>
      </c>
      <c r="B89" s="45">
        <f>-0.214*2.71831^(-4.95*theta_1)-0.179*theta_1^2+0.555*theta_1+0.319</f>
        <v>0.71646108092862959</v>
      </c>
    </row>
    <row r="90" spans="1:6">
      <c r="A90" s="1" t="s">
        <v>166</v>
      </c>
      <c r="B90" s="42">
        <f>MIN( IF(matlabball=1,plastic,IF(matlabball=2,Steel,IF(matlabball=3,SiN,IF(matlabball=4,Other_4,F90)))), IF(matlabgroove=1,plastic,IF(matlabgroove=2,Steel,IF(matlabgroove=3,SiN,IF(matlabgroove=4,Other_4,F90)))))</f>
        <v>1724000000</v>
      </c>
      <c r="C90" s="1" t="s">
        <v>167</v>
      </c>
      <c r="F90" s="43"/>
    </row>
    <row r="91" spans="1:6" s="23" customFormat="1">
      <c r="A91" s="23" t="s">
        <v>168</v>
      </c>
    </row>
    <row r="92" spans="1:6">
      <c r="B92" s="1" t="s">
        <v>169</v>
      </c>
      <c r="D92" s="1" t="s">
        <v>170</v>
      </c>
    </row>
    <row r="93" spans="1:6">
      <c r="A93" s="1" t="s">
        <v>171</v>
      </c>
      <c r="B93" s="39">
        <f>IF($E$5=TRUE,-Dcoupling*SQRT(3)/4-Dball*SQRT(2)/8,user number)</f>
        <v>-2.9180104592856394E-2</v>
      </c>
      <c r="C93" s="40" t="s">
        <v>172</v>
      </c>
      <c r="D93" s="39">
        <f>IF($E$5=TRUE,-Dcoupling*SQRT(3)/4+Dball*SQRT(2)/8,user number)</f>
        <v>-2.5812508547455461E-2</v>
      </c>
    </row>
    <row r="94" spans="1:6">
      <c r="A94" s="1" t="s">
        <v>173</v>
      </c>
      <c r="B94" s="39">
        <f>IF($E$5=TRUE,-Dcoupling/4+Dball*SQRT(6)/8,user number)</f>
        <v>-1.2958576274998778E-2</v>
      </c>
      <c r="C94" s="40" t="s">
        <v>174</v>
      </c>
      <c r="D94" s="39">
        <f>IF($E$5=TRUE,-Dcoupling/4-Dball*SQRT(6)/8,user number)</f>
        <v>-1.879142372500122E-2</v>
      </c>
    </row>
    <row r="95" spans="1:6">
      <c r="A95" s="1" t="s">
        <v>175</v>
      </c>
      <c r="B95" s="39">
        <f>IF($E$5=TRUE,-Dball*SQRT(2)/4,user defined)</f>
        <v>-3.3675960454009331E-3</v>
      </c>
      <c r="C95" s="40" t="s">
        <v>176</v>
      </c>
      <c r="D95" s="39">
        <f>IF($E$5=TRUE,-Dball*SQRT(2)/4,user defined)</f>
        <v>-3.3675960454009331E-3</v>
      </c>
    </row>
    <row r="96" spans="1:6">
      <c r="A96" s="1" t="s">
        <v>177</v>
      </c>
      <c r="B96" s="39">
        <f>IF($E$5=TRUE,SQRT(2)/4,user number)</f>
        <v>0.35355339059327379</v>
      </c>
      <c r="C96" s="40" t="s">
        <v>178</v>
      </c>
      <c r="D96" s="39">
        <f>IF($E$5=TRUE,-SQRT(2)/4,user number)</f>
        <v>-0.35355339059327379</v>
      </c>
    </row>
    <row r="97" spans="1:6">
      <c r="A97" s="1" t="s">
        <v>179</v>
      </c>
      <c r="B97" s="39">
        <f>IF($E$5=TRUE,-SQRT(6)/4,user number)</f>
        <v>-0.61237243569579447</v>
      </c>
      <c r="C97" s="40" t="s">
        <v>180</v>
      </c>
      <c r="D97" s="39">
        <f>IF($E$5=TRUE,SQRT(6)/4,user number)</f>
        <v>0.61237243569579447</v>
      </c>
    </row>
    <row r="98" spans="1:6">
      <c r="A98" s="1" t="s">
        <v>181</v>
      </c>
      <c r="B98" s="39">
        <f>IF($E$5=TRUE,SQRT(2)/2,user number)</f>
        <v>0.70710678118654757</v>
      </c>
      <c r="C98" s="40" t="s">
        <v>182</v>
      </c>
      <c r="D98" s="39">
        <f>IF($E$5=TRUE,SQRT(2)/2,user number)</f>
        <v>0.70710678118654757</v>
      </c>
      <c r="F98" s="150" t="s">
        <v>138</v>
      </c>
    </row>
    <row r="99" spans="1:6" s="23" customFormat="1">
      <c r="A99" s="23" t="s">
        <v>183</v>
      </c>
      <c r="F99" s="150"/>
    </row>
    <row r="100" spans="1:6">
      <c r="A100" s="1" t="s">
        <v>184</v>
      </c>
      <c r="B100" s="42">
        <f>IF(matlabgroove=1,Eplastic,IF(matlabgroove=2,ESteel,IF(matlabgroove=3,ESiN,IF(matlabgroove=4,Eother_4,F100))))</f>
        <v>204100000000</v>
      </c>
      <c r="C100" s="132" t="s">
        <v>141</v>
      </c>
      <c r="D100" s="132"/>
      <c r="E100" s="132"/>
      <c r="F100" s="43"/>
    </row>
    <row r="101" spans="1:6">
      <c r="A101" s="1" t="s">
        <v>185</v>
      </c>
      <c r="B101" s="44">
        <f>IF(matlabgroove=1,vplastic,IF(matlabgroove=2,vSteel,IF(matlabgroove=3,vSiN,IF(matlabgroove=4,vother_4,F101))))</f>
        <v>0.28999999999999998</v>
      </c>
      <c r="C101" s="132" t="s">
        <v>143</v>
      </c>
      <c r="D101" s="132"/>
      <c r="E101" s="132"/>
      <c r="F101" s="43"/>
    </row>
    <row r="102" spans="1:6">
      <c r="A102" s="1" t="s">
        <v>186</v>
      </c>
      <c r="B102" s="45">
        <f>IF($E$5=TRUE,Rgroove,user number)/1000</f>
        <v>3.1749999999999999E-3</v>
      </c>
      <c r="C102" s="1" t="s">
        <v>145</v>
      </c>
      <c r="F102" s="43"/>
    </row>
    <row r="103" spans="1:6">
      <c r="A103" s="1" t="s">
        <v>187</v>
      </c>
      <c r="B103" s="42">
        <f>IF(matlabball=1,Eplastic,IF(matlabball=2,ESteel,IF(matlabball=3,ESiN,IF(matlabball=4,Eother_4,F103))))</f>
        <v>204100000000</v>
      </c>
      <c r="C103" s="132" t="s">
        <v>147</v>
      </c>
      <c r="D103" s="132"/>
      <c r="E103" s="132"/>
      <c r="F103" s="43"/>
    </row>
    <row r="104" spans="1:6">
      <c r="A104" s="1" t="s">
        <v>188</v>
      </c>
      <c r="B104" s="46">
        <f>IF(matlabball=1,vplastic,IF(matlabball=2,vSteel,IF(matlabball=3,vSiN,IF(matlabball=4,vother_4,F104))))</f>
        <v>0.28999999999999998</v>
      </c>
      <c r="C104" s="132" t="s">
        <v>149</v>
      </c>
      <c r="D104" s="132"/>
      <c r="E104" s="132"/>
      <c r="F104" s="43"/>
    </row>
    <row r="105" spans="1:6">
      <c r="A105" s="1" t="s">
        <v>189</v>
      </c>
      <c r="B105" s="42">
        <f>1/((1-vgone^2)/Egone+(1-vbone^2)/Ebone)</f>
        <v>111420460748.99005</v>
      </c>
      <c r="C105" s="1" t="s">
        <v>151</v>
      </c>
      <c r="E105" s="47"/>
    </row>
    <row r="106" spans="1:6">
      <c r="A106" s="1" t="s">
        <v>190</v>
      </c>
      <c r="B106" s="42">
        <f>IF($E$5=TRUE,Dball,user number)</f>
        <v>9.5250000000000005E-3</v>
      </c>
      <c r="C106" s="1" t="s">
        <v>153</v>
      </c>
      <c r="E106" s="47"/>
    </row>
    <row r="107" spans="1:6">
      <c r="A107" s="1" t="s">
        <v>191</v>
      </c>
      <c r="B107" s="45">
        <f>IF($E$5=TRUE,Rbmajor,user number)/1000</f>
        <v>4.7625000000000002E-3</v>
      </c>
      <c r="C107" s="1" t="s">
        <v>155</v>
      </c>
      <c r="F107" s="43"/>
    </row>
    <row r="108" spans="1:6">
      <c r="A108" s="1" t="s">
        <v>192</v>
      </c>
      <c r="B108" s="45">
        <f>IF($E$5=TRUE,Rbminor,user number)/1000</f>
        <v>4.7625000000000002E-3</v>
      </c>
      <c r="C108" s="1" t="s">
        <v>157</v>
      </c>
      <c r="F108" s="43"/>
    </row>
    <row r="109" spans="1:6">
      <c r="A109" s="1" t="s">
        <v>193</v>
      </c>
      <c r="B109" s="45">
        <f>1/(1/Rgtwo+1/Rptwo+1/Ratwo)</f>
        <v>1.3607142857142856E-3</v>
      </c>
      <c r="C109" s="1" t="s">
        <v>159</v>
      </c>
    </row>
    <row r="110" spans="1:6">
      <c r="A110" s="1" t="s">
        <v>194</v>
      </c>
      <c r="B110" s="45">
        <f>Retwo*SQRT((1/Rgtwo)^2+(1/Rptwo-1/Ratwo)^2+2*(-1/Rgtwo)*(1/Rptwo-1/Ratwo)*COS(IF(Costheta=TRUE, 0,2*PI()/2)))</f>
        <v>0.42857142857142855</v>
      </c>
      <c r="C110" s="1" t="s">
        <v>161</v>
      </c>
    </row>
    <row r="111" spans="1:6">
      <c r="A111" s="1" t="s">
        <v>195</v>
      </c>
      <c r="B111" s="45">
        <f>ACOS(B110)</f>
        <v>1.1278852827212578</v>
      </c>
    </row>
    <row r="112" spans="1:6">
      <c r="A112" s="1" t="s">
        <v>196</v>
      </c>
      <c r="B112" s="45">
        <f>1.939*2.71831^(-5.26*theta_2)+1.78*2.71831^(-1.09*theta_2)+0.723/theta_2+0.221</f>
        <v>1.387752382578344</v>
      </c>
    </row>
    <row r="113" spans="1:6">
      <c r="A113" s="1" t="s">
        <v>197</v>
      </c>
      <c r="B113" s="45">
        <f>35.228*2.71831^(-0.98*theta_2)-32.424*2.71831^(-1.0475*theta_2)+1.486*theta_2-2.634</f>
        <v>0.75742937098629648</v>
      </c>
    </row>
    <row r="114" spans="1:6">
      <c r="A114" s="1" t="s">
        <v>198</v>
      </c>
      <c r="B114" s="45">
        <f>-0.214*2.71831^(-4.95*theta_2)-0.179*theta_2^2+0.555*theta_2+0.319</f>
        <v>0.71646108092862959</v>
      </c>
    </row>
    <row r="115" spans="1:6">
      <c r="A115" s="1" t="s">
        <v>199</v>
      </c>
      <c r="B115" s="42">
        <f>MIN( IF(matlabball=1,plastic,IF(matlabball=2,Steel,IF(matlabball=3,SiN,IF(matlabball=4,Other_4,F115)))), IF(matlabgroove=1,plastic,IF(matlabgroove=2,Steel,IF(matlabgroove=3,SiN,IF(matlabgroove=4,Other_4,F115)))))</f>
        <v>1724000000</v>
      </c>
      <c r="C115" s="1" t="s">
        <v>200</v>
      </c>
      <c r="F115" s="43"/>
    </row>
    <row r="116" spans="1:6">
      <c r="A116" s="1" t="s">
        <v>201</v>
      </c>
      <c r="B116" s="45"/>
      <c r="D116" s="45"/>
    </row>
    <row r="117" spans="1:6" s="21" customFormat="1">
      <c r="B117" s="21" t="s">
        <v>202</v>
      </c>
      <c r="D117" s="21" t="s">
        <v>203</v>
      </c>
    </row>
    <row r="118" spans="1:6">
      <c r="A118" s="1" t="s">
        <v>204</v>
      </c>
      <c r="B118" s="39">
        <f>IF($E$5=TRUE,Dcoupling*SQRT(3)/4-Dball*SQRT(2)/8,user number)</f>
        <v>2.5812508547455461E-2</v>
      </c>
      <c r="C118" s="40" t="s">
        <v>205</v>
      </c>
      <c r="D118" s="39">
        <f>IF($E$5=TRUE,Dcoupling*SQRT(3)/4+Dball*SQRT(2)/8,user number)</f>
        <v>2.9180104592856394E-2</v>
      </c>
    </row>
    <row r="119" spans="1:6">
      <c r="A119" s="1" t="s">
        <v>206</v>
      </c>
      <c r="B119" s="39">
        <f>IF($E$5=TRUE,-Dcoupling/4-Dball*SQRT(6)/8,user number)</f>
        <v>-1.879142372500122E-2</v>
      </c>
      <c r="C119" s="40" t="s">
        <v>207</v>
      </c>
      <c r="D119" s="39">
        <f>IF($E$5=TRUE,-Dcoupling/4+Dball*SQRT(6)/8,user number)</f>
        <v>-1.2958576274998778E-2</v>
      </c>
    </row>
    <row r="120" spans="1:6">
      <c r="A120" s="1" t="s">
        <v>208</v>
      </c>
      <c r="B120" s="39">
        <f>IF($E$5=TRUE,-Dball*SQRT(2)/4,user defined)</f>
        <v>-3.3675960454009331E-3</v>
      </c>
      <c r="C120" s="40" t="s">
        <v>209</v>
      </c>
      <c r="D120" s="39">
        <f>IF($E$5=TRUE,-Dball*SQRT(2)/4,user defined)</f>
        <v>-3.3675960454009331E-3</v>
      </c>
    </row>
    <row r="121" spans="1:6">
      <c r="A121" s="1" t="s">
        <v>210</v>
      </c>
      <c r="B121" s="39">
        <f>IF($E$5=TRUE,SQRT(2)/4,user number)</f>
        <v>0.35355339059327379</v>
      </c>
      <c r="C121" s="40" t="s">
        <v>211</v>
      </c>
      <c r="D121" s="39">
        <f>IF($E$5=TRUE,-SQRT(2)/4,user number)</f>
        <v>-0.35355339059327379</v>
      </c>
    </row>
    <row r="122" spans="1:6">
      <c r="A122" s="1" t="s">
        <v>212</v>
      </c>
      <c r="B122" s="39">
        <f>IF($E$5=TRUE,SQRT(6)/4,user number)</f>
        <v>0.61237243569579447</v>
      </c>
      <c r="C122" s="40" t="s">
        <v>213</v>
      </c>
      <c r="D122" s="39">
        <f>IF($E$5=TRUE,-SQRT(6)/4,user number)</f>
        <v>-0.61237243569579447</v>
      </c>
    </row>
    <row r="123" spans="1:6">
      <c r="A123" s="1" t="s">
        <v>214</v>
      </c>
      <c r="B123" s="39">
        <f>IF($E$5=TRUE,SQRT(2)/2,user number)</f>
        <v>0.70710678118654757</v>
      </c>
      <c r="C123" s="40" t="s">
        <v>215</v>
      </c>
      <c r="D123" s="39">
        <f>IF($E$5=TRUE,SQRT(2)/2,user number)</f>
        <v>0.70710678118654757</v>
      </c>
      <c r="F123" s="150" t="s">
        <v>138</v>
      </c>
    </row>
    <row r="124" spans="1:6" s="23" customFormat="1" ht="15.75" customHeight="1">
      <c r="A124" s="23" t="s">
        <v>216</v>
      </c>
      <c r="F124" s="150"/>
    </row>
    <row r="125" spans="1:6">
      <c r="A125" s="1" t="s">
        <v>217</v>
      </c>
      <c r="B125" s="42">
        <f>IF(matlabgroove=1,Eplastic,IF(matlabgroove=2,ESteel,IF(matlabgroove=3,ESiN,IF(matlabgroove=4,Eother_4,F125))))</f>
        <v>204100000000</v>
      </c>
      <c r="C125" s="132" t="s">
        <v>141</v>
      </c>
      <c r="D125" s="132"/>
      <c r="E125" s="132"/>
      <c r="F125" s="43"/>
    </row>
    <row r="126" spans="1:6">
      <c r="A126" s="1" t="s">
        <v>218</v>
      </c>
      <c r="B126" s="44">
        <f>IF(matlabgroove=1,vplastic,IF(matlabgroove=2,vSteel,IF(matlabgroove=3,vSiN,IF(matlabgroove=4,vother_4,F126))))</f>
        <v>0.28999999999999998</v>
      </c>
      <c r="C126" s="132" t="s">
        <v>143</v>
      </c>
      <c r="D126" s="132"/>
      <c r="E126" s="132"/>
      <c r="F126" s="43"/>
    </row>
    <row r="127" spans="1:6">
      <c r="A127" s="1" t="s">
        <v>219</v>
      </c>
      <c r="B127" s="45">
        <f>IF($E$5=TRUE,Rgroove,user number)/1000</f>
        <v>3.1749999999999999E-3</v>
      </c>
      <c r="C127" s="1" t="s">
        <v>145</v>
      </c>
      <c r="F127" s="43"/>
    </row>
    <row r="128" spans="1:6">
      <c r="A128" s="1" t="s">
        <v>220</v>
      </c>
      <c r="B128" s="42">
        <f>IF(matlabball=1,Eplastic,IF(matlabball=2,ESteel,IF(matlabball=3,ESiN,IF(matlabball=4,Eother_4,F128))))</f>
        <v>204100000000</v>
      </c>
      <c r="C128" s="132" t="s">
        <v>147</v>
      </c>
      <c r="D128" s="132"/>
      <c r="E128" s="132"/>
      <c r="F128" s="43"/>
    </row>
    <row r="129" spans="1:6">
      <c r="A129" s="1" t="s">
        <v>221</v>
      </c>
      <c r="B129" s="46">
        <f>IF(matlabball=1,vplastic,IF(matlabball=2,vSteel,IF(matlabball=3,vSiN,IF(matlabball=4,vother_4,F129))))</f>
        <v>0.28999999999999998</v>
      </c>
      <c r="C129" s="132" t="s">
        <v>149</v>
      </c>
      <c r="D129" s="132"/>
      <c r="E129" s="132"/>
      <c r="F129" s="43"/>
    </row>
    <row r="130" spans="1:6">
      <c r="A130" s="1" t="s">
        <v>222</v>
      </c>
      <c r="B130" s="42">
        <f>1/((1-vgone^2)/Egone+(1-vbone^2)/Ebone)</f>
        <v>111420460748.99005</v>
      </c>
      <c r="C130" s="1" t="s">
        <v>151</v>
      </c>
      <c r="E130" s="47"/>
    </row>
    <row r="131" spans="1:6">
      <c r="A131" s="1" t="s">
        <v>223</v>
      </c>
      <c r="B131" s="42">
        <f>IF($E$5=TRUE,Dball,user number)</f>
        <v>9.5250000000000005E-3</v>
      </c>
      <c r="C131" s="1" t="s">
        <v>153</v>
      </c>
      <c r="E131" s="47"/>
    </row>
    <row r="132" spans="1:6">
      <c r="A132" s="1" t="s">
        <v>224</v>
      </c>
      <c r="B132" s="45">
        <f>IF($E$5=TRUE,Rbmajor,user number)/1000</f>
        <v>4.7625000000000002E-3</v>
      </c>
      <c r="C132" s="1" t="s">
        <v>155</v>
      </c>
      <c r="F132" s="43"/>
    </row>
    <row r="133" spans="1:6">
      <c r="A133" s="1" t="s">
        <v>225</v>
      </c>
      <c r="B133" s="45">
        <f>IF($E$5=TRUE,Rbminor,user number)/1000</f>
        <v>4.7625000000000002E-3</v>
      </c>
      <c r="C133" s="1" t="s">
        <v>157</v>
      </c>
      <c r="F133" s="43"/>
    </row>
    <row r="134" spans="1:6">
      <c r="A134" s="1" t="s">
        <v>226</v>
      </c>
      <c r="B134" s="45">
        <f>1/(1/Rgthree+1/Rpthree+1/Rathree)</f>
        <v>1.3607142857142856E-3</v>
      </c>
      <c r="C134" s="1" t="s">
        <v>159</v>
      </c>
    </row>
    <row r="135" spans="1:6">
      <c r="A135" s="1" t="s">
        <v>227</v>
      </c>
      <c r="B135" s="45">
        <f>Rethree*SQRT((1/Rgthree)^2+(1/Rpthree-1/Rathree)^2+2*(-1/Rgthree)*(1/Rpthree-1/Rathree)*COS(IF(Costheta=TRUE, 0,2*PI()/2)))</f>
        <v>0.42857142857142855</v>
      </c>
      <c r="C135" s="1" t="s">
        <v>161</v>
      </c>
    </row>
    <row r="136" spans="1:6">
      <c r="A136" s="1" t="s">
        <v>228</v>
      </c>
      <c r="B136" s="45">
        <f>ACOS(B135)</f>
        <v>1.1278852827212578</v>
      </c>
    </row>
    <row r="137" spans="1:6">
      <c r="A137" s="1" t="s">
        <v>229</v>
      </c>
      <c r="B137" s="45">
        <f>1.939*2.71831^(-5.26*theta_3)+1.78*2.71831^(-1.09*theta_3)+0.723/theta_3+0.221</f>
        <v>1.387752382578344</v>
      </c>
    </row>
    <row r="138" spans="1:6">
      <c r="A138" s="1" t="s">
        <v>230</v>
      </c>
      <c r="B138" s="45">
        <f>35.228*2.71831^(-0.98*theta_3)-32.424*2.71831^(-1.0475*theta_3)+1.486*theta_3-2.634</f>
        <v>0.75742937098629648</v>
      </c>
    </row>
    <row r="139" spans="1:6">
      <c r="A139" s="1" t="s">
        <v>231</v>
      </c>
      <c r="B139" s="45">
        <f>-0.214*2.71831^(-4.95*theta_3)-0.179*theta_3^2+0.555*theta_3+0.319</f>
        <v>0.71646108092862959</v>
      </c>
    </row>
    <row r="140" spans="1:6">
      <c r="A140" s="1" t="s">
        <v>232</v>
      </c>
      <c r="B140" s="42">
        <f>MIN( IF(matlabball=1,plastic,IF(matlabball=2,Steel,IF(matlabball=3,SiN,IF(matlabball=4,Other_4,F140)))), IF(matlabgroove=1,plastic,IF(matlabgroove=2,Steel,IF(matlabgroove=3,SiN,IF(matlabgroove=4,Other_4,F140)))))</f>
        <v>1724000000</v>
      </c>
      <c r="C140" s="1" t="s">
        <v>200</v>
      </c>
      <c r="F140" s="43"/>
    </row>
    <row r="141" spans="1:6" s="23" customFormat="1">
      <c r="A141" s="23" t="s">
        <v>233</v>
      </c>
    </row>
    <row r="142" spans="1:6">
      <c r="A142" s="1" t="s">
        <v>234</v>
      </c>
      <c r="B142" s="48">
        <f>(1-$E$5)*(1)+$E$5*(0)</f>
        <v>0</v>
      </c>
      <c r="C142" s="1" t="s">
        <v>235</v>
      </c>
      <c r="D142" s="48">
        <f>(1-$E$5)*(1)+$E$5*(0)</f>
        <v>0</v>
      </c>
      <c r="E142" s="1" t="s">
        <v>236</v>
      </c>
      <c r="F142" s="48">
        <f>(1-$E$5)*(1)+$E$5*(0)</f>
        <v>0</v>
      </c>
    </row>
    <row r="143" spans="1:6">
      <c r="A143" s="1" t="s">
        <v>237</v>
      </c>
      <c r="B143" s="48">
        <f>(1-$E$5)*(1)+$E$5*(0)</f>
        <v>0</v>
      </c>
      <c r="C143" s="1" t="s">
        <v>238</v>
      </c>
      <c r="D143" s="48">
        <f>(1-$E$5)*(1)+$E$5*(0)</f>
        <v>0</v>
      </c>
      <c r="E143" s="1" t="s">
        <v>239</v>
      </c>
      <c r="F143" s="48">
        <f>(1-$E$5)*(1)+$E$5*(0)</f>
        <v>0</v>
      </c>
    </row>
    <row r="144" spans="1:6">
      <c r="A144" s="1" t="s">
        <v>240</v>
      </c>
      <c r="B144" s="48">
        <f>(1-$E$5)*(1)+$E$5*(Fpreload)</f>
        <v>-1.48</v>
      </c>
      <c r="C144" s="1" t="s">
        <v>241</v>
      </c>
      <c r="D144" s="48">
        <f>(1-$E$5)*(1)+$E$5*(Fpreload)</f>
        <v>-1.48</v>
      </c>
      <c r="E144" s="1" t="s">
        <v>242</v>
      </c>
      <c r="F144" s="48">
        <f>(1-$E$5)*(1)+$E$5*(Fpreload)</f>
        <v>-1.48</v>
      </c>
    </row>
    <row r="145" spans="1:10">
      <c r="A145" s="1" t="s">
        <v>243</v>
      </c>
      <c r="B145" s="48">
        <f>(1-$E$5)*(1)+$E$5*(0)</f>
        <v>0</v>
      </c>
      <c r="C145" s="1" t="s">
        <v>244</v>
      </c>
      <c r="D145" s="48">
        <f>(1-$E$5)*(1)+$E$5*(-Dcoupling*SQRT(3)/4)</f>
        <v>-2.7496306570155928E-2</v>
      </c>
      <c r="E145" s="1" t="s">
        <v>245</v>
      </c>
      <c r="F145" s="48">
        <f>(1-$E$5)*(1)+$E$5*(Dcoupling*SQRT(3)/4)</f>
        <v>2.7496306570155928E-2</v>
      </c>
    </row>
    <row r="146" spans="1:10">
      <c r="A146" s="1" t="s">
        <v>246</v>
      </c>
      <c r="B146" s="48">
        <f>(1-$E$5)*(1)+$E$5*(Dcoupling/2)</f>
        <v>3.175E-2</v>
      </c>
      <c r="C146" s="1" t="s">
        <v>247</v>
      </c>
      <c r="D146" s="48">
        <f>(1-$E$5)*(1)+$E$5*(-Dcoupling/4)</f>
        <v>-1.5875E-2</v>
      </c>
      <c r="E146" s="1" t="s">
        <v>248</v>
      </c>
      <c r="F146" s="48">
        <f>(1-$E$5)*(1)+$E$5*(-Dcoupling/4)</f>
        <v>-1.5875E-2</v>
      </c>
    </row>
    <row r="147" spans="1:10">
      <c r="A147" s="1" t="s">
        <v>249</v>
      </c>
      <c r="B147" s="48">
        <f>(1-$E$5)*(1)+$E$5*(2*Dball)</f>
        <v>1.9050000000000001E-2</v>
      </c>
      <c r="C147" s="1" t="s">
        <v>250</v>
      </c>
      <c r="D147" s="48">
        <f>(1-$E$5)*(1)+$E$5*(2*Dball)</f>
        <v>1.9050000000000001E-2</v>
      </c>
      <c r="E147" s="1" t="s">
        <v>251</v>
      </c>
      <c r="F147" s="48">
        <f>(1-$E$5)*(1)+$E$5*(2*Dball)</f>
        <v>1.9050000000000001E-2</v>
      </c>
    </row>
    <row r="148" spans="1:10">
      <c r="A148" s="49" t="s">
        <v>252</v>
      </c>
    </row>
    <row r="149" spans="1:10">
      <c r="A149" s="1" t="s">
        <v>253</v>
      </c>
    </row>
    <row r="150" spans="1:10">
      <c r="A150" s="1" t="s">
        <v>254</v>
      </c>
      <c r="G150" s="1" t="s">
        <v>255</v>
      </c>
      <c r="H150" s="1" t="s">
        <v>256</v>
      </c>
      <c r="I150" s="1" t="s">
        <v>257</v>
      </c>
    </row>
    <row r="151" spans="1:10">
      <c r="A151" s="1" t="s">
        <v>258</v>
      </c>
      <c r="B151" s="1" t="s">
        <v>259</v>
      </c>
      <c r="C151" s="1" t="s">
        <v>260</v>
      </c>
      <c r="D151" s="1" t="s">
        <v>261</v>
      </c>
      <c r="E151" s="1" t="s">
        <v>262</v>
      </c>
      <c r="F151" s="1" t="s">
        <v>263</v>
      </c>
    </row>
    <row r="152" spans="1:10">
      <c r="A152" s="50">
        <f>Aba</f>
        <v>-0.70710678118654757</v>
      </c>
      <c r="B152" s="50">
        <f>Abb</f>
        <v>0.70710678118654757</v>
      </c>
      <c r="C152" s="50">
        <f>Abc</f>
        <v>0.35355339059327379</v>
      </c>
      <c r="D152" s="50">
        <f>Abd</f>
        <v>-0.35355339059327379</v>
      </c>
      <c r="E152" s="50">
        <f>Abe</f>
        <v>0.35355339059327379</v>
      </c>
      <c r="F152" s="50">
        <f>Abf</f>
        <v>-0.35355339059327379</v>
      </c>
      <c r="G152" s="51" t="s">
        <v>258</v>
      </c>
      <c r="H152" s="50">
        <f>-(Fpxone+Fpxtwo+Fpxthree+FLx)</f>
        <v>-12</v>
      </c>
      <c r="I152" s="50">
        <f>-(Fpxone+Fpxtwo+Fpxthree)</f>
        <v>0</v>
      </c>
      <c r="J152" s="1" t="s">
        <v>264</v>
      </c>
    </row>
    <row r="153" spans="1:10">
      <c r="A153" s="50">
        <f>Bba</f>
        <v>0</v>
      </c>
      <c r="B153" s="50">
        <f>Bbb</f>
        <v>0</v>
      </c>
      <c r="C153" s="50">
        <f>Bbc</f>
        <v>-0.61237243569579447</v>
      </c>
      <c r="D153" s="50">
        <f>Bbd</f>
        <v>0.61237243569579447</v>
      </c>
      <c r="E153" s="50">
        <f>Bbe</f>
        <v>0.61237243569579447</v>
      </c>
      <c r="F153" s="50">
        <f>Bbf</f>
        <v>-0.61237243569579447</v>
      </c>
      <c r="G153" s="51" t="s">
        <v>259</v>
      </c>
      <c r="H153" s="50">
        <f>-(Fpyone+Fpytwo+Fpythree+FLy)</f>
        <v>0</v>
      </c>
      <c r="I153" s="50">
        <f>-(Fpyone+Fpytwo+Fpythree)</f>
        <v>0</v>
      </c>
      <c r="J153" s="1" t="s">
        <v>265</v>
      </c>
    </row>
    <row r="154" spans="1:10">
      <c r="A154" s="50">
        <f>Gba</f>
        <v>0.70710678118654757</v>
      </c>
      <c r="B154" s="50">
        <f>Gbb</f>
        <v>0.70710678118654757</v>
      </c>
      <c r="C154" s="50">
        <f>Gbc</f>
        <v>0.70710678118654757</v>
      </c>
      <c r="D154" s="50">
        <f>Gbd</f>
        <v>0.70710678118654757</v>
      </c>
      <c r="E154" s="50">
        <f>Gbe</f>
        <v>0.70710678118654757</v>
      </c>
      <c r="F154" s="50">
        <f>Gbf</f>
        <v>0.70710678118654757</v>
      </c>
      <c r="G154" s="51" t="s">
        <v>260</v>
      </c>
      <c r="H154" s="50">
        <f>-(Fpzone+Fpztwo+Fpzthree+FLz)</f>
        <v>24.439999999999998</v>
      </c>
      <c r="I154" s="50">
        <f>-(Fpzone+Fpztwo+Fpzthree)</f>
        <v>4.4399999999999995</v>
      </c>
      <c r="J154" s="1" t="s">
        <v>266</v>
      </c>
    </row>
    <row r="155" spans="1:10">
      <c r="A155" s="50">
        <f>-Bba*Zba+Gba*Yba</f>
        <v>2.2450640302672884E-2</v>
      </c>
      <c r="B155" s="50">
        <f>-Bbb*Zbb+Gbb*Ybb</f>
        <v>2.2450640302672884E-2</v>
      </c>
      <c r="C155" s="50">
        <f>-Bbc*Zbc+Gbc*Ybc</f>
        <v>-1.1225320151336442E-2</v>
      </c>
      <c r="D155" s="50">
        <f>-Bbd*Zbd+Gbd*Ybd</f>
        <v>-1.1225320151336442E-2</v>
      </c>
      <c r="E155" s="50">
        <f>-Bbe*Zbe+Gbe*Ybe</f>
        <v>-1.1225320151336442E-2</v>
      </c>
      <c r="F155" s="50">
        <f>-Bbf*Zbf+Gbf*Ybf</f>
        <v>-1.1225320151336442E-2</v>
      </c>
      <c r="G155" s="51" t="s">
        <v>261</v>
      </c>
      <c r="H155" s="50">
        <f>-(-Fpyone*zpone-Fpytwo*zptwo-Fpythree*zpthree+Fpzone*ypone+Fpztwo*yptwo+Fpzthree*ypthree-FLy*ZL+FLz*YL)</f>
        <v>0</v>
      </c>
      <c r="I155" s="50">
        <f>-(-Fpyone*zpone-Fpytwo*zptwo-Fpythree*zpthree+Fpzone*ypone+Fpztwo*yptwo+Fpzthree*ypthree)</f>
        <v>0</v>
      </c>
      <c r="J155" s="1" t="s">
        <v>267</v>
      </c>
    </row>
    <row r="156" spans="1:10">
      <c r="A156" s="50">
        <f>Aba*Zba-Gba*Xba</f>
        <v>0</v>
      </c>
      <c r="B156" s="50">
        <f>Abb*Zbb-Gbb*Xbb</f>
        <v>0</v>
      </c>
      <c r="C156" s="50">
        <f>Abc*Zbc-Gbc*Xbc</f>
        <v>1.9442824833341477E-2</v>
      </c>
      <c r="D156" s="50">
        <f>Abd*Zbd-Gbd*Xbd</f>
        <v>1.9442824833341477E-2</v>
      </c>
      <c r="E156" s="50">
        <f>Abe*Zbe-Gbe*Xbe</f>
        <v>-1.9442824833341477E-2</v>
      </c>
      <c r="F156" s="50">
        <f>Abf*Zbf-Gbf*Xbf</f>
        <v>-1.9442824833341477E-2</v>
      </c>
      <c r="G156" s="51" t="s">
        <v>262</v>
      </c>
      <c r="H156" s="50">
        <f>-(Fpxone*zpone+Fpxtwo*zptwo+Fpxthree*zpthree-Fpzone*xpone-Fpztwo*xptwo-Fpzthree*xpthree+FLx*ZL-FLz*XL)</f>
        <v>0</v>
      </c>
      <c r="I156" s="50">
        <f>-(Fpxone*zpone+Fpxtwo*zptwo+Fpxthree*zpthree-Fpzone*xpone-Fpztwo*xptwo-Fpzthree*xpthree)</f>
        <v>0</v>
      </c>
      <c r="J156" s="1" t="s">
        <v>268</v>
      </c>
    </row>
    <row r="157" spans="1:10">
      <c r="A157" s="50">
        <f>-Aba*Yba+Bba*Xba</f>
        <v>2.2450640302672884E-2</v>
      </c>
      <c r="B157" s="50">
        <f>-Abb*Ybb+Bbb*Xbb</f>
        <v>-2.2450640302672884E-2</v>
      </c>
      <c r="C157" s="50">
        <f>-Abc*Ybc+Bbc*Xbc</f>
        <v>2.2450640302672881E-2</v>
      </c>
      <c r="D157" s="50">
        <f>-Abd*Ybd+Bbd*Xbd</f>
        <v>-2.2450640302672881E-2</v>
      </c>
      <c r="E157" s="50">
        <f>-Abe*Ybe+Bbe*Xbe</f>
        <v>2.2450640302672881E-2</v>
      </c>
      <c r="F157" s="50">
        <f>-Abf*Ybf+Bbf*Xbf</f>
        <v>-2.2450640302672881E-2</v>
      </c>
      <c r="G157" s="51" t="s">
        <v>263</v>
      </c>
      <c r="H157" s="50">
        <f>-(-Fpxone*ypone-Fpxtwo*yptwo-Fpxthree*ypthree+Fpyone*xpone+Fpytwo*xptwo+Fpythree*xpthree-FLx*YL+FLy*XL)</f>
        <v>0</v>
      </c>
      <c r="I157" s="50">
        <f>-(-Fpxone*ypone-Fpxtwo*yptwo-Fpxthree*ypthree+Fpyone*xpone+Fpytwo*xptwo+Fpythree*xpthree)</f>
        <v>0</v>
      </c>
      <c r="J157" s="1" t="s">
        <v>269</v>
      </c>
    </row>
    <row r="158" spans="1:10">
      <c r="A158" s="51" t="s">
        <v>270</v>
      </c>
      <c r="B158" s="51"/>
      <c r="C158" s="51" t="s">
        <v>271</v>
      </c>
      <c r="D158" s="51"/>
      <c r="E158" s="51"/>
      <c r="F158" s="51"/>
      <c r="G158" s="51"/>
      <c r="H158" s="51"/>
    </row>
    <row r="159" spans="1:10">
      <c r="A159" s="51" t="s">
        <v>272</v>
      </c>
      <c r="B159" s="52">
        <f t="array" ref="B159:B164">MMULT(MINVERSE(A152:F157),H152:H157)</f>
        <v>11.417417493558784</v>
      </c>
      <c r="C159" s="53" t="s">
        <v>273</v>
      </c>
      <c r="D159" s="52">
        <f t="array" ref="D159:D164">MMULT(MINVERSE(A152:F157),I152:I157)</f>
        <v>1.04651803615609</v>
      </c>
      <c r="E159" s="51"/>
      <c r="F159" s="51"/>
      <c r="G159" s="51"/>
      <c r="H159" s="51"/>
    </row>
    <row r="160" spans="1:10">
      <c r="A160" s="51" t="s">
        <v>274</v>
      </c>
      <c r="B160" s="52">
        <v>0.10370899457402594</v>
      </c>
      <c r="C160" s="53" t="s">
        <v>275</v>
      </c>
      <c r="D160" s="52">
        <v>1.04651803615609</v>
      </c>
      <c r="E160" s="51"/>
      <c r="F160" s="51"/>
      <c r="G160" s="51"/>
      <c r="H160" s="51"/>
    </row>
    <row r="161" spans="1:8">
      <c r="A161" s="51" t="s">
        <v>276</v>
      </c>
      <c r="B161" s="52">
        <v>2.9321361193202167</v>
      </c>
      <c r="C161" s="53" t="s">
        <v>277</v>
      </c>
      <c r="D161" s="52">
        <v>1.0465180361560902</v>
      </c>
      <c r="E161" s="51"/>
      <c r="F161" s="51"/>
      <c r="G161" s="51"/>
      <c r="H161" s="51"/>
    </row>
    <row r="162" spans="1:8">
      <c r="A162" s="51" t="s">
        <v>278</v>
      </c>
      <c r="B162" s="52">
        <v>8.5889903688125973</v>
      </c>
      <c r="C162" s="53" t="s">
        <v>279</v>
      </c>
      <c r="D162" s="52">
        <v>1.0465180361560902</v>
      </c>
      <c r="E162" s="51"/>
      <c r="F162" s="51"/>
      <c r="G162" s="51"/>
      <c r="H162" s="51"/>
    </row>
    <row r="163" spans="1:8">
      <c r="A163" s="51" t="s">
        <v>280</v>
      </c>
      <c r="B163" s="52">
        <v>2.9321361193202162</v>
      </c>
      <c r="C163" s="53" t="s">
        <v>281</v>
      </c>
      <c r="D163" s="52">
        <v>1.0465180361560902</v>
      </c>
      <c r="E163" s="51"/>
      <c r="F163" s="51"/>
      <c r="G163" s="51"/>
      <c r="H163" s="51"/>
    </row>
    <row r="164" spans="1:8">
      <c r="A164" s="51" t="s">
        <v>282</v>
      </c>
      <c r="B164" s="52">
        <v>8.5889903688125973</v>
      </c>
      <c r="C164" s="53" t="s">
        <v>283</v>
      </c>
      <c r="D164" s="52">
        <v>1.0465180361560902</v>
      </c>
      <c r="E164" s="51"/>
      <c r="F164" s="51"/>
      <c r="G164" s="51"/>
      <c r="H164" s="51"/>
    </row>
    <row r="165" spans="1:8">
      <c r="A165" s="1" t="s">
        <v>284</v>
      </c>
    </row>
    <row r="166" spans="1:8">
      <c r="A166" s="1" t="s">
        <v>285</v>
      </c>
      <c r="B166" s="54">
        <f>(Xba+Xbb+Dbone*Aba+Dbone*Abb)/2</f>
        <v>0</v>
      </c>
      <c r="C166" s="55" t="s">
        <v>286</v>
      </c>
      <c r="D166" s="54">
        <f>(Xbc+Xbd+Dbtwo*Abc+Dbtwo*Abd)/2</f>
        <v>-2.7496306570155928E-2</v>
      </c>
      <c r="E166" s="55" t="s">
        <v>287</v>
      </c>
      <c r="F166" s="54">
        <f>(Xbe+Xbf+Dbthree*Abe+Dbthree*Abf)/2</f>
        <v>2.7496306570155928E-2</v>
      </c>
    </row>
    <row r="167" spans="1:8">
      <c r="A167" s="1" t="s">
        <v>288</v>
      </c>
      <c r="B167" s="54">
        <f>(Yba+Ybb+Dbone*Bba+Dbone*Bbb)/2</f>
        <v>3.175E-2</v>
      </c>
      <c r="C167" s="55" t="s">
        <v>289</v>
      </c>
      <c r="D167" s="54">
        <f>(Ybc+Ybd+Dbtwo*Bbc+Dbtwo*Bbd)/2</f>
        <v>-1.5875E-2</v>
      </c>
      <c r="E167" s="55" t="s">
        <v>290</v>
      </c>
      <c r="F167" s="54">
        <f>(Ybe+Ybf+Dbthree*Bbe+Dbthree*Bbf)/2</f>
        <v>-1.5875E-2</v>
      </c>
    </row>
    <row r="168" spans="1:8">
      <c r="A168" s="1" t="s">
        <v>291</v>
      </c>
      <c r="B168" s="54">
        <f>(Zba+Zbb+0.5*Dbone*Gba+0.5*Dbone*Gbb)/2</f>
        <v>0</v>
      </c>
      <c r="C168" s="55" t="s">
        <v>292</v>
      </c>
      <c r="D168" s="54">
        <f>(Zbc+Zbd+0.5*Dbtwo*Gbc+0.5*Dbtwo*Gbd)/2</f>
        <v>0</v>
      </c>
      <c r="E168" s="55" t="s">
        <v>293</v>
      </c>
      <c r="F168" s="54">
        <f>(Zbe+Zbf+0.5*Dbthree*Gbe+0.5*Dbthree*Gbf)/2</f>
        <v>0</v>
      </c>
    </row>
    <row r="169" spans="1:8">
      <c r="A169" s="1" t="s">
        <v>294</v>
      </c>
      <c r="B169" s="54"/>
      <c r="C169" s="55"/>
      <c r="D169" s="54"/>
      <c r="E169" s="55"/>
      <c r="F169" s="54"/>
    </row>
    <row r="170" spans="1:8">
      <c r="A170" s="1" t="s">
        <v>295</v>
      </c>
      <c r="B170" s="56">
        <f>xboneO+(Aba*delone+Abb*deltwo)/2</f>
        <v>-4.183019321847724E-7</v>
      </c>
      <c r="C170" s="55" t="s">
        <v>296</v>
      </c>
      <c r="D170" s="54">
        <f>xbtwoO+(Abc*delthree+Abd*delfour)/2</f>
        <v>-2.7496399093720706E-2</v>
      </c>
      <c r="E170" s="55" t="s">
        <v>297</v>
      </c>
      <c r="F170" s="54">
        <f>xbthreeO+(Abe*delfive+Abf*delsix)/2</f>
        <v>2.7496214046591149E-2</v>
      </c>
    </row>
    <row r="171" spans="1:8">
      <c r="A171" s="1" t="s">
        <v>298</v>
      </c>
      <c r="B171" s="54">
        <f>yboneO+(Bba*delone+Bbb*deltwo)/2</f>
        <v>3.175E-2</v>
      </c>
      <c r="C171" s="55" t="s">
        <v>299</v>
      </c>
      <c r="D171" s="54">
        <f>ybtwoO+(Bbc*delthree+Bbd*delfour)/2</f>
        <v>-1.5874839744484906E-2</v>
      </c>
      <c r="E171" s="55" t="s">
        <v>300</v>
      </c>
      <c r="F171" s="54">
        <f>ybthreeO+(Bbe*delfive+Bbf*delsix)/2</f>
        <v>-1.5875160255515094E-2</v>
      </c>
    </row>
    <row r="172" spans="1:8">
      <c r="A172" s="1" t="s">
        <v>301</v>
      </c>
      <c r="B172" s="54">
        <f>zboneO+(Gba*delone+Gbb*deltwo)/2</f>
        <v>2.7856331397395922E-7</v>
      </c>
      <c r="C172" s="55" t="s">
        <v>302</v>
      </c>
      <c r="D172" s="54">
        <f>zbtwoO+(Gbc*delthree+Gbd*delfour)/2</f>
        <v>3.6062796317842669E-7</v>
      </c>
      <c r="E172" s="55" t="s">
        <v>303</v>
      </c>
      <c r="F172" s="54">
        <f>zbthreeO+(Gbe*delfive+Gbf*delsix)/2</f>
        <v>3.6062796317842669E-7</v>
      </c>
    </row>
    <row r="173" spans="1:8">
      <c r="A173" s="1" t="s">
        <v>304</v>
      </c>
      <c r="B173" s="54"/>
      <c r="C173" s="55"/>
      <c r="D173" s="54"/>
      <c r="E173" s="55"/>
      <c r="F173" s="54"/>
    </row>
    <row r="174" spans="1:8">
      <c r="A174" s="1" t="s">
        <v>305</v>
      </c>
      <c r="B174" s="124">
        <f>xboneN-xboneO</f>
        <v>-4.183019321847724E-7</v>
      </c>
      <c r="C174" s="55" t="s">
        <v>306</v>
      </c>
      <c r="D174" s="124">
        <f>xbtwoN-xbtwoO</f>
        <v>-9.2523564778485001E-8</v>
      </c>
      <c r="E174" s="55" t="s">
        <v>307</v>
      </c>
      <c r="F174" s="124">
        <f>xbthreeN-xbthreeO</f>
        <v>-9.2523564778485001E-8</v>
      </c>
    </row>
    <row r="175" spans="1:8">
      <c r="A175" s="1" t="s">
        <v>308</v>
      </c>
      <c r="B175" s="124">
        <f>yboneN-yboneO</f>
        <v>0</v>
      </c>
      <c r="C175" s="55" t="s">
        <v>309</v>
      </c>
      <c r="D175" s="124">
        <f>ybtwoN-ybtwoO</f>
        <v>1.6025551509424307E-7</v>
      </c>
      <c r="E175" s="55" t="s">
        <v>310</v>
      </c>
      <c r="F175" s="124">
        <f>ybthreeN-ybthreeO</f>
        <v>-1.6025551509424307E-7</v>
      </c>
    </row>
    <row r="176" spans="1:8">
      <c r="A176" s="1" t="s">
        <v>311</v>
      </c>
      <c r="B176" s="124">
        <f>zboneN-zboneO</f>
        <v>2.7856331397395922E-7</v>
      </c>
      <c r="C176" s="55" t="s">
        <v>312</v>
      </c>
      <c r="D176" s="124">
        <f>zbtwoN-zbtwoO</f>
        <v>3.6062796317842669E-7</v>
      </c>
      <c r="E176" s="55" t="s">
        <v>313</v>
      </c>
      <c r="F176" s="124">
        <f>zbthreeN-zbthreeO</f>
        <v>3.6062796317842669E-7</v>
      </c>
    </row>
    <row r="177" spans="1:7">
      <c r="A177" s="1" t="s">
        <v>314</v>
      </c>
      <c r="B177" s="124"/>
      <c r="C177" s="55"/>
      <c r="D177" s="124"/>
      <c r="E177" s="55"/>
      <c r="F177" s="124"/>
    </row>
    <row r="178" spans="1:7">
      <c r="A178" s="1" t="s">
        <v>315</v>
      </c>
      <c r="B178" s="125"/>
      <c r="C178" s="1" t="s">
        <v>316</v>
      </c>
      <c r="D178" s="125"/>
      <c r="E178" s="1" t="s">
        <v>317</v>
      </c>
      <c r="F178" s="125"/>
    </row>
    <row r="179" spans="1:7">
      <c r="A179" s="1" t="s">
        <v>318</v>
      </c>
      <c r="B179" s="124">
        <f>SQRT((xboneO-xbtwoO)^2+(yboneO-ybtwoO)^2+(zboneO-zbtwoO)^2)</f>
        <v>5.4992613140311855E-2</v>
      </c>
      <c r="C179" s="40" t="s">
        <v>319</v>
      </c>
      <c r="D179" s="124">
        <f>SQRT((xboneN-xbtwoN)^2+(yboneN-ybtwoN)^2+(zboneN-zbtwoN)^2)</f>
        <v>5.499231146621323E-2</v>
      </c>
      <c r="E179" s="1" t="s">
        <v>320</v>
      </c>
      <c r="F179" s="124">
        <f>B179-D179</f>
        <v>3.0167409862530414E-7</v>
      </c>
    </row>
    <row r="180" spans="1:7">
      <c r="A180" s="1" t="s">
        <v>321</v>
      </c>
      <c r="B180" s="124">
        <f>SQRT((xbtwoO-xbthreeO)^2+(ybtwoO-ybthreeO)^2+(zbtwoO-zbthreeO)^2)</f>
        <v>5.4992613140311855E-2</v>
      </c>
      <c r="C180" s="40" t="s">
        <v>322</v>
      </c>
      <c r="D180" s="124">
        <f>SQRT((xbtwoN-xbthreeN)^2+(ybtwoN-ybthreeN)^2+(zbtwoN-zbthreeN)^2)</f>
        <v>5.4992613141245865E-2</v>
      </c>
      <c r="E180" s="1" t="s">
        <v>323</v>
      </c>
      <c r="F180" s="124">
        <f>B180-D180</f>
        <v>-9.3400981393543248E-13</v>
      </c>
    </row>
    <row r="181" spans="1:7">
      <c r="A181" s="1" t="s">
        <v>324</v>
      </c>
      <c r="B181" s="124">
        <f>SQRT((xbthreeO-xboneO)^2+(ybthreeO-yboneO)^2+(zbthreeO-zboneO)^2)</f>
        <v>5.4992613140311855E-2</v>
      </c>
      <c r="C181" s="40" t="s">
        <v>325</v>
      </c>
      <c r="D181" s="124">
        <f>SQRT((xbthreeN-xboneN)^2+(ybthreeN-yboneN)^2+(zbthreeN-zboneN)^2)</f>
        <v>5.4992914815274969E-2</v>
      </c>
      <c r="E181" s="1" t="s">
        <v>326</v>
      </c>
      <c r="F181" s="124">
        <f>B181-D181</f>
        <v>-3.0167496311434006E-7</v>
      </c>
    </row>
    <row r="182" spans="1:7">
      <c r="A182" s="1" t="s">
        <v>327</v>
      </c>
      <c r="D182" s="1" t="s">
        <v>328</v>
      </c>
      <c r="F182" s="1" t="s">
        <v>329</v>
      </c>
    </row>
    <row r="183" spans="1:7">
      <c r="A183" s="96">
        <f>ABS(DLotI/LotI)</f>
        <v>5.4857203794915605E-6</v>
      </c>
      <c r="B183" s="50"/>
      <c r="C183" s="50"/>
      <c r="D183" s="96">
        <f>MAX(ABS(delone),ABS(deltwo))/(Dbone/2)</f>
        <v>2.0693255270638183E-4</v>
      </c>
      <c r="E183" s="126"/>
      <c r="F183" s="96">
        <f>D183/A183</f>
        <v>37.72203801710382</v>
      </c>
    </row>
    <row r="184" spans="1:7">
      <c r="A184" s="96">
        <f>ABS(DLttI/LttI)</f>
        <v>1.6984277716578716E-11</v>
      </c>
      <c r="B184" s="50"/>
      <c r="C184" s="50"/>
      <c r="D184" s="96">
        <f>MAX(ABS(delthree),ABS(delfour))/(Dbtwo/2)</f>
        <v>1.6203697990462443E-4</v>
      </c>
      <c r="E184" s="126"/>
      <c r="F184" s="96">
        <f>D184/A184</f>
        <v>9540410.4082952365</v>
      </c>
    </row>
    <row r="185" spans="1:7">
      <c r="A185" s="96">
        <f>ABS(DLtoI/LtoI)</f>
        <v>5.4857360995853434E-6</v>
      </c>
      <c r="B185" s="50"/>
      <c r="C185" s="50"/>
      <c r="D185" s="96">
        <f>MAX(ABS(delfive),ABS(delsix))/(Dbthree/2)</f>
        <v>1.6203697990462443E-4</v>
      </c>
      <c r="E185" s="126"/>
      <c r="F185" s="96">
        <f>D185/A185</f>
        <v>29.537873671479112</v>
      </c>
    </row>
    <row r="186" spans="1:7">
      <c r="A186" s="50"/>
      <c r="B186" s="50"/>
      <c r="C186" s="50"/>
      <c r="D186" s="50"/>
      <c r="E186" s="57"/>
      <c r="F186" s="50"/>
    </row>
    <row r="187" spans="1:7">
      <c r="A187" s="58" t="s">
        <v>330</v>
      </c>
      <c r="B187" s="50"/>
      <c r="C187" s="50"/>
      <c r="D187" s="50"/>
      <c r="E187" s="57"/>
      <c r="F187" s="50"/>
      <c r="G187" s="1" t="s">
        <v>331</v>
      </c>
    </row>
    <row r="188" spans="1:7">
      <c r="A188" s="1" t="s">
        <v>332</v>
      </c>
      <c r="C188" s="1" t="s">
        <v>333</v>
      </c>
      <c r="E188" s="1" t="s">
        <v>334</v>
      </c>
      <c r="G188" s="1" t="s">
        <v>335</v>
      </c>
    </row>
    <row r="189" spans="1:7">
      <c r="A189" s="1" t="s">
        <v>336</v>
      </c>
      <c r="B189" s="123">
        <f>(AbthreeO-AbtwoO)/(PI()*(AmtwoO-AmthreeO)/180)</f>
        <v>0</v>
      </c>
      <c r="C189" s="59" t="s">
        <v>337</v>
      </c>
      <c r="D189" s="123">
        <f>SQRT((xboneN-xci)^2+(yboneN-yci)^2+(zboneN-zci)^2)</f>
        <v>3.1750000003977541E-2</v>
      </c>
      <c r="E189" s="1" t="s">
        <v>338</v>
      </c>
      <c r="F189" s="96">
        <f>dxone*(Dcone/(Dcone+Dctwo+Dcthree))+dxtwo*(Dctwo/(Dcone+Dctwo+Dcthree))+dxthree*(Dcthree/(Dcone+Dctwo+Dcthree))</f>
        <v>-2.0111635391708405E-7</v>
      </c>
      <c r="G189" s="1">
        <f>dxone*(1-Dcone/(Dcone+Dctwo+Dcthree))+dxtwo*(1-Dctwo/(Dcone+Dctwo+Dcthree))+dxthree*(1-Dcthree/(Dcone+Dctwo+Dcthree))</f>
        <v>-4.0223270782465836E-7</v>
      </c>
    </row>
    <row r="190" spans="1:7">
      <c r="A190" s="1" t="s">
        <v>339</v>
      </c>
      <c r="B190" s="123">
        <f>(PI()*AmtwoO/180)*xci+AbtwoO</f>
        <v>0</v>
      </c>
      <c r="C190" s="59" t="s">
        <v>340</v>
      </c>
      <c r="D190" s="123">
        <f>SQRT((xbtwoN-xci)^2+(ybtwoN-yci)^2+(zbtwoN-zci)^2)</f>
        <v>3.175000000258732E-2</v>
      </c>
      <c r="E190" s="1" t="s">
        <v>341</v>
      </c>
      <c r="F190" s="96">
        <f>dyone*(Dcone/(Dcone+Dctwo+Dcthree))+dytwo*(Dctwo/(Dcone+Dctwo+Dcthree))+dythree*(Dcthree/(Dcone+Dctwo+Dcthree))</f>
        <v>0</v>
      </c>
    </row>
    <row r="191" spans="1:7">
      <c r="A191" s="1" t="s">
        <v>342</v>
      </c>
      <c r="B191" s="123">
        <f>(zboneO+zbtwoO+zbthreeO)/3</f>
        <v>0</v>
      </c>
      <c r="C191" s="59" t="s">
        <v>343</v>
      </c>
      <c r="D191" s="123">
        <f>SQRT((xbthreeN-xci)^2+(ybthreeN-yci)^2+(zbthreeN-zci)^2)</f>
        <v>3.175000000258732E-2</v>
      </c>
      <c r="E191" s="1" t="s">
        <v>344</v>
      </c>
      <c r="F191" s="96">
        <f>dzone*(Dcone/(Dcone+Dctwo+Dcthree))+dztwo*(Dctwo/(Dcone+Dctwo+Dcthree))+dzthree*(Dcthree/(Dcone+Dctwo+Dcthree))</f>
        <v>3.3327308010947236E-7</v>
      </c>
    </row>
    <row r="192" spans="1:7">
      <c r="A192" s="1" t="s">
        <v>345</v>
      </c>
      <c r="D192" s="1" t="s">
        <v>346</v>
      </c>
    </row>
    <row r="193" spans="1:10">
      <c r="A193" s="1" t="s">
        <v>347</v>
      </c>
      <c r="B193" s="60">
        <f>180*ACOS((LttI^2-LotI^2-LtoI^2)/(-2*LotI*LtoI))/PI()</f>
        <v>59.999999999999993</v>
      </c>
      <c r="C193" s="1" t="s">
        <v>348</v>
      </c>
      <c r="D193" s="1" t="s">
        <v>349</v>
      </c>
      <c r="E193" s="61">
        <f>LotN*SIN(PI()*ABS(Aot-Att)/180)</f>
        <v>4.7624738742566924E-2</v>
      </c>
      <c r="F193" s="1" t="s">
        <v>350</v>
      </c>
    </row>
    <row r="194" spans="1:10">
      <c r="A194" s="1" t="s">
        <v>351</v>
      </c>
      <c r="B194" s="60">
        <f>180*ACOS((LtoI^2-LotI^2-LttI^2)/(-2*LotI*LttI))/PI()</f>
        <v>59.999999999999993</v>
      </c>
      <c r="C194" s="1" t="s">
        <v>352</v>
      </c>
      <c r="D194" s="1" t="s">
        <v>353</v>
      </c>
      <c r="E194" s="61">
        <f>LttN*SIN(PI()*ABS(Aot-Att)/180)</f>
        <v>4.7625000000808874E-2</v>
      </c>
      <c r="F194" s="1" t="s">
        <v>354</v>
      </c>
    </row>
    <row r="195" spans="1:10">
      <c r="A195" s="1" t="s">
        <v>355</v>
      </c>
      <c r="B195" s="60">
        <f>180*ACOS((LotI^2-LtoI^2-LttI^2)/(-2*LtoI*LttI))/PI()</f>
        <v>59.999999999999993</v>
      </c>
      <c r="C195" s="1" t="s">
        <v>356</v>
      </c>
      <c r="D195" s="1" t="s">
        <v>357</v>
      </c>
      <c r="E195" s="61">
        <f>LttN*SIN(PI()*ABS(Ato-Att)/180)</f>
        <v>4.7625000000808868E-2</v>
      </c>
      <c r="F195" s="1" t="s">
        <v>358</v>
      </c>
    </row>
    <row r="196" spans="1:10">
      <c r="A196" s="1" t="s">
        <v>359</v>
      </c>
      <c r="D196" s="1" t="s">
        <v>360</v>
      </c>
    </row>
    <row r="197" spans="1:10">
      <c r="A197" s="1" t="s">
        <v>361</v>
      </c>
      <c r="B197" s="61">
        <f>180*ACOS((LttN^2-LotN^2-LtoN^2)/(-2*LotN*LtoN))/PI()</f>
        <v>59.999999997617209</v>
      </c>
      <c r="C197" s="1" t="s">
        <v>348</v>
      </c>
      <c r="D197" s="1" t="s">
        <v>362</v>
      </c>
      <c r="E197" s="57">
        <f>180*ATAN2((xboneO-xbtwoO),(yboneO-ybtwoO))/PI()</f>
        <v>59.999999999999993</v>
      </c>
      <c r="F197" s="1" t="s">
        <v>363</v>
      </c>
    </row>
    <row r="198" spans="1:10">
      <c r="A198" s="1" t="s">
        <v>364</v>
      </c>
      <c r="B198" s="61">
        <f>180*ACOS((LtoN^2-LotN^2-LttN^2)/(-2*LotN*LttN))/PI()</f>
        <v>60.000544400479754</v>
      </c>
      <c r="C198" s="1" t="s">
        <v>352</v>
      </c>
      <c r="D198" s="1" t="s">
        <v>365</v>
      </c>
      <c r="E198" s="57">
        <f>180*ATAN2((xbthreeO-xbtwoO),(ybthreeO-ybtwoO))/PI()</f>
        <v>0</v>
      </c>
      <c r="F198" s="1" t="s">
        <v>366</v>
      </c>
    </row>
    <row r="199" spans="1:10">
      <c r="A199" s="1" t="s">
        <v>367</v>
      </c>
      <c r="B199" s="61">
        <f>180*ACOS((LotN^2-LtoN^2-LttN^2)/(-2*LtoN*LttN))/PI()</f>
        <v>59.999455601903016</v>
      </c>
      <c r="C199" s="1" t="s">
        <v>356</v>
      </c>
      <c r="D199" s="1" t="s">
        <v>368</v>
      </c>
      <c r="E199" s="57">
        <f>180*ATAN2((xboneO-xbthreeO),(yboneO-ybthreeO))/PI()</f>
        <v>120.00000000000001</v>
      </c>
      <c r="F199" s="1" t="s">
        <v>369</v>
      </c>
    </row>
    <row r="200" spans="1:10">
      <c r="A200" s="1" t="s">
        <v>370</v>
      </c>
    </row>
    <row r="201" spans="1:10">
      <c r="A201" s="1" t="s">
        <v>371</v>
      </c>
      <c r="B201" s="57">
        <f>180*ATAN2((xboneN-xbtwoN),(yboneN-ybtwoN))/PI()</f>
        <v>60.000210465969388</v>
      </c>
      <c r="C201" s="1" t="s">
        <v>363</v>
      </c>
      <c r="E201" s="1">
        <f>SIGN(Bba*delone+Bbb*deltwo)</f>
        <v>0</v>
      </c>
    </row>
    <row r="202" spans="1:10">
      <c r="A202" s="1" t="s">
        <v>372</v>
      </c>
      <c r="B202" s="57">
        <f>180*ATAN2((xbthreeN-xbtwoN),(ybthreeN-ybtwoN))/PI()</f>
        <v>-3.3393447352878973E-4</v>
      </c>
      <c r="C202" s="1" t="s">
        <v>366</v>
      </c>
      <c r="E202" s="1">
        <f>SIGN(0)</f>
        <v>0</v>
      </c>
    </row>
    <row r="203" spans="1:10">
      <c r="A203" s="1" t="s">
        <v>373</v>
      </c>
      <c r="B203" s="57">
        <f>180*ATAN2((xboneN-xbthreeN),(yboneN-ybthreeN))/PI()</f>
        <v>120.00021046366028</v>
      </c>
      <c r="C203" s="1" t="s">
        <v>369</v>
      </c>
    </row>
    <row r="204" spans="1:10">
      <c r="A204" s="1" t="s">
        <v>374</v>
      </c>
      <c r="B204" s="57"/>
    </row>
    <row r="205" spans="1:10">
      <c r="A205" s="1" t="s">
        <v>375</v>
      </c>
      <c r="B205" s="57">
        <f>Att+Angtwo/2</f>
        <v>29.999999999999996</v>
      </c>
      <c r="C205" s="1" t="s">
        <v>376</v>
      </c>
      <c r="D205" s="57">
        <f>ybtwoO-TAN(PI()*AmtwoO/180)*xbtwoO</f>
        <v>0</v>
      </c>
    </row>
    <row r="206" spans="1:10">
      <c r="A206" s="1" t="s">
        <v>377</v>
      </c>
      <c r="B206" s="57">
        <f>Ato+Angthree/2</f>
        <v>150</v>
      </c>
      <c r="C206" s="1" t="s">
        <v>378</v>
      </c>
      <c r="D206" s="57">
        <f>ybthreeO-TAN(PI()*AmthreeO/180)*xbthreeO</f>
        <v>0</v>
      </c>
    </row>
    <row r="207" spans="1:10">
      <c r="A207" s="1" t="s">
        <v>379</v>
      </c>
      <c r="H207" s="50"/>
      <c r="I207" s="50"/>
      <c r="J207" s="50"/>
    </row>
    <row r="208" spans="1:10">
      <c r="A208" s="1" t="s">
        <v>380</v>
      </c>
      <c r="B208" s="50">
        <f>dzone/Aone</f>
        <v>5.8491305428407468E-6</v>
      </c>
      <c r="C208" s="1" t="s">
        <v>381</v>
      </c>
      <c r="H208" s="50"/>
      <c r="I208" s="50"/>
      <c r="J208" s="50"/>
    </row>
    <row r="209" spans="1:7">
      <c r="A209" s="1" t="s">
        <v>382</v>
      </c>
      <c r="B209" s="50">
        <f>dztwo/Atwo</f>
        <v>7.5722406965312696E-6</v>
      </c>
      <c r="C209" s="1" t="s">
        <v>383</v>
      </c>
    </row>
    <row r="210" spans="1:7">
      <c r="A210" s="1" t="s">
        <v>384</v>
      </c>
      <c r="B210" s="50">
        <f>dzthree/Athree</f>
        <v>7.5722406965312704E-6</v>
      </c>
      <c r="C210" s="1" t="s">
        <v>385</v>
      </c>
    </row>
    <row r="211" spans="1:7">
      <c r="A211" s="1" t="s">
        <v>386</v>
      </c>
    </row>
    <row r="212" spans="1:7">
      <c r="A212" s="1" t="s">
        <v>115</v>
      </c>
      <c r="B212" s="50">
        <f>Ttt*COS(PI()*Att/180)+Tto*COS(PI()*Ato/180)-Tot*COS(PI()*Aot/180)</f>
        <v>-1.7231101536905258E-6</v>
      </c>
      <c r="C212" s="51"/>
      <c r="D212" s="51" t="s">
        <v>387</v>
      </c>
      <c r="E212" s="50">
        <f>SQRT((0.5*(Aba*delone+Abb*deltwo))^2+(0.5*(Bba*delone+Bbb*deltwo))^2)*SIGN(-(Aba*delone+Abb*deltwo))/SQRT((xboneO-xci)^2+(yboneO-yci)^2)</f>
        <v>1.3174864005819602E-5</v>
      </c>
      <c r="F212" s="1" t="s">
        <v>388</v>
      </c>
      <c r="G212" s="51"/>
    </row>
    <row r="213" spans="1:7">
      <c r="A213" s="1" t="s">
        <v>116</v>
      </c>
      <c r="B213" s="50">
        <f>Ttt*SIN(PI()*Att/180)+Tto*SIN(PI()*Ato/180)-Tot*SIN(PI()*Aot/180)</f>
        <v>0</v>
      </c>
      <c r="C213" s="51"/>
      <c r="D213" s="51" t="s">
        <v>389</v>
      </c>
      <c r="E213" s="50">
        <f>SQRT((0.5*(Abc*delthree+Abd*delfour))^2+(0.5*(Bbc*delthree+Bbd*delfour))^2)*SIGN(Abc*delthree+Abd*delfour)/SQRT((xbtwoO-xci)^2+(ybtwoO-yci)^2)</f>
        <v>-5.8282560490424244E-6</v>
      </c>
      <c r="F213" s="1" t="s">
        <v>390</v>
      </c>
      <c r="G213" s="51"/>
    </row>
    <row r="214" spans="1:7">
      <c r="A214" s="1" t="s">
        <v>117</v>
      </c>
      <c r="B214" s="50">
        <f>(E212+E213+E214)/3</f>
        <v>5.0611730257825117E-7</v>
      </c>
      <c r="C214" s="51"/>
      <c r="D214" s="51" t="s">
        <v>391</v>
      </c>
      <c r="E214" s="50">
        <f>SQRT((0.5*(Abe*delfive+Abf*delsix))^2+(0.5*(Bbe*delfive+Bbf*delsix))^2)*SIGN(Abe*delfive+Abf*delsix)/SQRT((xbthreeO-xci)^2+(ybthreeO-yci)^2)</f>
        <v>-5.8282560490424244E-6</v>
      </c>
      <c r="F214" s="1" t="s">
        <v>392</v>
      </c>
      <c r="G214" s="51"/>
    </row>
    <row r="215" spans="1:7">
      <c r="A215" s="1" t="s">
        <v>393</v>
      </c>
      <c r="F215" s="1" t="s">
        <v>394</v>
      </c>
    </row>
    <row r="216" spans="1:7">
      <c r="A216" s="95">
        <v>1</v>
      </c>
      <c r="B216" s="95">
        <f>-EpsZ</f>
        <v>-5.0611730257825117E-7</v>
      </c>
      <c r="C216" s="95">
        <f>EpsY</f>
        <v>0</v>
      </c>
      <c r="D216" s="95">
        <f>dxc</f>
        <v>-2.0111635391708405E-7</v>
      </c>
      <c r="E216" s="1" t="s">
        <v>106</v>
      </c>
      <c r="F216" s="57">
        <f>Xerr/1000-xci</f>
        <v>0</v>
      </c>
    </row>
    <row r="217" spans="1:7">
      <c r="A217" s="95">
        <f>EpsZ</f>
        <v>5.0611730257825117E-7</v>
      </c>
      <c r="B217" s="95">
        <v>1</v>
      </c>
      <c r="C217" s="95">
        <f>-EpsX</f>
        <v>1.7231101536905258E-6</v>
      </c>
      <c r="D217" s="95">
        <f>dyc</f>
        <v>0</v>
      </c>
      <c r="E217" s="1" t="s">
        <v>107</v>
      </c>
      <c r="F217" s="57">
        <f>Yerr/1000-yci</f>
        <v>0</v>
      </c>
    </row>
    <row r="218" spans="1:7">
      <c r="A218" s="95">
        <f>-EpsY</f>
        <v>0</v>
      </c>
      <c r="B218" s="95">
        <f>EpsX</f>
        <v>-1.7231101536905258E-6</v>
      </c>
      <c r="C218" s="95">
        <v>1</v>
      </c>
      <c r="D218" s="95">
        <f>dzc</f>
        <v>3.3327308010947236E-7</v>
      </c>
      <c r="E218" s="1" t="s">
        <v>108</v>
      </c>
      <c r="F218" s="57">
        <f>Zerr/1000-zci</f>
        <v>0</v>
      </c>
    </row>
    <row r="219" spans="1:7">
      <c r="A219" s="95">
        <v>0</v>
      </c>
      <c r="B219" s="95">
        <v>0</v>
      </c>
      <c r="C219" s="95">
        <v>0</v>
      </c>
      <c r="D219" s="95">
        <v>1</v>
      </c>
      <c r="E219" s="1">
        <v>1</v>
      </c>
      <c r="F219" s="57">
        <v>1</v>
      </c>
    </row>
    <row r="220" spans="1:7">
      <c r="A220" s="1" t="s">
        <v>395</v>
      </c>
    </row>
    <row r="221" spans="1:7">
      <c r="A221" s="1" t="s">
        <v>396</v>
      </c>
      <c r="B221" s="50">
        <f t="array" ref="B221:B224">MMULT(A216:D219,F216:F219)-F216:F219</f>
        <v>-2.0111635391708405E-7</v>
      </c>
      <c r="D221" s="51"/>
      <c r="E221" s="51"/>
      <c r="F221" s="51"/>
      <c r="G221" s="51"/>
    </row>
    <row r="222" spans="1:7">
      <c r="A222" s="1" t="s">
        <v>397</v>
      </c>
      <c r="B222" s="50">
        <v>0</v>
      </c>
      <c r="D222" s="51"/>
      <c r="E222" s="51"/>
      <c r="F222" s="51"/>
      <c r="G222" s="51"/>
    </row>
    <row r="223" spans="1:7">
      <c r="A223" s="1" t="s">
        <v>398</v>
      </c>
      <c r="B223" s="50">
        <v>3.3327308010947236E-7</v>
      </c>
      <c r="D223" s="51"/>
      <c r="E223" s="51"/>
      <c r="F223" s="51"/>
      <c r="G223" s="51"/>
    </row>
    <row r="224" spans="1:7">
      <c r="B224" s="1">
        <v>0</v>
      </c>
    </row>
  </sheetData>
  <mergeCells count="51">
    <mergeCell ref="I47:J47"/>
    <mergeCell ref="I39:J39"/>
    <mergeCell ref="A39:B40"/>
    <mergeCell ref="F41:G41"/>
    <mergeCell ref="F44:G44"/>
    <mergeCell ref="F39:H39"/>
    <mergeCell ref="I44:J44"/>
    <mergeCell ref="A54:B54"/>
    <mergeCell ref="A2:G2"/>
    <mergeCell ref="A1:G1"/>
    <mergeCell ref="A26:B26"/>
    <mergeCell ref="A25:B25"/>
    <mergeCell ref="A24:B24"/>
    <mergeCell ref="A21:B21"/>
    <mergeCell ref="F4:G4"/>
    <mergeCell ref="F6:G6"/>
    <mergeCell ref="F11:G11"/>
    <mergeCell ref="A27:B27"/>
    <mergeCell ref="A41:B41"/>
    <mergeCell ref="A44:B44"/>
    <mergeCell ref="A47:B47"/>
    <mergeCell ref="C39:D40"/>
    <mergeCell ref="C41:E41"/>
    <mergeCell ref="F73:F74"/>
    <mergeCell ref="F98:F99"/>
    <mergeCell ref="F123:F124"/>
    <mergeCell ref="C19:E20"/>
    <mergeCell ref="C100:E100"/>
    <mergeCell ref="C101:E101"/>
    <mergeCell ref="C103:E103"/>
    <mergeCell ref="C47:E47"/>
    <mergeCell ref="C75:E75"/>
    <mergeCell ref="C76:E76"/>
    <mergeCell ref="C44:E44"/>
    <mergeCell ref="A4:C4"/>
    <mergeCell ref="E39:E40"/>
    <mergeCell ref="E5:E6"/>
    <mergeCell ref="A23:B23"/>
    <mergeCell ref="A22:B22"/>
    <mergeCell ref="E30:F30"/>
    <mergeCell ref="F16:G16"/>
    <mergeCell ref="A30:C30"/>
    <mergeCell ref="A5:D6"/>
    <mergeCell ref="A7:D7"/>
    <mergeCell ref="C128:E128"/>
    <mergeCell ref="C129:E129"/>
    <mergeCell ref="C78:E78"/>
    <mergeCell ref="C79:E79"/>
    <mergeCell ref="C125:E125"/>
    <mergeCell ref="C126:E126"/>
    <mergeCell ref="C104:E104"/>
  </mergeCells>
  <phoneticPr fontId="0" type="noConversion"/>
  <printOptions headings="1" gridLines="1" gridLinesSet="0"/>
  <pageMargins left="0.5" right="0.5" top="0.5" bottom="0.5" header="0.5" footer="0.5"/>
  <pageSetup paperSize="17" scale="71" fitToHeight="0" orientation="landscape"/>
  <headerFooter alignWithMargins="0">
    <oddHeader>&amp;CAppendix A</oddHeader>
    <oddFooter>&amp;C&amp;"Chicago"&amp;0Page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slocum</dc:creator>
  <cp:keywords/>
  <dc:description/>
  <cp:lastModifiedBy>Shien Yang Lee</cp:lastModifiedBy>
  <cp:revision/>
  <dcterms:created xsi:type="dcterms:W3CDTF">2017-02-15T20:11:52Z</dcterms:created>
  <dcterms:modified xsi:type="dcterms:W3CDTF">2017-02-19T03:18:24Z</dcterms:modified>
  <cp:category/>
  <cp:contentStatus/>
</cp:coreProperties>
</file>