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comments14.xml" ContentType="application/vnd.openxmlformats-officedocument.spreadsheetml.comments+xml"/>
  <Override PartName="/xl/_rels/workbook.xml.rels" ContentType="application/vnd.openxmlformats-package.relationships+xml"/>
  <Override PartName="/xl/media/image68.png" ContentType="image/png"/>
  <Override PartName="/xl/media/image67.jpeg" ContentType="image/jpeg"/>
  <Override PartName="/xl/media/image64.jpeg" ContentType="image/jpeg"/>
  <Override PartName="/xl/media/image66.gif" ContentType="image/gif"/>
  <Override PartName="/xl/media/image63.wmf" ContentType="image/x-wmf"/>
  <Override PartName="/xl/media/image55.jpeg" ContentType="image/jpeg"/>
  <Override PartName="/xl/media/image54.jpeg" ContentType="image/jpeg"/>
  <Override PartName="/xl/media/image65.jpeg" ContentType="image/jpeg"/>
  <Override PartName="/xl/media/image53.wmf" ContentType="image/x-wmf"/>
  <Override PartName="/xl/media/image52.jpeg" ContentType="image/jpeg"/>
  <Override PartName="/xl/media/image56.jpeg" ContentType="image/jpeg"/>
  <Override PartName="/xl/media/image62.wmf" ContentType="image/x-wmf"/>
  <Override PartName="/xl/media/image61.jpeg" ContentType="image/jpeg"/>
  <Override PartName="/xl/media/image57.jpeg" ContentType="image/jpeg"/>
  <Override PartName="/xl/media/image58.jpeg" ContentType="image/jpeg"/>
  <Override PartName="/xl/media/image60.jpeg" ContentType="image/jpeg"/>
  <Override PartName="/xl/media/image59.jpeg" ContentType="image/jpeg"/>
  <Override PartName="/xl/drawings/drawing11.xml" ContentType="application/vnd.openxmlformats-officedocument.drawing+xml"/>
  <Override PartName="/xl/drawings/drawing10.xml" ContentType="application/vnd.openxmlformats-officedocument.drawing+xml"/>
  <Override PartName="/xl/drawings/drawing9.xml" ContentType="application/vnd.openxmlformats-officedocument.drawing+xml"/>
  <Override PartName="/xl/drawings/drawing3.xml" ContentType="application/vnd.openxmlformats-officedocument.drawing+xml"/>
  <Override PartName="/xl/drawings/drawing2.xml" ContentType="application/vnd.openxmlformats-officedocument.drawing+xml"/>
  <Override PartName="/xl/drawings/vmlDrawing1.vml" ContentType="application/vnd.openxmlformats-officedocument.vmlDrawing"/>
  <Override PartName="/xl/drawings/drawing4.xml" ContentType="application/vnd.openxmlformats-officedocument.drawing+xml"/>
  <Override PartName="/xl/drawings/drawing1.xml" ContentType="application/vnd.openxmlformats-officedocument.drawing+xml"/>
  <Override PartName="/xl/drawings/_rels/drawing11.xml.rels" ContentType="application/vnd.openxmlformats-package.relationships+xml"/>
  <Override PartName="/xl/drawings/_rels/drawing4.xml.rels" ContentType="application/vnd.openxmlformats-package.relationships+xml"/>
  <Override PartName="/xl/drawings/_rels/drawing3.xml.rels" ContentType="application/vnd.openxmlformats-package.relationships+xml"/>
  <Override PartName="/xl/drawings/_rels/drawing5.xml.rels" ContentType="application/vnd.openxmlformats-package.relationships+xml"/>
  <Override PartName="/xl/drawings/_rels/drawing6.xml.rels" ContentType="application/vnd.openxmlformats-package.relationships+xml"/>
  <Override PartName="/xl/drawings/_rels/drawing7.xml.rels" ContentType="application/vnd.openxmlformats-package.relationships+xml"/>
  <Override PartName="/xl/drawings/_rels/drawing8.xml.rels" ContentType="application/vnd.openxmlformats-package.relationships+xml"/>
  <Override PartName="/xl/drawings/_rels/drawing1.xml.rels" ContentType="application/vnd.openxmlformats-package.relationships+xml"/>
  <Override PartName="/xl/drawings/_rels/drawing9.xml.rels" ContentType="application/vnd.openxmlformats-package.relationships+xml"/>
  <Override PartName="/xl/drawings/_rels/drawing2.xml.rels" ContentType="application/vnd.openxmlformats-package.relationships+xml"/>
  <Override PartName="/xl/drawings/_rels/drawing10.xml.rels" ContentType="application/vnd.openxmlformats-package.relationships+xml"/>
  <Override PartName="/xl/drawings/drawing5.xml" ContentType="application/vnd.openxmlformats-officedocument.drawing+xml"/>
  <Override PartName="/xl/drawings/vmlDrawing2.vml" ContentType="application/vnd.openxmlformats-officedocument.vmlDrawing"/>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book.xml" ContentType="application/vnd.openxmlformats-officedocument.spreadsheetml.sheet.main+xml"/>
  <Override PartName="/xl/comments3.xml" ContentType="application/vnd.openxmlformats-officedocument.spreadsheetml.comments+xml"/>
  <Override PartName="/xl/styles.xml" ContentType="application/vnd.openxmlformats-officedocument.spreadsheetml.styles+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_rels/sheet7.xml.rels" ContentType="application/vnd.openxmlformats-package.relationships+xml"/>
  <Override PartName="/xl/worksheets/_rels/sheet6.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19.xml.rels" ContentType="application/vnd.openxmlformats-package.relationships+xml"/>
  <Override PartName="/xl/worksheets/_rels/sheet8.xml.rels" ContentType="application/vnd.openxmlformats-package.relationships+xml"/>
  <Override PartName="/xl/worksheets/_rels/sheet9.xml.rels" ContentType="application/vnd.openxmlformats-package.relationships+xml"/>
  <Override PartName="/xl/worksheets/_rels/sheet10.xml.rels" ContentType="application/vnd.openxmlformats-package.relationships+xml"/>
  <Override PartName="/xl/worksheets/_rels/sheet14.xml.rels" ContentType="application/vnd.openxmlformats-package.relationships+xml"/>
  <Override PartName="/xl/worksheets/_rels/sheet15.xml.rels" ContentType="application/vnd.openxmlformats-package.relationships+xml"/>
  <Override PartName="/xl/worksheets/_rels/sheet18.xml.rels" ContentType="application/vnd.openxmlformats-package.relationships+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2"/>
  </bookViews>
  <sheets>
    <sheet name="Summary" sheetId="1" state="visible" r:id="rId2"/>
    <sheet name="Edit History" sheetId="2" state="visible" r:id="rId3"/>
    <sheet name="CSs and Loads" sheetId="3" state="visible" r:id="rId4"/>
    <sheet name="CS_1 Y carriage and table" sheetId="4" state="visible" r:id="rId5"/>
    <sheet name="CS_2_vertical column" sheetId="5" state="visible" r:id="rId6"/>
    <sheet name="CS_3_Crossbeam" sheetId="6" state="visible" r:id="rId7"/>
    <sheet name="CS_4_Legs" sheetId="7" state="visible" r:id="rId8"/>
    <sheet name="CS_5 Bridge" sheetId="8" state="visible" r:id="rId9"/>
    <sheet name="CS_6 X-axis" sheetId="9" state="visible" r:id="rId10"/>
    <sheet name="CS_7 Bed" sheetId="10" state="visible" r:id="rId11"/>
    <sheet name="CS_8" sheetId="11" state="visible" r:id="rId12"/>
    <sheet name="CS_9" sheetId="12" state="visible" r:id="rId13"/>
    <sheet name="CS_10" sheetId="13" state="visible" r:id="rId14"/>
    <sheet name="ref bearings, servo, structure" sheetId="14" state="visible" r:id="rId15"/>
    <sheet name="X section properties" sheetId="15" state="visible" r:id="rId16"/>
    <sheet name="actuators" sheetId="16" state="visible" r:id="rId17"/>
    <sheet name="axis 1 properties" sheetId="17" state="visible" r:id="rId18"/>
    <sheet name="Right Hand CS" sheetId="18" state="visible" r:id="rId19"/>
    <sheet name="HTM formulas" sheetId="19" state="visible" r:id="rId20"/>
  </sheets>
  <definedNames>
    <definedName function="false" hidden="false" name="lgrs" vbProcedure="false">'X section properties'!$D$15</definedName>
    <definedName function="false" hidden="false" name="lgst" vbProcedure="false">'X section properties'!$D$17</definedName>
    <definedName function="false" hidden="false" name="Naxes" vbProcedure="false">'CSs and Loads'!$C$10</definedName>
    <definedName function="false" hidden="false" name="R_Area" vbProcedure="false">'X section properties'!$D$6</definedName>
    <definedName function="false" hidden="false" name="R_I" vbProcedure="false">'X section properties'!$D$7</definedName>
    <definedName function="false" hidden="false" name="R_Ip" vbProcedure="false">'X section properties'!$D$8</definedName>
    <definedName function="false" hidden="false" name="R_OD" vbProcedure="false">'X section properties'!$D$4</definedName>
    <definedName function="false" hidden="false" name="R_wall" vbProcedure="false">'X section properties'!$D$5</definedName>
    <definedName function="false" hidden="false" name="S_Area" vbProcedure="false">'X section properties'!$D$12</definedName>
    <definedName function="false" hidden="false" name="S_I" vbProcedure="false">'X section properties'!$D$13</definedName>
    <definedName function="false" hidden="false" name="S_IP" vbProcedure="false">'X section properties'!$D$14</definedName>
    <definedName function="false" hidden="false" name="S_OD" vbProcedure="false">'X section properties'!$D$10</definedName>
    <definedName function="false" hidden="false" name="S_wall" vbProcedure="false">'X section properties'!$D$11</definedName>
    <definedName function="false" hidden="false" localSheetId="4" name="dbh" vbProcedure="false">#REF!</definedName>
    <definedName function="false" hidden="false" localSheetId="4" name="dbv" vbProcedure="false">#REF!</definedName>
    <definedName function="false" hidden="false" localSheetId="4" name="deflx_1" vbProcedure="false">#REF!</definedName>
    <definedName function="false" hidden="false" localSheetId="4" name="defly_1" vbProcedure="false">#REF!</definedName>
    <definedName function="false" hidden="false" localSheetId="4" name="deflz_1" vbProcedure="false">#REF!</definedName>
    <definedName function="false" hidden="false" localSheetId="4" name="delbear" vbProcedure="false">#REF!</definedName>
    <definedName function="false" hidden="false" localSheetId="4" name="delforce" vbProcedure="false">#REF!</definedName>
    <definedName function="false" hidden="false" localSheetId="4" name="depsx_1" vbProcedure="false">#REF!</definedName>
    <definedName function="false" hidden="false" localSheetId="4" name="depsy_1" vbProcedure="false">#REF!</definedName>
    <definedName function="false" hidden="false" localSheetId="4" name="depsz_1" vbProcedure="false">#REF!</definedName>
    <definedName function="false" hidden="false" localSheetId="4" name="dservo_1" vbProcedure="false">#REF!</definedName>
    <definedName function="false" hidden="false" localSheetId="4" name="dxbr_1" vbProcedure="false">#REF!</definedName>
    <definedName function="false" hidden="false" localSheetId="4" name="dxr_1" vbProcedure="false">#REF!</definedName>
    <definedName function="false" hidden="false" localSheetId="4" name="dx_epsx_1" vbProcedure="false">#REF!</definedName>
    <definedName function="false" hidden="false" localSheetId="4" name="dx_epsy_1" vbProcedure="false">#REF!</definedName>
    <definedName function="false" hidden="false" localSheetId="4" name="dx_epsz_1" vbProcedure="false">#REF!</definedName>
    <definedName function="false" hidden="false" localSheetId="4" name="dybr_1" vbProcedure="false">#REF!</definedName>
    <definedName function="false" hidden="false" localSheetId="4" name="dyr_1" vbProcedure="false">#REF!</definedName>
    <definedName function="false" hidden="false" localSheetId="4" name="dy_epsx_1" vbProcedure="false">#REF!</definedName>
    <definedName function="false" hidden="false" localSheetId="4" name="dy_epsy_1" vbProcedure="false">#REF!</definedName>
    <definedName function="false" hidden="false" localSheetId="4" name="dy_epsz_1" vbProcedure="false">#REF!</definedName>
    <definedName function="false" hidden="false" localSheetId="4" name="dzbr_1" vbProcedure="false">#REF!</definedName>
    <definedName function="false" hidden="false" localSheetId="4" name="dzr_1" vbProcedure="false">#REF!</definedName>
    <definedName function="false" hidden="false" localSheetId="4" name="dz_epsx_1" vbProcedure="false">#REF!</definedName>
    <definedName function="false" hidden="false" localSheetId="4" name="dz_epsy_1" vbProcedure="false">#REF!</definedName>
    <definedName function="false" hidden="false" localSheetId="4" name="dz_epsz_1" vbProcedure="false">#REF!</definedName>
    <definedName function="false" hidden="false" localSheetId="4" name="epsaxis" vbProcedure="false">#REF!</definedName>
    <definedName function="false" hidden="false" localSheetId="4" name="epsxg" vbProcedure="false">#REF!</definedName>
    <definedName function="false" hidden="false" localSheetId="4" name="epsx_1" vbProcedure="false">#REF!</definedName>
    <definedName function="false" hidden="false" localSheetId="4" name="epsyg" vbProcedure="false">#REF!</definedName>
    <definedName function="false" hidden="false" localSheetId="4" name="epsy_1" vbProcedure="false">#REF!</definedName>
    <definedName function="false" hidden="false" localSheetId="4" name="epszg" vbProcedure="false">#REF!</definedName>
    <definedName function="false" hidden="false" localSheetId="4" name="epsz_1" vbProcedure="false">#REF!</definedName>
    <definedName function="false" hidden="false" localSheetId="4" name="exr_1" vbProcedure="false">#REF!</definedName>
    <definedName function="false" hidden="false" localSheetId="4" name="eyr_1" vbProcedure="false">#REF!</definedName>
    <definedName function="false" hidden="false" localSheetId="4" name="ezr_1" vbProcedure="false">#REF!</definedName>
    <definedName function="false" hidden="false" localSheetId="4" name="Fc" vbProcedure="false">#REF!</definedName>
    <definedName function="false" hidden="false" localSheetId="4" name="Fxa_1" vbProcedure="false">#REF!</definedName>
    <definedName function="false" hidden="false" localSheetId="4" name="Fxg_1" vbProcedure="false">#REF!</definedName>
    <definedName function="false" hidden="false" localSheetId="4" name="Fx_1" vbProcedure="false">#REF!</definedName>
    <definedName function="false" hidden="false" localSheetId="4" name="Fya_1" vbProcedure="false">#REF!</definedName>
    <definedName function="false" hidden="false" localSheetId="4" name="Fyg_1" vbProcedure="false">#REF!</definedName>
    <definedName function="false" hidden="false" localSheetId="4" name="Fy_1" vbProcedure="false">#REF!</definedName>
    <definedName function="false" hidden="false" localSheetId="4" name="Fza_1" vbProcedure="false">#REF!</definedName>
    <definedName function="false" hidden="false" localSheetId="4" name="Fzg_1" vbProcedure="false">#REF!</definedName>
    <definedName function="false" hidden="false" localSheetId="4" name="Fz_1" vbProcedure="false">#REF!</definedName>
    <definedName function="false" hidden="false" localSheetId="4" name="Kforce" vbProcedure="false">#REF!</definedName>
    <definedName function="false" hidden="false" localSheetId="4" name="Krotx_1" vbProcedure="false">#REF!</definedName>
    <definedName function="false" hidden="false" localSheetId="4" name="Kroty_1" vbProcedure="false">#REF!</definedName>
    <definedName function="false" hidden="false" localSheetId="4" name="Krotz_1" vbProcedure="false">#REF!</definedName>
    <definedName function="false" hidden="false" localSheetId="4" name="Kservo_1" vbProcedure="false">#REF!</definedName>
    <definedName function="false" hidden="false" localSheetId="4" name="Kx_1" vbProcedure="false">#REF!</definedName>
    <definedName function="false" hidden="false" localSheetId="4" name="Ky_1" vbProcedure="false">#REF!</definedName>
    <definedName function="false" hidden="false" localSheetId="4" name="Kz_1" vbProcedure="false">#REF!</definedName>
    <definedName function="false" hidden="false" localSheetId="4" name="Mxa_1" vbProcedure="false">#REF!</definedName>
    <definedName function="false" hidden="false" localSheetId="4" name="Mxg_1" vbProcedure="false">#REF!</definedName>
    <definedName function="false" hidden="false" localSheetId="4" name="Mx_1" vbProcedure="false">#REF!</definedName>
    <definedName function="false" hidden="false" localSheetId="4" name="Mya_1" vbProcedure="false">#REF!</definedName>
    <definedName function="false" hidden="false" localSheetId="4" name="Myg_1" vbProcedure="false">#REF!</definedName>
    <definedName function="false" hidden="false" localSheetId="4" name="My_1" vbProcedure="false">#REF!</definedName>
    <definedName function="false" hidden="false" localSheetId="4" name="Mza_1" vbProcedure="false">#REF!</definedName>
    <definedName function="false" hidden="false" localSheetId="4" name="Mzg_1" vbProcedure="false">#REF!</definedName>
    <definedName function="false" hidden="false" localSheetId="4" name="Mz_1" vbProcedure="false">#REF!</definedName>
    <definedName function="false" hidden="false" localSheetId="4" name="Nbear" vbProcedure="false">#REF!</definedName>
    <definedName function="false" hidden="false" localSheetId="4" name="Xl_1" vbProcedure="false">#REF!</definedName>
    <definedName function="false" hidden="false" localSheetId="4" name="Yl_1" vbProcedure="false">#REF!</definedName>
    <definedName function="false" hidden="false" localSheetId="4" name="Zl_1" vbProcedure="false">#REF!</definedName>
  </definedNames>
  <calcPr iterateCount="100" refMode="A1" iterate="false" iterateDelta="0.0001"/>
  <extLst>
    <ext xmlns:loext="http://schemas.libreoffice.org/" uri="{7626C862-2A13-11E5-B345-FEFF819CDC9F}">
      <loext:extCalcPr stringRefSyntax="ExcelA1"/>
    </ext>
  </extLst>
</workbook>
</file>

<file path=xl/comments3.xml><?xml version="1.0" encoding="utf-8"?>
<comments xmlns="http://schemas.openxmlformats.org/spreadsheetml/2006/main" xmlns:xdr="http://schemas.openxmlformats.org/drawingml/2006/spreadsheetDrawing">
  <authors>
    <author/>
  </authors>
  <commentList>
    <comment ref="C185" authorId="0">
      <text>
        <r>
          <rPr>
            <b val="true"/>
            <sz val="9"/>
            <color rgb="FF000000"/>
            <rFont val="Calibri"/>
            <family val="2"/>
            <charset val="1"/>
          </rPr>
          <t xml:space="preserve">Alex Slocum:
</t>
        </r>
        <r>
          <rPr>
            <sz val="9"/>
            <color rgb="FF000000"/>
            <rFont val="Calibri"/>
            <family val="2"/>
            <charset val="1"/>
          </rPr>
          <t xml:space="preserve">These coordinates are chosen so the Bed CS resides at the same location as the toolpoint</t>
        </r>
      </text>
    </comment>
    <comment ref="C218" authorId="0">
      <text>
        <r>
          <rPr>
            <b val="true"/>
            <sz val="9"/>
            <color rgb="FF000000"/>
            <rFont val="Calibri"/>
            <family val="2"/>
            <charset val="1"/>
          </rPr>
          <t xml:space="preserve">Alex Slocum:
</t>
        </r>
        <r>
          <rPr>
            <sz val="9"/>
            <color rgb="FF000000"/>
            <rFont val="Calibri"/>
            <family val="2"/>
            <charset val="1"/>
          </rPr>
          <t xml:space="preserve">The X position is not dependant on the X servo, rather it is placed to put CS_7's origin at the toolpoint (hence all zeros)</t>
        </r>
      </text>
    </comment>
  </commentList>
</comments>
</file>

<file path=xl/comments14.xml><?xml version="1.0" encoding="utf-8"?>
<comments xmlns="http://schemas.openxmlformats.org/spreadsheetml/2006/main" xmlns:xdr="http://schemas.openxmlformats.org/drawingml/2006/spreadsheetDrawing">
  <authors>
    <author/>
  </authors>
  <commentList>
    <comment ref="B28" authorId="0">
      <text>
        <r>
          <rPr>
            <b val="true"/>
            <sz val="9"/>
            <color rgb="FF000000"/>
            <rFont val="Calibri"/>
            <family val="2"/>
            <charset val="1"/>
          </rPr>
          <t xml:space="preserve">Alex Slocum:
</t>
        </r>
        <r>
          <rPr>
            <sz val="9"/>
            <color rgb="FF000000"/>
            <rFont val="Calibri"/>
            <family val="2"/>
            <charset val="1"/>
          </rPr>
          <t xml:space="preserve">Note absolute value
</t>
        </r>
      </text>
    </comment>
  </commentList>
</comments>
</file>

<file path=xl/sharedStrings.xml><?xml version="1.0" encoding="utf-8"?>
<sst xmlns="http://schemas.openxmlformats.org/spreadsheetml/2006/main" count="4067" uniqueCount="424">
  <si>
    <t xml:space="preserve">Error_Budget_Spreadsheet.xls</t>
  </si>
  <si>
    <t xml:space="preserve">Suumary of Results</t>
  </si>
  <si>
    <t xml:space="preserve">Written by Aex Slocum 2015.08.30, last edit 2017.03.13 for desk</t>
  </si>
  <si>
    <t xml:space="preserve">For servo axes, cells give value to servo motions, &amp; corresponding coordinates of axes in worksheet "Axes' CS and Loads" are to be driven by these values</t>
  </si>
  <si>
    <t xml:space="preserve">Last edit:</t>
  </si>
  <si>
    <t xml:space="preserve">2016.02.29</t>
  </si>
  <si>
    <t xml:space="preserve">By:</t>
  </si>
  <si>
    <t xml:space="preserve">Alex Slocum</t>
  </si>
  <si>
    <t xml:space="preserve">Please enter edits in "Edit History" Worksheet</t>
  </si>
  <si>
    <t xml:space="preserve">Inputs in BLACK in Yellow background cells:</t>
  </si>
  <si>
    <t xml:space="preserve">Input</t>
  </si>
  <si>
    <t xml:space="preserve">BE CONSISTANT WITH UNITS!</t>
  </si>
  <si>
    <r>
      <rPr>
        <b val="true"/>
        <sz val="12"/>
        <color rgb="FF000000"/>
        <rFont val="Calibri"/>
        <family val="2"/>
        <charset val="1"/>
      </rPr>
      <t xml:space="preserve">Outputs in </t>
    </r>
    <r>
      <rPr>
        <b val="true"/>
        <sz val="12"/>
        <color rgb="FFFF0000"/>
        <rFont val="Calibri"/>
        <family val="2"/>
        <charset val="1"/>
      </rPr>
      <t xml:space="preserve">RED</t>
    </r>
    <r>
      <rPr>
        <b val="true"/>
        <sz val="12"/>
        <color rgb="FF000000"/>
        <rFont val="Calibri"/>
        <family val="2"/>
        <charset val="1"/>
      </rPr>
      <t xml:space="preserve"> in Green background cells:</t>
    </r>
  </si>
  <si>
    <t xml:space="preserve">Output</t>
  </si>
  <si>
    <t xml:space="preserve">User enter servo axes:</t>
  </si>
  <si>
    <r>
      <rPr>
        <b val="true"/>
        <sz val="12"/>
        <color rgb="FF000000"/>
        <rFont val="Calibri"/>
        <family val="2"/>
        <charset val="1"/>
      </rPr>
      <t xml:space="preserve">Axes' coordinates and applied loads are defined in worksheet  "</t>
    </r>
    <r>
      <rPr>
        <b val="true"/>
        <i val="true"/>
        <sz val="12"/>
        <color rgb="FF000000"/>
        <rFont val="Calibri"/>
        <family val="2"/>
        <charset val="1"/>
      </rPr>
      <t xml:space="preserve">Axes' CS &amp; Loads"</t>
    </r>
  </si>
  <si>
    <t xml:space="preserve">Name</t>
  </si>
  <si>
    <t xml:space="preserve">Axis</t>
  </si>
  <si>
    <t xml:space="preserve">position</t>
  </si>
  <si>
    <t xml:space="preserve">offset from CS origin</t>
  </si>
  <si>
    <t xml:space="preserve">Extra length of actuator for mounting</t>
  </si>
  <si>
    <t xml:space="preserve">Z servo</t>
  </si>
  <si>
    <t xml:space="preserve">NOTE: because Z axis has bearing blocks fixed to Y carriage.</t>
  </si>
  <si>
    <t xml:space="preserve">All Axes</t>
  </si>
  <si>
    <t xml:space="preserve">For the Entire Machine</t>
  </si>
  <si>
    <t xml:space="preserve">Number of axes</t>
  </si>
  <si>
    <t xml:space="preserve">All axes' Geometric Errors</t>
  </si>
  <si>
    <t xml:space="preserve">F=kX displacement</t>
  </si>
  <si>
    <t xml:space="preserve">Random</t>
  </si>
  <si>
    <t xml:space="preserve">Systematic</t>
  </si>
  <si>
    <t xml:space="preserve">Sum</t>
  </si>
  <si>
    <t xml:space="preserve">RSS</t>
  </si>
  <si>
    <t xml:space="preserve">Avg(SUM, RSS)</t>
  </si>
  <si>
    <t xml:space="preserve">deltaX</t>
  </si>
  <si>
    <t xml:space="preserve">deltaY</t>
  </si>
  <si>
    <t xml:space="preserve">deltaZ</t>
  </si>
  <si>
    <t xml:space="preserve">Vector displacement</t>
  </si>
  <si>
    <t xml:space="preserve">Geometric Errors</t>
  </si>
  <si>
    <t xml:space="preserve">Random Geometric Errors at point of interest in final (ref) CS</t>
  </si>
  <si>
    <t xml:space="preserve">Systematic Geometric Errors at point of interest in final (ref) CS</t>
  </si>
  <si>
    <t xml:space="preserve">F=kx Displacements at point of interest in final (ref) CS</t>
  </si>
  <si>
    <t xml:space="preserve">Axis on?</t>
  </si>
  <si>
    <t xml:space="preserve">Pure translation</t>
  </si>
  <si>
    <t xml:space="preserve">By epsx gain</t>
  </si>
  <si>
    <t xml:space="preserve">By epsy gain</t>
  </si>
  <si>
    <t xml:space="preserve">By epsz gain</t>
  </si>
  <si>
    <t xml:space="preserve">Suggested additions to act on</t>
  </si>
  <si>
    <t xml:space="preserve">Event #</t>
  </si>
  <si>
    <t xml:space="preserve">Date:</t>
  </si>
  <si>
    <t xml:space="preserve">Summary of edits made</t>
  </si>
  <si>
    <t xml:space="preserve">2015.09.15</t>
  </si>
  <si>
    <t xml:space="preserve">AS</t>
  </si>
  <si>
    <t xml:space="preserve">cleaned formating, added some explanations, and added random and systematic angular errors for use in the case where using purchased axis</t>
  </si>
  <si>
    <t xml:space="preserve">2015.10.20</t>
  </si>
  <si>
    <t xml:space="preserve">fixed rotation error calculation from running parallelism and added conditional IF in case user has zeros in any cells on Axis_N sheets</t>
  </si>
  <si>
    <t xml:space="preserve">2015.10.21</t>
  </si>
  <si>
    <t xml:space="preserve">made calculation of rotation errors generic wrt linear guide position</t>
  </si>
  <si>
    <t xml:space="preserve">2015.10.28</t>
  </si>
  <si>
    <t xml:space="preserve">Changed error gain calculation by making pertubation angle 1e-6 v 1e-3 to remove roundoff error for very small errors</t>
  </si>
  <si>
    <t xml:space="preserve">2015.10.29</t>
  </si>
  <si>
    <t xml:space="preserve">fixed error calculartions referencing error gains, changed RSS to RMS for attachment points' errors</t>
  </si>
  <si>
    <t xml:space="preserve">2015.11.12</t>
  </si>
  <si>
    <t xml:space="preserve">fixed moment load calculation on CS origins</t>
  </si>
  <si>
    <t xml:space="preserve">Random error calculation in Axis CS and loads sheets forced positive by ABS, also error gain calculation by user can enter magnitude of angle for calculating error gain) should not need to be changed though)</t>
  </si>
  <si>
    <t xml:space="preserve">2016.03.06</t>
  </si>
  <si>
    <t xml:space="preserve">Fixed issue of plane of bearing blocks and errors entered--added lots of conditional Ifs so no need to worry about doing vector sum of implied angular errors from bearing blocks being sometimes different depending on orientation…</t>
  </si>
  <si>
    <t xml:space="preserve">2016.03.08</t>
  </si>
  <si>
    <t xml:space="preserve">Structure stiffness matrix added, along with calculations such that the linear and angular deflections of the structure are added accordingly to previous CS origin motions so Abbe errors accounted for</t>
  </si>
  <si>
    <t xml:space="preserve">2016.03.27</t>
  </si>
  <si>
    <t xml:space="preserve">Major revision to have each CS worksheet include bearings, servo, structure assessment to form the complaince matric (no need for old "bearings, servo, structure" worksheet)</t>
  </si>
  <si>
    <t xml:space="preserve">2016.03.30</t>
  </si>
  <si>
    <t xml:space="preserve">added suggested additions to act on</t>
  </si>
  <si>
    <t xml:space="preserve">deleted unused "servo stiffness" cells from "Summary" worksheet and added Extra length of actuator for mounting to be added to servo position for calculating the stiffness of actuator in CS worksheets</t>
  </si>
  <si>
    <t xml:space="preserve">2016.05.24</t>
  </si>
  <si>
    <t xml:space="preserve">formatting</t>
  </si>
  <si>
    <t xml:space="preserve">2016.10.20</t>
  </si>
  <si>
    <t xml:space="preserve">corrected label description for moment of inertia calculations</t>
  </si>
  <si>
    <t xml:space="preserve">added condition for "Next CS CS Origin structural angular displ" to be multiplied by the on/off (1 or 0) for the next axis being used or not</t>
  </si>
  <si>
    <t xml:space="preserve">error gains calculated based on 0.001 radians much more accurate than 0.01</t>
  </si>
  <si>
    <t xml:space="preserve">Error Budget Spreadsheet</t>
  </si>
  <si>
    <t xml:space="preserve">Axes' Coordinate Systems and Loads Applied</t>
  </si>
  <si>
    <t xml:space="preserve">Written by Aex Slocum 2015.08.30</t>
  </si>
  <si>
    <t xml:space="preserve">Number of axes used (NOT including reference frame), Naxes</t>
  </si>
  <si>
    <t xml:space="preserve">Note that axes beyond this number are automatically "turned off"</t>
  </si>
  <si>
    <t xml:space="preserve">NOTE axis 1 is the axis (structure) that HOLDS the tool, it doe NOT have to be located at tool point)</t>
  </si>
  <si>
    <t xml:space="preserve">CS 1</t>
  </si>
  <si>
    <t xml:space="preserve">Coordinates of point of interest (POI) in this CS (0,0,0 is at CS center of stiffness)</t>
  </si>
  <si>
    <t xml:space="preserve">Error motions of CS Origin along &amp; about its axes.  Values from Axis_1 worksheet</t>
  </si>
  <si>
    <t xml:space="preserve">X coordinate of point of interest in this CS</t>
  </si>
  <si>
    <t xml:space="preserve">Random Geometric Errors</t>
  </si>
  <si>
    <t xml:space="preserve">Systematic Geometric Errors</t>
  </si>
  <si>
    <t xml:space="preserve">Random Errors at point of interest in current CS</t>
  </si>
  <si>
    <t xml:space="preserve">F=kx=attachment defl+structural defl at POI in current CS</t>
  </si>
  <si>
    <t xml:space="preserve">Y coordinate of point of interest in CS</t>
  </si>
  <si>
    <t xml:space="preserve">Z coordinate of point of interest in CS</t>
  </si>
  <si>
    <t xml:space="preserve">Coordinates of this CS in the next CS</t>
  </si>
  <si>
    <t xml:space="preserve">Rotation about this CS's X axis to align Y axes (degrees)</t>
  </si>
  <si>
    <t xml:space="preserve">EpsilonX</t>
  </si>
  <si>
    <t xml:space="preserve">Enter name below</t>
  </si>
  <si>
    <t xml:space="preserve">Rotation about resulting Y axis to align axes (degrees)</t>
  </si>
  <si>
    <t xml:space="preserve">EpsilonY</t>
  </si>
  <si>
    <t xml:space="preserve">unity</t>
  </si>
  <si>
    <t xml:space="preserve">rotation about resulting Z axis to align axes (degrees)</t>
  </si>
  <si>
    <t xml:space="preserve">where is CS 1's origin in CS 2?</t>
  </si>
  <si>
    <t xml:space="preserve">EpsilonZ</t>
  </si>
  <si>
    <t xml:space="preserve">X translation of this CS's origin along next CS's X axis</t>
  </si>
  <si>
    <t xml:space="preserve">This CS origin F=kx Displacements + structural angular displ from next CS</t>
  </si>
  <si>
    <t xml:space="preserve">Stiffness of this CS origin wrt its axes</t>
  </si>
  <si>
    <t xml:space="preserve">Next CS CS Origin structural angular displ</t>
  </si>
  <si>
    <t xml:space="preserve">Next CS CS Origin structural angular displ in this CS</t>
  </si>
  <si>
    <t xml:space="preserve">Systematic Errors at point of interest in current CS</t>
  </si>
  <si>
    <t xml:space="preserve">F=kx=attachment defl+structural defl at POI in final (ref) CS</t>
  </si>
  <si>
    <t xml:space="preserve">Y translation of aligned CS along next CS's Y axis</t>
  </si>
  <si>
    <t xml:space="preserve">KX</t>
  </si>
  <si>
    <t xml:space="preserve">desk vertical motion carriage/table</t>
  </si>
  <si>
    <t xml:space="preserve">Z translation of aligned CS along next CS's Z axis</t>
  </si>
  <si>
    <t xml:space="preserve">KY</t>
  </si>
  <si>
    <t xml:space="preserve">Resulting coordintes of point of interest in the next CS</t>
  </si>
  <si>
    <t xml:space="preserve">KZ</t>
  </si>
  <si>
    <t xml:space="preserve">X coordinate of point of interest in next CS</t>
  </si>
  <si>
    <t xml:space="preserve">KrotX</t>
  </si>
  <si>
    <t xml:space="preserve">Unity</t>
  </si>
  <si>
    <t xml:space="preserve">Y coordinate of point of interest in next CS</t>
  </si>
  <si>
    <t xml:space="preserve">KrotY</t>
  </si>
  <si>
    <t xml:space="preserve">Z coordinate of point of interest in next CS</t>
  </si>
  <si>
    <t xml:space="preserve">KrotZ</t>
  </si>
  <si>
    <t xml:space="preserve">Position, error, &amp; error gain of tool tip due to epsx</t>
  </si>
  <si>
    <t xml:space="preserve">Position, error, &amp; error gain of tool tip due to epsY</t>
  </si>
  <si>
    <t xml:space="preserve">Position, error, &amp; error gain of tool tip due to epsZ</t>
  </si>
  <si>
    <t xml:space="preserve">Applied loads at point of interest in this axis' CS</t>
  </si>
  <si>
    <t xml:space="preserve">This CS POI F=kx structural displacements</t>
  </si>
  <si>
    <t xml:space="preserve">POI displacements = Structure compliance matrix * Force &amp; Moment at POI</t>
  </si>
  <si>
    <t xml:space="preserve">POI's F's &amp; M's</t>
  </si>
  <si>
    <t xml:space="preserve">Error gain matrix: rotational errors' effects (at this CS origin) on point of interest</t>
  </si>
  <si>
    <t xml:space="preserve">HTM for epsX =</t>
  </si>
  <si>
    <t xml:space="preserve">HTM for epsY = 0.001</t>
  </si>
  <si>
    <t xml:space="preserve">HTM for epsZ = </t>
  </si>
  <si>
    <t xml:space="preserve">error</t>
  </si>
  <si>
    <t xml:space="preserve">error gain</t>
  </si>
  <si>
    <t xml:space="preserve">Fx=</t>
  </si>
  <si>
    <t xml:space="preserve">epsx's gains</t>
  </si>
  <si>
    <t xml:space="preserve">epsy's gains</t>
  </si>
  <si>
    <t xml:space="preserve">epsz's gains</t>
  </si>
  <si>
    <t xml:space="preserve">X in CS_N-1</t>
  </si>
  <si>
    <t xml:space="preserve">x</t>
  </si>
  <si>
    <t xml:space="preserve">Fy=</t>
  </si>
  <si>
    <t xml:space="preserve">Y in CS_N-1</t>
  </si>
  <si>
    <t xml:space="preserve">y</t>
  </si>
  <si>
    <t xml:space="preserve">Fz=</t>
  </si>
  <si>
    <t xml:space="preserve">Z in CS_N-1</t>
  </si>
  <si>
    <t xml:space="preserve">z</t>
  </si>
  <si>
    <t xml:space="preserve">Mx=</t>
  </si>
  <si>
    <t xml:space="preserve">HTM Rotation matrix to align this CS with the next CS</t>
  </si>
  <si>
    <t xml:space="preserve">HTM Rotation matrix to align this CS with final (ref) CS</t>
  </si>
  <si>
    <t xml:space="preserve">HTM for ThetaX user specified orientation</t>
  </si>
  <si>
    <t xml:space="preserve">HTM for ThetaY user specified orientation</t>
  </si>
  <si>
    <t xml:space="preserve">HTM for ThetaZ user specified orientation</t>
  </si>
  <si>
    <t xml:space="preserve">My=</t>
  </si>
  <si>
    <t xml:space="preserve">X in CS_N</t>
  </si>
  <si>
    <t xml:space="preserve">Mz=</t>
  </si>
  <si>
    <t xml:space="preserve">Y in CS_N</t>
  </si>
  <si>
    <t xml:space="preserve">Z in CS_N</t>
  </si>
  <si>
    <t xml:space="preserve">Applied loads at Center of Stiffness in this axis' CS</t>
  </si>
  <si>
    <t xml:space="preserve">Resulting loads at this CS Center of Stiffness </t>
  </si>
  <si>
    <t xml:space="preserve">CS 2</t>
  </si>
  <si>
    <t xml:space="preserve">Coordinates of previous axis CS origin becomes the point of interest (POI) in present CS</t>
  </si>
  <si>
    <t xml:space="preserve">Error motions of CS Origin along &amp; about its axes.  Values from Axis_2 worksheet</t>
  </si>
  <si>
    <t xml:space="preserve">vertical column</t>
  </si>
  <si>
    <t xml:space="preserve">Loads from previous axes applied at previous axis CS origin but in present CS orientation</t>
  </si>
  <si>
    <t xml:space="preserve">Applied loads loads at Center of Stiffness in this axis' CS</t>
  </si>
  <si>
    <t xml:space="preserve">CS 3</t>
  </si>
  <si>
    <t xml:space="preserve">Error motions of CS Origin along &amp; about its axes.  Values from Axis_3 worksheet</t>
  </si>
  <si>
    <t xml:space="preserve">Crossbeam</t>
  </si>
  <si>
    <t xml:space="preserve">CS 4</t>
  </si>
  <si>
    <t xml:space="preserve">Error motions of CS Origin along &amp; about its axes.  Values from Axis_4 worksheet</t>
  </si>
  <si>
    <t xml:space="preserve">Outboard legs</t>
  </si>
  <si>
    <t xml:space="preserve">CS 5</t>
  </si>
  <si>
    <t xml:space="preserve">Error motions of CS Origin along &amp; about its axes.  Values from Axis_5 worksheet</t>
  </si>
  <si>
    <t xml:space="preserve">Bridge</t>
  </si>
  <si>
    <t xml:space="preserve">CS 6</t>
  </si>
  <si>
    <t xml:space="preserve">Error motions of CS Origin along &amp; about its axes.  Values from Axis_6 worksheet</t>
  </si>
  <si>
    <t xml:space="preserve">X-axis</t>
  </si>
  <si>
    <t xml:space="preserve">CS 7</t>
  </si>
  <si>
    <t xml:space="preserve">Error motions of CS Origin along &amp; about its axes.  Values from Axis_7 worksheet</t>
  </si>
  <si>
    <t xml:space="preserve">Bed &amp; Frame</t>
  </si>
  <si>
    <t xml:space="preserve">CS 8</t>
  </si>
  <si>
    <t xml:space="preserve">Error motions of CS Origin along &amp; about its axes.  Values from Axis_8 worksheet</t>
  </si>
  <si>
    <t xml:space="preserve">Thing 8</t>
  </si>
  <si>
    <t xml:space="preserve">CS 9</t>
  </si>
  <si>
    <t xml:space="preserve">Error motions of CS Origin along &amp; about its axes.  Values from Axis_9 worksheet</t>
  </si>
  <si>
    <t xml:space="preserve">Thing 9</t>
  </si>
  <si>
    <t xml:space="preserve">CS 10</t>
  </si>
  <si>
    <t xml:space="preserve">Error motions of CS Origin along &amp; about its axes.  Values from Axis_10 worksheet</t>
  </si>
  <si>
    <t xml:space="preserve">This CS origin F=kx Displacements</t>
  </si>
  <si>
    <t xml:space="preserve">Thing 10</t>
  </si>
  <si>
    <t xml:space="preserve">Because Xcell is lame and does not have an identity matrix… :-), we define it here</t>
  </si>
  <si>
    <t xml:space="preserve">Geometric errors at CS origin and location and stiffness of points (or bearings) of attachment between coordinate systems</t>
  </si>
  <si>
    <t xml:space="preserve">Error motions of CS Origin along &amp; about its axes.  Values read used by "Coordinate Systems" worksheet</t>
  </si>
  <si>
    <t xml:space="preserve">CAREFUL as this compliance matrix is referenced in the worksheet "CSs and Loads"</t>
  </si>
  <si>
    <t xml:space="preserve">Element</t>
  </si>
  <si>
    <t xml:space="preserve">carriage+table</t>
  </si>
  <si>
    <t xml:space="preserve">Bearings (if values needed for this CS)</t>
  </si>
  <si>
    <t xml:space="preserve">Tool in toolholder (cantilever beam):  X lateral, Y transverse, Z axial</t>
  </si>
  <si>
    <t xml:space="preserve">Structure type</t>
  </si>
  <si>
    <t xml:space="preserve">cantilever</t>
  </si>
  <si>
    <t xml:space="preserve">Size (e.g., rail width)</t>
  </si>
  <si>
    <t xml:space="preserve">dx</t>
  </si>
  <si>
    <t xml:space="preserve">_ = _</t>
  </si>
  <si>
    <t xml:space="preserve">Fx</t>
  </si>
  <si>
    <t xml:space="preserve">Material</t>
  </si>
  <si>
    <t xml:space="preserve">plywood laminate</t>
  </si>
  <si>
    <t xml:space="preserve">Fmax (N)</t>
  </si>
  <si>
    <t xml:space="preserve">dy</t>
  </si>
  <si>
    <t xml:space="preserve">Fy</t>
  </si>
  <si>
    <t xml:space="preserve">Young's Modulus (N/mm^2)</t>
  </si>
  <si>
    <t xml:space="preserve">k @ medium preload (N/mm)</t>
  </si>
  <si>
    <t xml:space="preserve">dz</t>
  </si>
  <si>
    <t xml:space="preserve">Fz</t>
  </si>
  <si>
    <t xml:space="preserve">Poison ratio</t>
  </si>
  <si>
    <t xml:space="preserve">ball diameter (mm)</t>
  </si>
  <si>
    <t xml:space="preserve">thetaX</t>
  </si>
  <si>
    <t xml:space="preserve">Mx</t>
  </si>
  <si>
    <t xml:space="preserve">Shear modulus (N/mm^2)</t>
  </si>
  <si>
    <t xml:space="preserve">% deflection max load</t>
  </si>
  <si>
    <t xml:space="preserve">thetaY</t>
  </si>
  <si>
    <t xml:space="preserve">My</t>
  </si>
  <si>
    <t xml:space="preserve">Beam properties (solid rectangular beam)</t>
  </si>
  <si>
    <t xml:space="preserve">stiffness est (N/mm)</t>
  </si>
  <si>
    <t xml:space="preserve">thetaZ</t>
  </si>
  <si>
    <t xml:space="preserve">Mz</t>
  </si>
  <si>
    <t xml:space="preserve">Position along beam</t>
  </si>
  <si>
    <t xml:space="preserve">rail width (mm)</t>
  </si>
  <si>
    <t xml:space="preserve">Length (mm)</t>
  </si>
  <si>
    <t xml:space="preserve">roll rotary stiffness (Nmm/radian)</t>
  </si>
  <si>
    <t xml:space="preserve">Height (mm), or OD</t>
  </si>
  <si>
    <t xml:space="preserve">pitch rotary stiffness (Nmm/radian)</t>
  </si>
  <si>
    <t xml:space="preserve">Width (mm), ID or fraction of solid cylinder</t>
  </si>
  <si>
    <t xml:space="preserve">yaw rotary stiffness (Nmm/radian)</t>
  </si>
  <si>
    <t xml:space="preserve">face thickness (mm)</t>
  </si>
  <si>
    <t xml:space="preserve">servo system (if values needed for this CS)</t>
  </si>
  <si>
    <t xml:space="preserve">Area (mm^2)</t>
  </si>
  <si>
    <t xml:space="preserve">Ballscrew</t>
  </si>
  <si>
    <t xml:space="preserve">I width dimension of beam // nuetral axis (mm^4)</t>
  </si>
  <si>
    <t xml:space="preserve">Root diameter (mm)</t>
  </si>
  <si>
    <t xml:space="preserve">I height dimension of beam // nuetral axis (mm^4)</t>
  </si>
  <si>
    <t xml:space="preserve">Ipolar (mm^4)</t>
  </si>
  <si>
    <t xml:space="preserve">Modulus</t>
  </si>
  <si>
    <t xml:space="preserve">I/A stiffness to weight ratio</t>
  </si>
  <si>
    <t xml:space="preserve">shaft stiffness</t>
  </si>
  <si>
    <t xml:space="preserve">ref, simply supported stiffness about Izz (N/mm)</t>
  </si>
  <si>
    <t xml:space="preserve">-</t>
  </si>
  <si>
    <t xml:space="preserve">factor to derate stiffness of shaft for nut, mounting etc</t>
  </si>
  <si>
    <t xml:space="preserve">Notes: Y axis is + into the page so a + X direction force causes a - rotation about Y axis.  Cells not used are colored blue</t>
  </si>
  <si>
    <t xml:space="preserve">Net stiffness of CS origin (POA@Center of Stiffness) due to attachment points</t>
  </si>
  <si>
    <t xml:space="preserve">Servo stiffness (if applicable, else make sure to enter "0"</t>
  </si>
  <si>
    <t xml:space="preserve">Linear stiffness</t>
  </si>
  <si>
    <t xml:space="preserve">Application note:  IF using a purchased linear table with mfg specs for stuffness and accuracy, just enter "1" for number of attach points and then the stiffness and error motion data from the catalog for that "point" (the entire table)</t>
  </si>
  <si>
    <t xml:space="preserve">CRITICAL: Enter Total number of bearing or attachment points (up to 12) AND zero out numbers in fields for points not used!</t>
  </si>
  <si>
    <t xml:space="preserve">Rotation stiffness</t>
  </si>
  <si>
    <t xml:space="preserve">Number of attach points =</t>
  </si>
  <si>
    <t xml:space="preserve">Attachment points between current CS origin and next CS: usually in a plane</t>
  </si>
  <si>
    <t xml:space="preserve">location in axis CS</t>
  </si>
  <si>
    <t xml:space="preserve">X</t>
  </si>
  <si>
    <t xml:space="preserve">slider width</t>
  </si>
  <si>
    <t xml:space="preserve">Application note:  IF using a purchased axis with mfg specs for stiffness and accuracy, just enter "1" for number of attach points and then the stiffness and error motion data from the catalog for that "point" (the entire table)</t>
  </si>
  <si>
    <t xml:space="preserve">Y</t>
  </si>
  <si>
    <t xml:space="preserve">slider thickness</t>
  </si>
  <si>
    <t xml:space="preserve">Z</t>
  </si>
  <si>
    <t xml:space="preserve">contact points</t>
  </si>
  <si>
    <t xml:space="preserve">spaced 0.75 of width/thickness apart</t>
  </si>
  <si>
    <t xml:space="preserve">Linear stiffness at the point</t>
  </si>
  <si>
    <t xml:space="preserve">Additional angular error motions (in event of using a modular axis)</t>
  </si>
  <si>
    <t xml:space="preserve">servo</t>
  </si>
  <si>
    <t xml:space="preserve">EpsilonX (radians)</t>
  </si>
  <si>
    <t xml:space="preserve">EpsilonY (radians)</t>
  </si>
  <si>
    <t xml:space="preserve">Rotation stiffness at the point</t>
  </si>
  <si>
    <t xml:space="preserve">EpsilonZ (radians)</t>
  </si>
  <si>
    <t xml:space="preserve">Effective contribution of linear stiffness to rotation stiffness about center of stiffness</t>
  </si>
  <si>
    <t xml:space="preserve">Net Random RMS error motions of points connecting adjacent CS</t>
  </si>
  <si>
    <t xml:space="preserve">DeltaX</t>
  </si>
  <si>
    <t xml:space="preserve">DeltaY</t>
  </si>
  <si>
    <t xml:space="preserve">Random Translational (e.g., running parallelism) error motions of attachment points, NO ZEROS FOR POINTS IN USE, INCLUDING ALONG SERVO AXIS, AT A MINIMUM MAKE SERVO DIRECTION = RUNNING PARALLISM</t>
  </si>
  <si>
    <t xml:space="preserve">DeltaZ</t>
  </si>
  <si>
    <t xml:space="preserve">Resulting Random Angular error motions about center of stiffness</t>
  </si>
  <si>
    <t xml:space="preserve">Net Systematic RMS (to account for elastic averaging) error motions of points connecting adjacent CS</t>
  </si>
  <si>
    <t xml:space="preserve">Systematic Translational Error motions of attachment points (e.g., machining tolerance), ENTER ALL ZEROS OR ALL VALUES FOR A POINT SHOULD BE THE SAME</t>
  </si>
  <si>
    <t xml:space="preserve">Resulting Systematic Angular error motions about center of stiffness (each point's angular errors are RSS'd for puspose of assumed spring equilibrium)</t>
  </si>
  <si>
    <t xml:space="preserve">Structural compliance matrix (obtain values from user worksheet such as "bearings,sero, structure") ELSE ENTER ZEROS</t>
  </si>
  <si>
    <t xml:space="preserve">deflection of axis 1 tip</t>
  </si>
  <si>
    <t xml:space="preserve">Rotation calculations for random errors from attachment points: logic enables user to just enter coordinates of bearing blocks and running parallelism errors</t>
  </si>
  <si>
    <t xml:space="preserve">rndm EpsilonX</t>
  </si>
  <si>
    <t xml:space="preserve">rotation condition</t>
  </si>
  <si>
    <t xml:space="preserve">result</t>
  </si>
  <si>
    <t xml:space="preserve">rndm EpsilonY</t>
  </si>
  <si>
    <t xml:space="preserve">rndm EpsilonZ</t>
  </si>
  <si>
    <t xml:space="preserve">Rotation calculations for systematic errors from attachment points: logic enables user to just enter coordinates of of mounting points and mounting point errors</t>
  </si>
  <si>
    <t xml:space="preserve">sys EpsilonX</t>
  </si>
  <si>
    <t xml:space="preserve">sign</t>
  </si>
  <si>
    <t xml:space="preserve">sys EpsilonY</t>
  </si>
  <si>
    <t xml:space="preserve">sys EpsilonZ</t>
  </si>
  <si>
    <t xml:space="preserve">Spindle Shaft Cantilever Beam: X lateral, Y transverse, Z axial position is CS_2 location in CS_3</t>
  </si>
  <si>
    <t xml:space="preserve">Size (e.g., rail width, race diameter)</t>
  </si>
  <si>
    <t xml:space="preserve">plywood</t>
  </si>
  <si>
    <t xml:space="preserve">Beam properties (rectangular tube, or round, else customize)</t>
  </si>
  <si>
    <t xml:space="preserve">wall (mm)</t>
  </si>
  <si>
    <t xml:space="preserve">Accounting for compliance in the nut and constraint bearings</t>
  </si>
  <si>
    <t xml:space="preserve">Notes: Y axis is + into the page so a + X direction force causes a - rotation about Y axis.  CS origin is at center of spindle shaft, but to calculate compliance assume full shaft length and POI is at right support</t>
  </si>
  <si>
    <t xml:space="preserve">servo axis</t>
  </si>
  <si>
    <t xml:space="preserve">total rotational stiffness of carriage is sum of roll stiffness of bearing pads and the translational stiffness of pads acting half of the width away from the center of stiffness</t>
  </si>
  <si>
    <t xml:space="preserve">i.e slop or wiggle</t>
  </si>
  <si>
    <t xml:space="preserve">Technically double counting, but good conservative estimate</t>
  </si>
  <si>
    <t xml:space="preserve">crossbeam</t>
  </si>
  <si>
    <t xml:space="preserve">Z axis Cantilever Beam:  X lateral, Y transverse, Z axial position is spindle CS location in Z axis</t>
  </si>
  <si>
    <t xml:space="preserve">simply supported beam</t>
  </si>
  <si>
    <t xml:space="preserve">solid timber</t>
  </si>
  <si>
    <t xml:space="preserve">Beam properties (solid rectangular prism)</t>
  </si>
  <si>
    <t xml:space="preserve">Height (X direction) (mm)</t>
  </si>
  <si>
    <t xml:space="preserve">Width (Y direction) (mm)</t>
  </si>
  <si>
    <t xml:space="preserve">s</t>
  </si>
  <si>
    <t xml:space="preserve">Z axis</t>
  </si>
  <si>
    <t xml:space="preserve">simply supported stiffness about Izz (N/mm)</t>
  </si>
  <si>
    <t xml:space="preserve">Notes: Y axis is + into the page so a + X direction force causes a - rotation about Y axis.</t>
  </si>
  <si>
    <t xml:space="preserve">Y axis</t>
  </si>
  <si>
    <t xml:space="preserve">Chunky block</t>
  </si>
  <si>
    <t xml:space="preserve">chuncky block</t>
  </si>
  <si>
    <t xml:space="preserve">Height (mm) (or diameter)</t>
  </si>
  <si>
    <t xml:space="preserve">Width (mm), or fraction of solid cylinder</t>
  </si>
  <si>
    <t xml:space="preserve">Notes: Chunky slab, and bearing blocks essentially mounted back to back so assume structure has zero compliance</t>
  </si>
  <si>
    <t xml:space="preserve">Bridge Beam Simply supported Beam: X lateral, Y axial, Z transverse</t>
  </si>
  <si>
    <t xml:space="preserve">simple supported</t>
  </si>
  <si>
    <t xml:space="preserve">aluminum</t>
  </si>
  <si>
    <t xml:space="preserve">Height (Z direction) (mm) (or diameter)</t>
  </si>
  <si>
    <t xml:space="preserve">Width (X direction) (mm), or fraction of solid cylinder</t>
  </si>
  <si>
    <t xml:space="preserve">Notes: Careful of the sign on the compliances wrt coordinate systems!</t>
  </si>
  <si>
    <t xml:space="preserve">Assume bolted joint</t>
  </si>
  <si>
    <t xml:space="preserve">Risers</t>
  </si>
  <si>
    <t xml:space="preserve">Risers Cantilever Beam: X lateral, Y  transverse, Z axial</t>
  </si>
  <si>
    <t xml:space="preserve">Height (x direction) (mm) (or diameter)</t>
  </si>
  <si>
    <t xml:space="preserve">Width (Y direction) (mm), or fraction of solid cylinder</t>
  </si>
  <si>
    <t xml:space="preserve">X axis</t>
  </si>
  <si>
    <t xml:space="preserve">Notes:</t>
  </si>
  <si>
    <t xml:space="preserve">Table/frame</t>
  </si>
  <si>
    <t xml:space="preserve">Table/frame Simply supported Beam: X axial, Y lateral, Z transverse</t>
  </si>
  <si>
    <t xml:space="preserve">Notes:  Assume the bed is actually made from two sheets of plywood or aluminum bonded together with honeycomb (or foam) core.  For Ixx since most compliant near ends, assume 10xHeight</t>
  </si>
  <si>
    <t xml:space="preserve">Default is zero compliance</t>
  </si>
  <si>
    <t xml:space="preserve">Generic for random calculations</t>
  </si>
  <si>
    <t xml:space="preserve">Bearings</t>
  </si>
  <si>
    <t xml:space="preserve">Gothic Arch</t>
  </si>
  <si>
    <t xml:space="preserve">roll rotary stiffness estimate (Nmm/radian)</t>
  </si>
  <si>
    <t xml:space="preserve">servo system</t>
  </si>
  <si>
    <t xml:space="preserve">Coordinate System</t>
  </si>
  <si>
    <t xml:space="preserve">steel tool</t>
  </si>
  <si>
    <t xml:space="preserve">I width dimension of beam (mm^4)</t>
  </si>
  <si>
    <t xml:space="preserve">I height dimension of beam (mm^4)</t>
  </si>
  <si>
    <t xml:space="preserve">square or round</t>
  </si>
  <si>
    <t xml:space="preserve">Round</t>
  </si>
  <si>
    <t xml:space="preserve">units</t>
  </si>
  <si>
    <t xml:space="preserve">name</t>
  </si>
  <si>
    <t xml:space="preserve">value</t>
  </si>
  <si>
    <t xml:space="preserve">OD</t>
  </si>
  <si>
    <t xml:space="preserve">mm</t>
  </si>
  <si>
    <t xml:space="preserve">R_OD</t>
  </si>
  <si>
    <t xml:space="preserve">wall</t>
  </si>
  <si>
    <t xml:space="preserve">R_wall</t>
  </si>
  <si>
    <t xml:space="preserve">Area</t>
  </si>
  <si>
    <t xml:space="preserve">mm^2</t>
  </si>
  <si>
    <t xml:space="preserve">R_Area</t>
  </si>
  <si>
    <t xml:space="preserve">I</t>
  </si>
  <si>
    <t xml:space="preserve">mm^4</t>
  </si>
  <si>
    <t xml:space="preserve">R_I</t>
  </si>
  <si>
    <t xml:space="preserve">Ipolar</t>
  </si>
  <si>
    <t xml:space="preserve">R_Ip</t>
  </si>
  <si>
    <t xml:space="preserve">Square</t>
  </si>
  <si>
    <t xml:space="preserve">S_OD</t>
  </si>
  <si>
    <t xml:space="preserve">S_wall</t>
  </si>
  <si>
    <t xml:space="preserve">S_Area</t>
  </si>
  <si>
    <t xml:space="preserve">Iyy</t>
  </si>
  <si>
    <t xml:space="preserve">S_I</t>
  </si>
  <si>
    <t xml:space="preserve">S_IP</t>
  </si>
  <si>
    <t xml:space="preserve">Linear guide rail size</t>
  </si>
  <si>
    <t xml:space="preserve">lgrs</t>
  </si>
  <si>
    <t xml:space="preserve">estimated distance between carriage center stiffnesses</t>
  </si>
  <si>
    <t xml:space="preserve">square tube mount</t>
  </si>
  <si>
    <t xml:space="preserve">lgst</t>
  </si>
  <si>
    <t xml:space="preserve">round tube mount</t>
  </si>
  <si>
    <t xml:space="preserve">lgrt</t>
  </si>
  <si>
    <t xml:space="preserve">Comparison</t>
  </si>
  <si>
    <t xml:space="preserve">Area round / area square</t>
  </si>
  <si>
    <t xml:space="preserve">Iyy round / Iyy square</t>
  </si>
  <si>
    <t xml:space="preserve">I polar round/square</t>
  </si>
  <si>
    <t xml:space="preserve">bearing socaing round / bearing spacing square</t>
  </si>
  <si>
    <t xml:space="preserve">X axis structure</t>
  </si>
  <si>
    <t xml:space="preserve">MPa</t>
  </si>
  <si>
    <t xml:space="preserve">total length</t>
  </si>
  <si>
    <t xml:space="preserve">x axis position</t>
  </si>
  <si>
    <t xml:space="preserve">offset of X zero from end</t>
  </si>
  <si>
    <t xml:space="preserve">position ("a) of CS from end</t>
  </si>
  <si>
    <t xml:space="preserve">torsional stiffness</t>
  </si>
  <si>
    <t xml:space="preserve">N-mm/rad</t>
  </si>
  <si>
    <t xml:space="preserve">X stiffness</t>
  </si>
  <si>
    <t xml:space="preserve">N/mm</t>
  </si>
  <si>
    <t xml:space="preserve">axial</t>
  </si>
  <si>
    <t xml:space="preserve">Y stiffness</t>
  </si>
  <si>
    <t xml:space="preserve">simply supported</t>
  </si>
  <si>
    <t xml:space="preserve">Z stiffness</t>
  </si>
  <si>
    <t xml:space="preserve">angular stiffness</t>
  </si>
  <si>
    <t xml:space="preserve">ballscrew</t>
  </si>
  <si>
    <t xml:space="preserve">diameter (mm)</t>
  </si>
  <si>
    <t xml:space="preserve">young's modulus</t>
  </si>
  <si>
    <t xml:space="preserve">length (mm)</t>
  </si>
  <si>
    <t xml:space="preserve">Kaxial</t>
  </si>
  <si>
    <t xml:space="preserve">Axis 1, Cantilevered Round tube</t>
  </si>
  <si>
    <t xml:space="preserve">OD (mm)</t>
  </si>
  <si>
    <t xml:space="preserve">Wall (mm)</t>
  </si>
  <si>
    <t xml:space="preserve">Iyy (mm^4)</t>
  </si>
  <si>
    <t xml:space="preserve">Modulus (N/mm^2)</t>
  </si>
  <si>
    <t xml:space="preserve">Rotational spring stiffness model</t>
  </si>
  <si>
    <t xml:space="preserve">Krot_x</t>
  </si>
  <si>
    <t xml:space="preserve">Krot_y</t>
  </si>
  <si>
    <t xml:space="preserve">Krot_z</t>
  </si>
  <si>
    <t xml:space="preserve">Compliance (used so easy to add in series)</t>
  </si>
  <si>
    <t xml:space="preserve">Crot_x</t>
  </si>
  <si>
    <t xml:space="preserve">Crot_y</t>
  </si>
  <si>
    <t xml:space="preserve">Crot_z</t>
  </si>
</sst>
</file>

<file path=xl/styles.xml><?xml version="1.0" encoding="utf-8"?>
<styleSheet xmlns="http://schemas.openxmlformats.org/spreadsheetml/2006/main">
  <numFmts count="13">
    <numFmt numFmtId="164" formatCode="General"/>
    <numFmt numFmtId="165" formatCode="0"/>
    <numFmt numFmtId="166" formatCode="0.000000"/>
    <numFmt numFmtId="167" formatCode="0.000"/>
    <numFmt numFmtId="168" formatCode="0.00E+00"/>
    <numFmt numFmtId="169" formatCode="_(* #,##0.00_);_(* \(#,##0.00\);_(* \-??_);_(@_)"/>
    <numFmt numFmtId="170" formatCode="_(* #,##0_);_(* \(#,##0\);_(* \-??_);_(@_)"/>
    <numFmt numFmtId="171" formatCode="0.0"/>
    <numFmt numFmtId="172" formatCode="0.00000"/>
    <numFmt numFmtId="173" formatCode="0.00E+00;\"/>
    <numFmt numFmtId="174" formatCode="0%"/>
    <numFmt numFmtId="175" formatCode="0.E+00"/>
    <numFmt numFmtId="176" formatCode="0.00"/>
  </numFmts>
  <fonts count="19">
    <font>
      <sz val="12"/>
      <color rgb="FF000000"/>
      <name val="Calibri"/>
      <family val="2"/>
      <charset val="1"/>
    </font>
    <font>
      <sz val="10"/>
      <name val="Arial"/>
      <family val="0"/>
    </font>
    <font>
      <sz val="10"/>
      <name val="Arial"/>
      <family val="0"/>
    </font>
    <font>
      <sz val="10"/>
      <name val="Arial"/>
      <family val="0"/>
    </font>
    <font>
      <b val="true"/>
      <sz val="12"/>
      <color rgb="FF000000"/>
      <name val="Calibri"/>
      <family val="2"/>
      <charset val="1"/>
    </font>
    <font>
      <b val="true"/>
      <sz val="12"/>
      <name val="Calibri"/>
      <family val="2"/>
      <charset val="1"/>
    </font>
    <font>
      <b val="true"/>
      <i val="true"/>
      <sz val="12"/>
      <color rgb="FF000000"/>
      <name val="Calibri"/>
      <family val="2"/>
      <charset val="1"/>
    </font>
    <font>
      <b val="true"/>
      <sz val="12"/>
      <color rgb="FFFF0000"/>
      <name val="Calibri"/>
      <family val="2"/>
      <charset val="1"/>
    </font>
    <font>
      <b val="true"/>
      <sz val="22"/>
      <color rgb="FF000000"/>
      <name val="Calibri"/>
      <family val="2"/>
      <charset val="1"/>
    </font>
    <font>
      <sz val="12"/>
      <name val="Calibri"/>
      <family val="2"/>
      <charset val="1"/>
    </font>
    <font>
      <b val="true"/>
      <sz val="20"/>
      <color rgb="FF000000"/>
      <name val="Calibri"/>
      <family val="2"/>
      <charset val="1"/>
    </font>
    <font>
      <b val="true"/>
      <sz val="18"/>
      <color rgb="FF0000FF"/>
      <name val="Calibri"/>
      <family val="2"/>
      <charset val="1"/>
    </font>
    <font>
      <b val="true"/>
      <i val="true"/>
      <sz val="12"/>
      <color rgb="FFFF0000"/>
      <name val="Calibri"/>
      <family val="2"/>
      <charset val="1"/>
    </font>
    <font>
      <b val="true"/>
      <sz val="16"/>
      <color rgb="FF0000FF"/>
      <name val="Calibri"/>
      <family val="2"/>
      <charset val="1"/>
    </font>
    <font>
      <b val="true"/>
      <sz val="20"/>
      <name val="Calibri"/>
      <family val="2"/>
      <charset val="1"/>
    </font>
    <font>
      <b val="true"/>
      <sz val="9"/>
      <color rgb="FF000000"/>
      <name val="Calibri"/>
      <family val="2"/>
      <charset val="1"/>
    </font>
    <font>
      <sz val="9"/>
      <color rgb="FF000000"/>
      <name val="Calibri"/>
      <family val="2"/>
      <charset val="1"/>
    </font>
    <font>
      <b val="true"/>
      <sz val="11"/>
      <name val="Calibri"/>
      <family val="2"/>
      <charset val="1"/>
    </font>
    <font>
      <sz val="12"/>
      <color rgb="FFFF0000"/>
      <name val="Calibri"/>
      <family val="2"/>
      <charset val="1"/>
    </font>
  </fonts>
  <fills count="12">
    <fill>
      <patternFill patternType="none"/>
    </fill>
    <fill>
      <patternFill patternType="gray125"/>
    </fill>
    <fill>
      <patternFill patternType="solid">
        <fgColor rgb="FFFFFF00"/>
        <bgColor rgb="FFFFFF00"/>
      </patternFill>
    </fill>
    <fill>
      <patternFill patternType="solid">
        <fgColor rgb="FFCCFFCC"/>
        <bgColor rgb="FFCCFFFF"/>
      </patternFill>
    </fill>
    <fill>
      <patternFill patternType="solid">
        <fgColor rgb="FFFF6600"/>
        <bgColor rgb="FFFF9900"/>
      </patternFill>
    </fill>
    <fill>
      <patternFill patternType="solid">
        <fgColor rgb="FFFF7FE4"/>
        <bgColor rgb="FFFF8080"/>
      </patternFill>
    </fill>
    <fill>
      <patternFill patternType="solid">
        <fgColor rgb="FFF2DCDB"/>
        <bgColor rgb="FFDDD9C3"/>
      </patternFill>
    </fill>
    <fill>
      <patternFill patternType="solid">
        <fgColor rgb="FF93CDDD"/>
        <bgColor rgb="FF8EB4E3"/>
      </patternFill>
    </fill>
    <fill>
      <patternFill patternType="solid">
        <fgColor rgb="FFDDD9C3"/>
        <bgColor rgb="FFF2DCDB"/>
      </patternFill>
    </fill>
    <fill>
      <patternFill patternType="solid">
        <fgColor rgb="FFFF00FF"/>
        <bgColor rgb="FFFF00FF"/>
      </patternFill>
    </fill>
    <fill>
      <patternFill patternType="solid">
        <fgColor rgb="FF8EB4E3"/>
        <bgColor rgb="FF93CDDD"/>
      </patternFill>
    </fill>
    <fill>
      <patternFill patternType="solid">
        <fgColor rgb="FFDBEEF4"/>
        <bgColor rgb="FFCCFFFF"/>
      </patternFill>
    </fill>
  </fills>
  <borders count="29">
    <border diagonalUp="false" diagonalDown="false">
      <left/>
      <right/>
      <top/>
      <bottom/>
      <diagonal/>
    </border>
    <border diagonalUp="false" diagonalDown="false">
      <left style="medium"/>
      <right/>
      <top style="medium"/>
      <bottom style="medium"/>
      <diagonal/>
    </border>
    <border diagonalUp="false" diagonalDown="false">
      <left style="thin"/>
      <right style="thin"/>
      <top style="thin"/>
      <bottom style="thin"/>
      <diagonal/>
    </border>
    <border diagonalUp="false" diagonalDown="false">
      <left/>
      <right/>
      <top/>
      <bottom style="medium"/>
      <diagonal/>
    </border>
    <border diagonalUp="false" diagonalDown="false">
      <left style="thin"/>
      <right/>
      <top/>
      <bottom/>
      <diagonal/>
    </border>
    <border diagonalUp="false" diagonalDown="false">
      <left/>
      <right style="thin"/>
      <top/>
      <bottom/>
      <diagonal/>
    </border>
    <border diagonalUp="false" diagonalDown="false">
      <left style="thin"/>
      <right/>
      <top style="thin"/>
      <bottom style="thin"/>
      <diagonal/>
    </border>
    <border diagonalUp="false" diagonalDown="false">
      <left style="thin"/>
      <right style="thin"/>
      <top style="thin"/>
      <bottom/>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top/>
      <bottom style="thin"/>
      <diagonal/>
    </border>
    <border diagonalUp="false" diagonalDown="false">
      <left/>
      <right/>
      <top/>
      <bottom style="thin"/>
      <diagonal/>
    </border>
    <border diagonalUp="false" diagonalDown="false">
      <left/>
      <right style="thin"/>
      <top/>
      <bottom style="thin"/>
      <diagonal/>
    </border>
    <border diagonalUp="false" diagonalDown="false">
      <left style="medium"/>
      <right style="medium"/>
      <top style="medium"/>
      <bottom style="thin"/>
      <diagonal/>
    </border>
    <border diagonalUp="false" diagonalDown="false">
      <left/>
      <right style="thin"/>
      <top style="thin"/>
      <bottom style="thin"/>
      <diagonal/>
    </border>
    <border diagonalUp="false" diagonalDown="false">
      <left style="medium"/>
      <right style="medium"/>
      <top style="thin"/>
      <bottom style="thin"/>
      <diagonal/>
    </border>
    <border diagonalUp="false" diagonalDown="false">
      <left style="medium"/>
      <right style="thin"/>
      <top style="thin"/>
      <bottom style="thin"/>
      <diagonal/>
    </border>
    <border diagonalUp="false" diagonalDown="false">
      <left style="thin"/>
      <right style="thin"/>
      <top style="thin"/>
      <bottom style="medium"/>
      <diagonal/>
    </border>
    <border diagonalUp="false" diagonalDown="false">
      <left style="thin"/>
      <right style="medium"/>
      <top style="thin"/>
      <bottom style="thin"/>
      <diagonal/>
    </border>
    <border diagonalUp="false" diagonalDown="false">
      <left style="medium"/>
      <right style="thin"/>
      <top style="thin"/>
      <bottom style="medium"/>
      <diagonal/>
    </border>
    <border diagonalUp="false" diagonalDown="false">
      <left style="thin"/>
      <right style="medium"/>
      <top style="thin"/>
      <bottom style="medium"/>
      <diagonal/>
    </border>
    <border diagonalUp="false" diagonalDown="false">
      <left style="thin"/>
      <right style="thin"/>
      <top/>
      <bottom style="thin"/>
      <diagonal/>
    </border>
    <border diagonalUp="false" diagonalDown="false">
      <left style="medium"/>
      <right style="medium"/>
      <top style="medium"/>
      <bottom style="medium"/>
      <diagonal/>
    </border>
    <border diagonalUp="false" diagonalDown="false">
      <left/>
      <right/>
      <top style="thin"/>
      <bottom style="thin"/>
      <diagonal/>
    </border>
    <border diagonalUp="false" diagonalDown="false">
      <left style="thin"/>
      <right style="thin"/>
      <top/>
      <bottom/>
      <diagonal/>
    </border>
    <border diagonalUp="false" diagonalDown="false">
      <left style="thin"/>
      <right/>
      <top style="thin"/>
      <bottom style="medium"/>
      <diagonal/>
    </border>
    <border diagonalUp="false" diagonalDown="false">
      <left/>
      <right/>
      <top style="thin"/>
      <bottom style="medium"/>
      <diagonal/>
    </border>
    <border diagonalUp="false" diagonalDown="false">
      <left/>
      <right style="thin"/>
      <top style="thin"/>
      <bottom style="mediu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9"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4" fontId="0" fillId="0" borderId="0" applyFont="true" applyBorder="false" applyAlignment="true" applyProtection="false">
      <alignment horizontal="general" vertical="bottom" textRotation="0" wrapText="false" indent="0" shrinkToFit="false"/>
    </xf>
  </cellStyleXfs>
  <cellXfs count="31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true" applyAlignment="true" applyProtection="false">
      <alignment horizontal="center" vertical="center" textRotation="0" wrapText="tru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right" vertical="bottom" textRotation="0" wrapText="false" indent="0" shrinkToFit="false"/>
      <protection locked="true" hidden="false"/>
    </xf>
    <xf numFmtId="164" fontId="5" fillId="2" borderId="0" xfId="0" applyFont="true" applyBorder="false" applyAlignment="true" applyProtection="false">
      <alignment horizontal="center" vertical="bottom" textRotation="0" wrapText="false" indent="0" shrinkToFit="false"/>
      <protection locked="true" hidden="false"/>
    </xf>
    <xf numFmtId="164" fontId="6" fillId="0" borderId="0"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true" applyAlignment="true" applyProtection="false">
      <alignment horizontal="left" vertical="bottom" textRotation="0" wrapText="false" indent="0" shrinkToFit="false"/>
      <protection locked="true" hidden="false"/>
    </xf>
    <xf numFmtId="164" fontId="4" fillId="2"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7" fillId="3"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7" fillId="0" borderId="0" xfId="0" applyFont="true" applyBorder="false" applyAlignment="true" applyProtection="false">
      <alignment horizontal="center" vertical="bottom" textRotation="0" wrapText="false" indent="0" shrinkToFit="false"/>
      <protection locked="true" hidden="false"/>
    </xf>
    <xf numFmtId="164" fontId="0"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true" applyAlignment="true" applyProtection="false">
      <alignment horizontal="center"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5" fontId="4" fillId="4"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4" fillId="0" borderId="0" xfId="0" applyFont="true" applyBorder="true" applyAlignment="true" applyProtection="false">
      <alignment horizontal="center" vertical="bottom" textRotation="0" wrapText="true" indent="0" shrinkToFit="false"/>
      <protection locked="true" hidden="false"/>
    </xf>
    <xf numFmtId="164" fontId="8" fillId="3" borderId="1" xfId="0" applyFont="true" applyBorder="true" applyAlignment="true" applyProtection="false">
      <alignment horizontal="center" vertical="center" textRotation="90" wrapText="false" indent="0" shrinkToFit="false"/>
      <protection locked="true" hidden="false"/>
    </xf>
    <xf numFmtId="164" fontId="4" fillId="3" borderId="2" xfId="0" applyFont="true" applyBorder="true" applyAlignment="true" applyProtection="false">
      <alignment horizontal="center"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3" borderId="2" xfId="0" applyFont="true" applyBorder="true" applyAlignment="true" applyProtection="false">
      <alignment horizontal="right" vertical="bottom" textRotation="0" wrapText="false" indent="0" shrinkToFit="false"/>
      <protection locked="true" hidden="false"/>
    </xf>
    <xf numFmtId="164" fontId="4" fillId="3" borderId="2" xfId="0" applyFont="true" applyBorder="true" applyAlignment="true" applyProtection="false">
      <alignment horizontal="center" vertical="center" textRotation="0" wrapText="false" indent="0" shrinkToFit="false"/>
      <protection locked="true" hidden="false"/>
    </xf>
    <xf numFmtId="164" fontId="7" fillId="3" borderId="2" xfId="0" applyFont="true" applyBorder="true" applyAlignment="false" applyProtection="false">
      <alignment horizontal="general" vertical="bottom" textRotation="0" wrapText="false" indent="0" shrinkToFit="false"/>
      <protection locked="true" hidden="false"/>
    </xf>
    <xf numFmtId="164" fontId="0" fillId="3" borderId="2" xfId="0" applyFont="false" applyBorder="true" applyAlignment="false" applyProtection="false">
      <alignment horizontal="general" vertical="bottom" textRotation="0" wrapText="false" indent="0" shrinkToFit="false"/>
      <protection locked="true" hidden="false"/>
    </xf>
    <xf numFmtId="166" fontId="7" fillId="3" borderId="2" xfId="0" applyFont="true" applyBorder="true" applyAlignment="true" applyProtection="false">
      <alignment horizontal="center"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6"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center" vertical="center" textRotation="0" wrapText="fals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4" fontId="9"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6" fontId="7" fillId="3" borderId="0" xfId="0" applyFont="true" applyBorder="false" applyAlignment="true" applyProtection="false">
      <alignment horizontal="center" vertical="center" textRotation="0" wrapText="false" indent="0" shrinkToFit="false"/>
      <protection locked="true" hidden="false"/>
    </xf>
    <xf numFmtId="166" fontId="7" fillId="3" borderId="0" xfId="0" applyFont="true" applyBorder="false" applyAlignment="true" applyProtection="false">
      <alignment horizontal="center" vertical="bottom" textRotation="0" wrapText="false" indent="0" shrinkToFit="false"/>
      <protection locked="true" hidden="false"/>
    </xf>
    <xf numFmtId="166" fontId="7" fillId="3" borderId="0" xfId="0" applyFont="true" applyBorder="false" applyAlignment="false" applyProtection="false">
      <alignment horizontal="general" vertical="bottom" textRotation="0" wrapText="false" indent="0" shrinkToFit="false"/>
      <protection locked="true" hidden="false"/>
    </xf>
    <xf numFmtId="164" fontId="0" fillId="0" borderId="3" xfId="0" applyFont="false" applyBorder="true" applyAlignment="false" applyProtection="false">
      <alignment horizontal="general" vertical="bottom" textRotation="0" wrapText="false" indent="0" shrinkToFit="false"/>
      <protection locked="true" hidden="false"/>
    </xf>
    <xf numFmtId="164" fontId="0" fillId="0" borderId="3" xfId="0" applyFont="true" applyBorder="true" applyAlignment="true" applyProtection="false">
      <alignment horizontal="right" vertical="bottom" textRotation="0" wrapText="false" indent="0" shrinkToFit="false"/>
      <protection locked="true" hidden="false"/>
    </xf>
    <xf numFmtId="166" fontId="7" fillId="3" borderId="3" xfId="0" applyFont="true" applyBorder="true" applyAlignment="true" applyProtection="false">
      <alignment horizontal="center" vertical="center" textRotation="0" wrapText="false" indent="0" shrinkToFit="false"/>
      <protection locked="true" hidden="false"/>
    </xf>
    <xf numFmtId="166" fontId="7" fillId="3" borderId="3" xfId="0" applyFont="true" applyBorder="true" applyAlignment="true" applyProtection="false">
      <alignment horizontal="center" vertical="bottom" textRotation="0" wrapText="false" indent="0" shrinkToFit="false"/>
      <protection locked="true" hidden="false"/>
    </xf>
    <xf numFmtId="166" fontId="7" fillId="3" borderId="3" xfId="0" applyFont="tru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6" fontId="7" fillId="0" borderId="0" xfId="0" applyFont="true" applyBorder="false" applyAlignment="true" applyProtection="false">
      <alignment horizontal="center" vertical="bottom" textRotation="0" wrapText="false" indent="0" shrinkToFit="false"/>
      <protection locked="true" hidden="false"/>
    </xf>
    <xf numFmtId="164" fontId="7"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10" fillId="0" borderId="0" xfId="0" applyFont="true" applyBorder="false" applyAlignment="true" applyProtection="false">
      <alignment horizontal="general" vertical="center" textRotation="0" wrapText="true" indent="0" shrinkToFit="false"/>
      <protection locked="true" hidden="false"/>
    </xf>
    <xf numFmtId="164" fontId="4" fillId="5" borderId="0" xfId="0" applyFont="true" applyBorder="true" applyAlignment="true" applyProtection="false">
      <alignment horizontal="center" vertical="bottom" textRotation="0" wrapText="fals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6" fillId="5" borderId="0" xfId="0" applyFont="true" applyBorder="true" applyAlignment="true" applyProtection="false">
      <alignment horizontal="center" vertical="bottom" textRotation="0" wrapText="false" indent="0" shrinkToFit="false"/>
      <protection locked="true" hidden="false"/>
    </xf>
    <xf numFmtId="164" fontId="4" fillId="0" borderId="3" xfId="0" applyFont="true" applyBorder="true" applyAlignment="true" applyProtection="false">
      <alignment horizontal="center" vertical="bottom" textRotation="0" wrapText="false" indent="0" shrinkToFit="false"/>
      <protection locked="true" hidden="false"/>
    </xf>
    <xf numFmtId="164" fontId="11" fillId="0" borderId="0" xfId="0" applyFont="true" applyBorder="true" applyAlignment="true" applyProtection="false">
      <alignment horizontal="center" vertical="center" textRotation="0" wrapText="true" indent="0" shrinkToFit="false"/>
      <protection locked="true" hidden="false"/>
    </xf>
    <xf numFmtId="164" fontId="4" fillId="0" borderId="4" xfId="0" applyFont="true" applyBorder="true" applyAlignment="tru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left" vertical="bottom" textRotation="0" wrapText="false" indent="2" shrinkToFit="false"/>
      <protection locked="true" hidden="false"/>
    </xf>
    <xf numFmtId="164" fontId="5" fillId="2" borderId="4" xfId="0" applyFont="true" applyBorder="tru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4" shrinkToFit="false"/>
      <protection locked="true" hidden="false"/>
    </xf>
    <xf numFmtId="166" fontId="12" fillId="3" borderId="0" xfId="0" applyFont="true" applyBorder="false" applyAlignment="false" applyProtection="false">
      <alignment horizontal="general" vertical="bottom" textRotation="0" wrapText="false" indent="0" shrinkToFit="false"/>
      <protection locked="true" hidden="false"/>
    </xf>
    <xf numFmtId="164" fontId="7" fillId="3" borderId="0" xfId="0" applyFont="true" applyBorder="false" applyAlignment="false" applyProtection="false">
      <alignment horizontal="general" vertical="bottom" textRotation="0" wrapText="false" indent="0" shrinkToFit="false"/>
      <protection locked="true" hidden="false"/>
    </xf>
    <xf numFmtId="164" fontId="7" fillId="3" borderId="0" xfId="0" applyFont="true" applyBorder="false" applyAlignment="true" applyProtection="false">
      <alignment horizontal="center" vertical="bottom" textRotation="0" wrapText="true" indent="0" shrinkToFit="false"/>
      <protection locked="true" hidden="false"/>
    </xf>
    <xf numFmtId="164" fontId="7" fillId="3" borderId="0" xfId="0" applyFont="true" applyBorder="fals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left" vertical="bottom" textRotation="0" wrapText="false" indent="2" shrinkToFit="false"/>
      <protection locked="true" hidden="false"/>
    </xf>
    <xf numFmtId="164" fontId="13" fillId="0" borderId="0" xfId="0" applyFont="true" applyBorder="true" applyAlignment="true" applyProtection="false">
      <alignment horizontal="center" vertical="center" textRotation="0" wrapText="true" indent="0" shrinkToFit="false"/>
      <protection locked="true" hidden="false"/>
    </xf>
    <xf numFmtId="166" fontId="7" fillId="3" borderId="4" xfId="0" applyFont="true" applyBorder="true" applyAlignment="false" applyProtection="false">
      <alignment horizontal="general" vertical="bottom" textRotation="0" wrapText="false" indent="0" shrinkToFit="false"/>
      <protection locked="true" hidden="false"/>
    </xf>
    <xf numFmtId="166" fontId="7" fillId="3" borderId="5"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center" vertical="bottom" textRotation="0" wrapText="true" indent="0" shrinkToFit="false"/>
      <protection locked="true" hidden="false"/>
    </xf>
    <xf numFmtId="164" fontId="5" fillId="2" borderId="0" xfId="0" applyFont="true" applyBorder="false" applyAlignment="false" applyProtection="false">
      <alignment horizontal="general" vertical="bottom" textRotation="0" wrapText="false" indent="0" shrinkToFit="false"/>
      <protection locked="true" hidden="false"/>
    </xf>
    <xf numFmtId="165" fontId="5" fillId="2" borderId="0" xfId="0" applyFont="true" applyBorder="false" applyAlignment="false" applyProtection="false">
      <alignment horizontal="general" vertical="bottom" textRotation="0" wrapText="false" indent="0" shrinkToFit="false"/>
      <protection locked="true" hidden="false"/>
    </xf>
    <xf numFmtId="165" fontId="7" fillId="3" borderId="0" xfId="0" applyFont="true" applyBorder="false" applyAlignment="false" applyProtection="false">
      <alignment horizontal="general" vertical="bottom" textRotation="0" wrapText="false" indent="0" shrinkToFit="false"/>
      <protection locked="true" hidden="false"/>
    </xf>
    <xf numFmtId="164" fontId="7" fillId="3" borderId="0" xfId="0" applyFont="true" applyBorder="false" applyAlignment="true" applyProtection="false">
      <alignment horizontal="left" vertical="bottom" textRotation="0" wrapText="false" indent="4" shrinkToFit="false"/>
      <protection locked="true" hidden="false"/>
    </xf>
    <xf numFmtId="164" fontId="14" fillId="2" borderId="6" xfId="0" applyFont="true" applyBorder="true" applyAlignment="true" applyProtection="false">
      <alignment horizontal="center" vertical="center" textRotation="90" wrapText="true" indent="0" shrinkToFit="false"/>
      <protection locked="true" hidden="false"/>
    </xf>
    <xf numFmtId="165" fontId="4" fillId="2" borderId="0" xfId="0" applyFont="true" applyBorder="false" applyAlignment="false" applyProtection="false">
      <alignment horizontal="general" vertical="bottom" textRotation="0" wrapText="false" indent="0" shrinkToFit="false"/>
      <protection locked="true" hidden="false"/>
    </xf>
    <xf numFmtId="167" fontId="7" fillId="3" borderId="0" xfId="0" applyFont="tru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left" vertical="center" textRotation="0" wrapText="true" indent="0" shrinkToFit="false"/>
      <protection locked="true" hidden="false"/>
    </xf>
    <xf numFmtId="164" fontId="4" fillId="0" borderId="7" xfId="0" applyFont="true" applyBorder="true" applyAlignment="true" applyProtection="false">
      <alignment horizontal="center" vertical="bottom" textRotation="0" wrapText="false" indent="0" shrinkToFit="false"/>
      <protection locked="true" hidden="false"/>
    </xf>
    <xf numFmtId="164" fontId="4" fillId="0" borderId="2" xfId="0" applyFont="true" applyBorder="true" applyAlignment="true" applyProtection="false">
      <alignment horizontal="left" vertical="bottom" textRotation="0" wrapText="fals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4" fontId="9" fillId="0" borderId="0" xfId="0" applyFont="true" applyBorder="false" applyAlignment="true" applyProtection="false">
      <alignment horizontal="right" vertical="center" textRotation="0" wrapText="true" indent="0" shrinkToFit="false"/>
      <protection locked="true" hidden="false"/>
    </xf>
    <xf numFmtId="164" fontId="5" fillId="2" borderId="0" xfId="0" applyFont="true" applyBorder="false" applyAlignment="true" applyProtection="false">
      <alignment horizontal="center" vertical="center" textRotation="0" wrapText="true" indent="0" shrinkToFit="false"/>
      <protection locked="true" hidden="false"/>
    </xf>
    <xf numFmtId="168" fontId="7" fillId="3" borderId="4" xfId="0" applyFont="true" applyBorder="true" applyAlignment="false" applyProtection="false">
      <alignment horizontal="general" vertical="bottom" textRotation="0" wrapText="false" indent="0" shrinkToFit="false"/>
      <protection locked="true" hidden="false"/>
    </xf>
    <xf numFmtId="164" fontId="9" fillId="0" borderId="2" xfId="0" applyFont="true" applyBorder="true" applyAlignment="true" applyProtection="false">
      <alignment horizontal="center" vertical="bottom" textRotation="0" wrapText="false" indent="0" shrinkToFit="false"/>
      <protection locked="true" hidden="false"/>
    </xf>
    <xf numFmtId="164" fontId="0" fillId="0" borderId="2" xfId="0" applyFont="true" applyBorder="true" applyAlignment="true" applyProtection="false">
      <alignment horizontal="center" vertical="bottom"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left" vertical="bottom" textRotation="0" wrapText="false" indent="4" shrinkToFit="false"/>
      <protection locked="true" hidden="false"/>
    </xf>
    <xf numFmtId="167" fontId="7" fillId="3" borderId="2"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7" fillId="3" borderId="4" xfId="0" applyFont="true" applyBorder="true" applyAlignment="false" applyProtection="false">
      <alignment horizontal="general" vertical="bottom" textRotation="0" wrapText="false" indent="0" shrinkToFit="false"/>
      <protection locked="true" hidden="false"/>
    </xf>
    <xf numFmtId="164" fontId="7" fillId="3" borderId="5" xfId="0" applyFont="true" applyBorder="tru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center" vertical="center" textRotation="0" wrapText="true" indent="0" shrinkToFit="false"/>
      <protection locked="true" hidden="false"/>
    </xf>
    <xf numFmtId="164" fontId="4" fillId="6" borderId="0" xfId="0" applyFont="true" applyBorder="false" applyAlignment="true" applyProtection="false">
      <alignment horizontal="left" vertical="bottom" textRotation="0" wrapText="false" indent="0" shrinkToFit="false"/>
      <protection locked="true" hidden="false"/>
    </xf>
    <xf numFmtId="164" fontId="9"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9" fillId="0" borderId="0" xfId="0" applyFont="true" applyBorder="true" applyAlignment="true" applyProtection="false">
      <alignment horizontal="center" vertical="center" textRotation="0" wrapText="true" indent="0" shrinkToFit="false"/>
      <protection locked="true" hidden="false"/>
    </xf>
    <xf numFmtId="167" fontId="7" fillId="3" borderId="0" xfId="0" applyFont="true" applyBorder="true" applyAlignment="false" applyProtection="false">
      <alignment horizontal="general" vertical="bottom" textRotation="0" wrapText="false" indent="0" shrinkToFit="false"/>
      <protection locked="true" hidden="false"/>
    </xf>
    <xf numFmtId="164" fontId="7" fillId="0" borderId="0" xfId="0" applyFont="true" applyBorder="true" applyAlignment="false" applyProtection="false">
      <alignment horizontal="general" vertical="bottom" textRotation="0" wrapText="false" indent="0" shrinkToFit="false"/>
      <protection locked="true" hidden="false"/>
    </xf>
    <xf numFmtId="164" fontId="7" fillId="3" borderId="0" xfId="0" applyFont="true" applyBorder="true" applyAlignment="false" applyProtection="false">
      <alignment horizontal="general" vertical="bottom" textRotation="0" wrapText="false" indent="0" shrinkToFit="false"/>
      <protection locked="true" hidden="false"/>
    </xf>
    <xf numFmtId="167" fontId="7"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9" fillId="0" borderId="0" xfId="0" applyFont="true" applyBorder="true" applyAlignment="true" applyProtection="false">
      <alignment horizontal="right" vertical="center" textRotation="0" wrapText="true" indent="0" shrinkToFit="false"/>
      <protection locked="true" hidden="false"/>
    </xf>
    <xf numFmtId="164" fontId="5" fillId="2" borderId="0" xfId="0" applyFont="true" applyBorder="true" applyAlignment="true" applyProtection="false">
      <alignment horizontal="center" vertical="center" textRotation="0" wrapText="true" indent="0" shrinkToFit="false"/>
      <protection locked="true" hidden="false"/>
    </xf>
    <xf numFmtId="164" fontId="9" fillId="0" borderId="3" xfId="0" applyFont="true" applyBorder="true" applyAlignment="true" applyProtection="false">
      <alignment horizontal="right" vertical="center" textRotation="0" wrapText="true" indent="0" shrinkToFit="false"/>
      <protection locked="true" hidden="false"/>
    </xf>
    <xf numFmtId="164" fontId="7" fillId="3" borderId="3" xfId="0" applyFont="true" applyBorder="true" applyAlignment="true" applyProtection="false">
      <alignment horizontal="center" vertical="center" textRotation="0" wrapText="true" indent="0" shrinkToFit="false"/>
      <protection locked="true" hidden="false"/>
    </xf>
    <xf numFmtId="164" fontId="9" fillId="0" borderId="3" xfId="0" applyFont="true" applyBorder="true" applyAlignment="true" applyProtection="false">
      <alignment horizontal="center" vertical="center" textRotation="0" wrapText="true" indent="0" shrinkToFit="false"/>
      <protection locked="true" hidden="false"/>
    </xf>
    <xf numFmtId="167" fontId="7" fillId="0" borderId="3" xfId="0" applyFont="true" applyBorder="true" applyAlignment="false" applyProtection="false">
      <alignment horizontal="general" vertical="bottom" textRotation="0" wrapText="false" indent="0" shrinkToFit="false"/>
      <protection locked="true" hidden="false"/>
    </xf>
    <xf numFmtId="164" fontId="7" fillId="0" borderId="3" xfId="0" applyFont="true" applyBorder="true" applyAlignment="false" applyProtection="false">
      <alignment horizontal="general" vertical="bottom" textRotation="0" wrapText="false" indent="0" shrinkToFit="false"/>
      <protection locked="true" hidden="false"/>
    </xf>
    <xf numFmtId="164" fontId="0" fillId="0" borderId="3" xfId="0" applyFont="false" applyBorder="true" applyAlignment="false" applyProtection="false">
      <alignment horizontal="general" vertical="bottom" textRotation="0" wrapText="false" indent="0" shrinkToFit="false"/>
      <protection locked="true" hidden="false"/>
    </xf>
    <xf numFmtId="167" fontId="7" fillId="3" borderId="4" xfId="0" applyFont="true" applyBorder="true" applyAlignment="false" applyProtection="false">
      <alignment horizontal="general" vertical="bottom" textRotation="0" wrapText="false" indent="0" shrinkToFit="false"/>
      <protection locked="true" hidden="false"/>
    </xf>
    <xf numFmtId="164" fontId="14" fillId="2" borderId="2" xfId="0" applyFont="true" applyBorder="true" applyAlignment="true" applyProtection="false">
      <alignment horizontal="center" vertical="center" textRotation="90" wrapText="tru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7" fillId="0" borderId="0" xfId="0" applyFont="true" applyBorder="true" applyAlignment="true" applyProtection="false">
      <alignment horizontal="center" vertical="center" textRotation="0" wrapText="true" indent="0" shrinkToFit="false"/>
      <protection locked="true" hidden="false"/>
    </xf>
    <xf numFmtId="164" fontId="7" fillId="3" borderId="0" xfId="0" applyFont="true" applyBorder="true" applyAlignment="true" applyProtection="false">
      <alignment horizontal="center" vertical="center" textRotation="0" wrapText="true" indent="0" shrinkToFit="false"/>
      <protection locked="true" hidden="false"/>
    </xf>
    <xf numFmtId="164" fontId="7" fillId="0" borderId="3" xfId="0" applyFont="true" applyBorder="true" applyAlignment="true" applyProtection="false">
      <alignment horizontal="center" vertical="center" textRotation="0" wrapText="true" indent="0" shrinkToFit="false"/>
      <protection locked="true" hidden="false"/>
    </xf>
    <xf numFmtId="167" fontId="7" fillId="3" borderId="3" xfId="0" applyFont="true" applyBorder="true" applyAlignment="false" applyProtection="false">
      <alignment horizontal="general" vertical="bottom" textRotation="0" wrapText="false" indent="0" shrinkToFit="false"/>
      <protection locked="true" hidden="false"/>
    </xf>
    <xf numFmtId="164" fontId="7" fillId="3" borderId="3" xfId="0" applyFont="true" applyBorder="true" applyAlignment="fals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center" vertical="center" textRotation="0" wrapText="true" indent="0" shrinkToFit="false"/>
      <protection locked="true" hidden="false"/>
    </xf>
    <xf numFmtId="164" fontId="9" fillId="0" borderId="0" xfId="0" applyFont="true" applyBorder="true" applyAlignment="true" applyProtection="false">
      <alignment horizontal="right" vertical="center" textRotation="0" wrapText="true" indent="0" shrinkToFit="false"/>
      <protection locked="true" hidden="false"/>
    </xf>
    <xf numFmtId="164" fontId="9" fillId="0" borderId="3" xfId="0" applyFont="true" applyBorder="true" applyAlignment="true" applyProtection="false">
      <alignment horizontal="right" vertical="center" textRotation="0" wrapText="true" indent="0" shrinkToFit="false"/>
      <protection locked="true" hidden="false"/>
    </xf>
    <xf numFmtId="164" fontId="7" fillId="2" borderId="0" xfId="0" applyFont="true" applyBorder="false" applyAlignment="false" applyProtection="false">
      <alignment horizontal="general" vertical="bottom" textRotation="0" wrapText="false" indent="0" shrinkToFit="false"/>
      <protection locked="true" hidden="false"/>
    </xf>
    <xf numFmtId="164" fontId="14" fillId="2" borderId="3" xfId="0" applyFont="true" applyBorder="true" applyAlignment="true" applyProtection="false">
      <alignment horizontal="center" vertical="center" textRotation="90" wrapText="true" indent="0" shrinkToFit="false"/>
      <protection locked="true" hidden="false"/>
    </xf>
    <xf numFmtId="164" fontId="14" fillId="2" borderId="0" xfId="0" applyFont="true" applyBorder="true" applyAlignment="true" applyProtection="false">
      <alignment horizontal="center" vertical="center" textRotation="90" wrapText="true" indent="0" shrinkToFit="false"/>
      <protection locked="true" hidden="false"/>
    </xf>
    <xf numFmtId="164" fontId="7" fillId="3" borderId="8" xfId="0" applyFont="true" applyBorder="true" applyAlignment="false" applyProtection="false">
      <alignment horizontal="general" vertical="bottom" textRotation="0" wrapText="false" indent="0" shrinkToFit="false"/>
      <protection locked="true" hidden="false"/>
    </xf>
    <xf numFmtId="164" fontId="7" fillId="3" borderId="9" xfId="0" applyFont="true" applyBorder="true" applyAlignment="false" applyProtection="false">
      <alignment horizontal="general" vertical="bottom" textRotation="0" wrapText="false" indent="0" shrinkToFit="false"/>
      <protection locked="true" hidden="false"/>
    </xf>
    <xf numFmtId="164" fontId="7" fillId="3" borderId="10" xfId="0" applyFont="true" applyBorder="true" applyAlignment="false" applyProtection="false">
      <alignment horizontal="general" vertical="bottom" textRotation="0" wrapText="false" indent="0" shrinkToFit="false"/>
      <protection locked="true" hidden="false"/>
    </xf>
    <xf numFmtId="164" fontId="7" fillId="3" borderId="11" xfId="0" applyFont="true" applyBorder="true" applyAlignment="false" applyProtection="false">
      <alignment horizontal="general" vertical="bottom" textRotation="0" wrapText="false" indent="0" shrinkToFit="false"/>
      <protection locked="true" hidden="false"/>
    </xf>
    <xf numFmtId="164" fontId="7" fillId="3" borderId="12" xfId="0" applyFont="true" applyBorder="true" applyAlignment="false" applyProtection="false">
      <alignment horizontal="general" vertical="bottom" textRotation="0" wrapText="false" indent="0" shrinkToFit="false"/>
      <protection locked="true" hidden="false"/>
    </xf>
    <xf numFmtId="164" fontId="7" fillId="3" borderId="13" xfId="0" applyFont="true" applyBorder="true" applyAlignment="false" applyProtection="false">
      <alignment horizontal="general" vertical="bottom" textRotation="0" wrapText="fals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4" fontId="7" fillId="3" borderId="2" xfId="0" applyFont="true" applyBorder="true" applyAlignment="true" applyProtection="false">
      <alignment horizontal="center" vertical="bottom" textRotation="0" wrapText="false" indent="0" shrinkToFit="false"/>
      <protection locked="true" hidden="false"/>
    </xf>
    <xf numFmtId="164" fontId="7" fillId="0" borderId="2" xfId="0" applyFont="true" applyBorder="true" applyAlignment="true" applyProtection="false">
      <alignment horizontal="center" vertical="bottom" textRotation="0" wrapText="false" indent="0" shrinkToFit="false"/>
      <protection locked="true" hidden="false"/>
    </xf>
    <xf numFmtId="164" fontId="4" fillId="0" borderId="2" xfId="0" applyFont="true" applyBorder="true" applyAlignment="false" applyProtection="false">
      <alignment horizontal="general" vertical="bottom" textRotation="0" wrapText="false" indent="0" shrinkToFit="false"/>
      <protection locked="true" hidden="false"/>
    </xf>
    <xf numFmtId="164" fontId="0" fillId="0" borderId="7" xfId="0" applyFont="false" applyBorder="true" applyAlignment="false" applyProtection="false">
      <alignment horizontal="general" vertical="bottom" textRotation="0" wrapText="false" indent="0" shrinkToFit="false"/>
      <protection locked="true" hidden="false"/>
    </xf>
    <xf numFmtId="164" fontId="0" fillId="0" borderId="7" xfId="0" applyFont="false" applyBorder="true" applyAlignment="false" applyProtection="false">
      <alignment horizontal="general" vertical="bottom" textRotation="0" wrapText="false" indent="0" shrinkToFit="false"/>
      <protection locked="true" hidden="false"/>
    </xf>
    <xf numFmtId="164" fontId="0" fillId="0" borderId="7"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64" fontId="0" fillId="0" borderId="6" xfId="0" applyFont="false" applyBorder="true" applyAlignment="false" applyProtection="false">
      <alignment horizontal="general" vertical="bottom" textRotation="0" wrapText="false" indent="0" shrinkToFit="false"/>
      <protection locked="true" hidden="false"/>
    </xf>
    <xf numFmtId="164" fontId="6" fillId="0" borderId="14" xfId="0" applyFont="true" applyBorder="true" applyAlignment="true" applyProtection="false">
      <alignment horizontal="center" vertical="bottom" textRotation="0" wrapText="false" indent="0" shrinkToFit="false"/>
      <protection locked="true" hidden="false"/>
    </xf>
    <xf numFmtId="164" fontId="0" fillId="0" borderId="15" xfId="0" applyFont="false" applyBorder="true" applyAlignment="false" applyProtection="false">
      <alignment horizontal="general" vertical="bottom" textRotation="0" wrapText="false" indent="0" shrinkToFit="false"/>
      <protection locked="true" hidden="false"/>
    </xf>
    <xf numFmtId="164" fontId="4" fillId="0" borderId="2" xfId="0" applyFont="true" applyBorder="true" applyAlignment="false" applyProtection="false">
      <alignment horizontal="general" vertical="bottom" textRotation="0" wrapText="false" indent="0" shrinkToFit="false"/>
      <protection locked="true" hidden="false"/>
    </xf>
    <xf numFmtId="164" fontId="4" fillId="0" borderId="2" xfId="0" applyFont="true" applyBorder="true" applyAlignment="true" applyProtection="false">
      <alignment horizontal="center" vertical="bottom" textRotation="0" wrapText="false" indent="0" shrinkToFit="false"/>
      <protection locked="true" hidden="false"/>
    </xf>
    <xf numFmtId="164" fontId="4" fillId="7" borderId="2" xfId="0" applyFont="true" applyBorder="true" applyAlignment="false" applyProtection="false">
      <alignment horizontal="general" vertical="bottom" textRotation="0" wrapText="false" indent="0" shrinkToFit="false"/>
      <protection locked="true" hidden="false"/>
    </xf>
    <xf numFmtId="164" fontId="4" fillId="7" borderId="6" xfId="0" applyFont="true" applyBorder="true" applyAlignment="false" applyProtection="false">
      <alignment horizontal="general" vertical="bottom" textRotation="0" wrapText="false" indent="0" shrinkToFit="false"/>
      <protection locked="true" hidden="false"/>
    </xf>
    <xf numFmtId="165" fontId="5" fillId="0" borderId="16" xfId="0" applyFont="true" applyBorder="true" applyAlignment="true" applyProtection="false">
      <alignment horizontal="center" vertical="bottom" textRotation="0" wrapText="false" indent="0" shrinkToFit="false"/>
      <protection locked="true" hidden="false"/>
    </xf>
    <xf numFmtId="164" fontId="0" fillId="7" borderId="2" xfId="0" applyFont="true" applyBorder="true" applyAlignment="true" applyProtection="false">
      <alignment horizontal="left" vertical="bottom" textRotation="0" wrapText="false" indent="2" shrinkToFit="false"/>
      <protection locked="true" hidden="false"/>
    </xf>
    <xf numFmtId="164" fontId="4" fillId="0" borderId="17" xfId="0" applyFont="true" applyBorder="true" applyAlignment="true" applyProtection="false">
      <alignment horizontal="right" vertical="bottom" textRotation="0" wrapText="false" indent="0" shrinkToFit="false"/>
      <protection locked="true" hidden="false"/>
    </xf>
    <xf numFmtId="164" fontId="4" fillId="0" borderId="18" xfId="0" applyFont="true" applyBorder="true" applyAlignment="true" applyProtection="false">
      <alignment horizontal="center" vertical="center" textRotation="0" wrapText="false" indent="0" shrinkToFit="false"/>
      <protection locked="true" hidden="false"/>
    </xf>
    <xf numFmtId="168" fontId="7" fillId="8" borderId="2" xfId="0" applyFont="true" applyBorder="true" applyAlignment="false" applyProtection="false">
      <alignment horizontal="general" vertical="bottom" textRotation="0" wrapText="false" indent="0" shrinkToFit="false"/>
      <protection locked="true" hidden="false"/>
    </xf>
    <xf numFmtId="168" fontId="9" fillId="8" borderId="2" xfId="0" applyFont="true" applyBorder="true" applyAlignment="false" applyProtection="false">
      <alignment horizontal="general" vertical="bottom" textRotation="0" wrapText="false" indent="0" shrinkToFit="false"/>
      <protection locked="true" hidden="false"/>
    </xf>
    <xf numFmtId="164" fontId="4" fillId="0" borderId="19" xfId="0" applyFont="true" applyBorder="true" applyAlignment="true" applyProtection="false">
      <alignment horizontal="left" vertical="bottom" textRotation="0" wrapText="false" indent="0" shrinkToFit="false"/>
      <protection locked="true" hidden="false"/>
    </xf>
    <xf numFmtId="164" fontId="0" fillId="0" borderId="2" xfId="0" applyFont="true" applyBorder="true" applyAlignment="true" applyProtection="false">
      <alignment horizontal="left" vertical="bottom" textRotation="0" wrapText="false" indent="2" shrinkToFit="false"/>
      <protection locked="true" hidden="false"/>
    </xf>
    <xf numFmtId="168" fontId="5" fillId="0" borderId="2" xfId="0" applyFont="true" applyBorder="true" applyAlignment="false" applyProtection="false">
      <alignment horizontal="general" vertical="bottom" textRotation="0" wrapText="false" indent="0" shrinkToFit="false"/>
      <protection locked="true" hidden="false"/>
    </xf>
    <xf numFmtId="165" fontId="7" fillId="0" borderId="2" xfId="0" applyFont="true" applyBorder="true" applyAlignment="false" applyProtection="false">
      <alignment horizontal="general" vertical="bottom" textRotation="0" wrapText="false" indent="0" shrinkToFit="false"/>
      <protection locked="true" hidden="false"/>
    </xf>
    <xf numFmtId="164" fontId="7" fillId="7" borderId="6" xfId="0" applyFont="true" applyBorder="true" applyAlignment="false" applyProtection="false">
      <alignment horizontal="general" vertical="bottom" textRotation="0" wrapText="false" indent="0" shrinkToFit="false"/>
      <protection locked="true" hidden="false"/>
    </xf>
    <xf numFmtId="164" fontId="4" fillId="0" borderId="20" xfId="0" applyFont="true" applyBorder="true" applyAlignment="true" applyProtection="false">
      <alignment horizontal="right" vertical="bottom" textRotation="0" wrapText="false" indent="0" shrinkToFit="false"/>
      <protection locked="true" hidden="false"/>
    </xf>
    <xf numFmtId="168" fontId="7" fillId="8" borderId="18" xfId="0" applyFont="true" applyBorder="true" applyAlignment="false" applyProtection="false">
      <alignment horizontal="general" vertical="bottom" textRotation="0" wrapText="false" indent="0" shrinkToFit="false"/>
      <protection locked="true" hidden="false"/>
    </xf>
    <xf numFmtId="168" fontId="9" fillId="8" borderId="18" xfId="0" applyFont="true" applyBorder="true" applyAlignment="false" applyProtection="false">
      <alignment horizontal="general" vertical="bottom" textRotation="0" wrapText="false" indent="0" shrinkToFit="false"/>
      <protection locked="true" hidden="false"/>
    </xf>
    <xf numFmtId="164" fontId="4" fillId="0" borderId="21" xfId="0" applyFont="true" applyBorder="true" applyAlignment="true" applyProtection="false">
      <alignment horizontal="left" vertical="bottom" textRotation="0" wrapText="false" indent="0" shrinkToFit="false"/>
      <protection locked="true" hidden="false"/>
    </xf>
    <xf numFmtId="168" fontId="0" fillId="0" borderId="2" xfId="0" applyFont="false" applyBorder="true" applyAlignment="false" applyProtection="false">
      <alignment horizontal="general" vertical="bottom" textRotation="0" wrapText="false" indent="0" shrinkToFit="false"/>
      <protection locked="true" hidden="false"/>
    </xf>
    <xf numFmtId="164" fontId="5" fillId="9" borderId="2" xfId="0" applyFont="true" applyBorder="true" applyAlignment="false" applyProtection="false">
      <alignment horizontal="general" vertical="bottom" textRotation="0" wrapText="false" indent="0" shrinkToFit="false"/>
      <protection locked="true" hidden="false"/>
    </xf>
    <xf numFmtId="164" fontId="0" fillId="0" borderId="22" xfId="0" applyFont="false" applyBorder="true" applyAlignment="false" applyProtection="false">
      <alignment horizontal="general" vertical="bottom" textRotation="0" wrapText="false" indent="0" shrinkToFit="false"/>
      <protection locked="true" hidden="false"/>
    </xf>
    <xf numFmtId="164" fontId="0" fillId="0" borderId="22"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left" vertical="bottom" textRotation="0" wrapText="false" indent="0" shrinkToFit="false"/>
      <protection locked="true" hidden="false"/>
    </xf>
    <xf numFmtId="164" fontId="5" fillId="0" borderId="2" xfId="0" applyFont="true" applyBorder="true" applyAlignment="false" applyProtection="false">
      <alignment horizontal="general" vertical="bottom" textRotation="0" wrapText="false" indent="0" shrinkToFit="false"/>
      <protection locked="true" hidden="false"/>
    </xf>
    <xf numFmtId="165" fontId="7" fillId="7" borderId="2" xfId="0" applyFont="true" applyBorder="true" applyAlignment="false" applyProtection="false">
      <alignment horizontal="general" vertical="bottom" textRotation="0" wrapText="false" indent="0" shrinkToFit="false"/>
      <protection locked="true" hidden="false"/>
    </xf>
    <xf numFmtId="165" fontId="4" fillId="0" borderId="2" xfId="0" applyFont="true" applyBorder="true" applyAlignment="false" applyProtection="false">
      <alignment horizontal="general" vertical="bottom" textRotation="0" wrapText="false" indent="0" shrinkToFit="false"/>
      <protection locked="true" hidden="false"/>
    </xf>
    <xf numFmtId="165" fontId="0" fillId="0" borderId="2" xfId="0" applyFont="true" applyBorder="true" applyAlignment="false" applyProtection="false">
      <alignment horizontal="general" vertical="bottom" textRotation="0" wrapText="false" indent="0" shrinkToFit="false"/>
      <protection locked="true" hidden="false"/>
    </xf>
    <xf numFmtId="168" fontId="0" fillId="0" borderId="2" xfId="0" applyFont="true" applyBorder="true" applyAlignment="true" applyProtection="false">
      <alignment horizontal="left" vertical="bottom" textRotation="0" wrapText="false" indent="0" shrinkToFit="false"/>
      <protection locked="true" hidden="false"/>
    </xf>
    <xf numFmtId="164" fontId="4" fillId="7" borderId="2" xfId="0" applyFont="true" applyBorder="true" applyAlignment="true" applyProtection="false">
      <alignment horizontal="left" vertical="bottom" textRotation="0" wrapText="false" indent="0" shrinkToFit="false"/>
      <protection locked="true" hidden="false"/>
    </xf>
    <xf numFmtId="170" fontId="7" fillId="0" borderId="2" xfId="15" applyFont="true" applyBorder="true" applyAlignment="true" applyProtection="true">
      <alignment horizontal="general" vertical="bottom" textRotation="0" wrapText="false" indent="0" shrinkToFit="false"/>
      <protection locked="true" hidden="false"/>
    </xf>
    <xf numFmtId="164" fontId="0" fillId="7" borderId="2" xfId="0" applyFont="true" applyBorder="true" applyAlignment="true" applyProtection="false">
      <alignment horizontal="left" vertical="bottom" textRotation="0" wrapText="false" indent="0" shrinkToFit="false"/>
      <protection locked="true" hidden="false"/>
    </xf>
    <xf numFmtId="168" fontId="7" fillId="0" borderId="2" xfId="15" applyFont="true" applyBorder="true" applyAlignment="true" applyProtection="true">
      <alignment horizontal="general" vertical="bottom" textRotation="0" wrapText="false" indent="0" shrinkToFit="false"/>
      <protection locked="true" hidden="false"/>
    </xf>
    <xf numFmtId="168" fontId="7" fillId="0" borderId="2" xfId="0" applyFont="true" applyBorder="true" applyAlignment="false" applyProtection="false">
      <alignment horizontal="general" vertical="bottom" textRotation="0" wrapText="false" indent="0" shrinkToFit="false"/>
      <protection locked="true" hidden="false"/>
    </xf>
    <xf numFmtId="168" fontId="4" fillId="7" borderId="2" xfId="0" applyFont="true" applyBorder="true" applyAlignment="false" applyProtection="false">
      <alignment horizontal="general" vertical="bottom" textRotation="0" wrapText="false" indent="0" shrinkToFit="false"/>
      <protection locked="true" hidden="false"/>
    </xf>
    <xf numFmtId="168" fontId="7" fillId="7" borderId="2" xfId="0" applyFont="true" applyBorder="true" applyAlignment="false" applyProtection="false">
      <alignment horizontal="general" vertical="bottom" textRotation="0" wrapText="false" indent="0" shrinkToFit="false"/>
      <protection locked="true" hidden="false"/>
    </xf>
    <xf numFmtId="164" fontId="0" fillId="0" borderId="7" xfId="0" applyFont="true" applyBorder="true" applyAlignment="true" applyProtection="false">
      <alignment horizontal="left" vertical="bottom" textRotation="0" wrapText="false" indent="2" shrinkToFit="false"/>
      <protection locked="true" hidden="false"/>
    </xf>
    <xf numFmtId="165" fontId="7" fillId="0" borderId="7" xfId="0" applyFont="true" applyBorder="true" applyAlignment="false" applyProtection="false">
      <alignment horizontal="general" vertical="bottom" textRotation="0" wrapText="false" indent="0" shrinkToFit="false"/>
      <protection locked="true" hidden="false"/>
    </xf>
    <xf numFmtId="164" fontId="0" fillId="7" borderId="7" xfId="0" applyFont="true" applyBorder="true" applyAlignment="true" applyProtection="false">
      <alignment horizontal="left" vertical="bottom" textRotation="0" wrapText="false" indent="2" shrinkToFit="false"/>
      <protection locked="true" hidden="false"/>
    </xf>
    <xf numFmtId="164" fontId="4" fillId="7" borderId="7" xfId="0" applyFont="true" applyBorder="true" applyAlignment="false" applyProtection="false">
      <alignment horizontal="general" vertical="bottom" textRotation="0" wrapText="false" indent="0" shrinkToFit="false"/>
      <protection locked="true" hidden="false"/>
    </xf>
    <xf numFmtId="164" fontId="0" fillId="0" borderId="23" xfId="0" applyFont="true" applyBorder="true" applyAlignment="true" applyProtection="false">
      <alignment horizontal="left" vertical="bottom" textRotation="0" wrapText="false" indent="0" shrinkToFit="false"/>
      <protection locked="true" hidden="false"/>
    </xf>
    <xf numFmtId="164" fontId="0" fillId="0" borderId="15" xfId="0" applyFont="true" applyBorder="true" applyAlignment="false" applyProtection="false">
      <alignment horizontal="general" vertical="bottom" textRotation="0" wrapText="false" indent="0" shrinkToFit="false"/>
      <protection locked="true" hidden="false"/>
    </xf>
    <xf numFmtId="164" fontId="4" fillId="0" borderId="22" xfId="0" applyFont="true" applyBorder="true" applyAlignment="true" applyProtection="false">
      <alignment horizontal="left" vertical="top" textRotation="0" wrapText="true" indent="0" shrinkToFit="false"/>
      <protection locked="true" hidden="false"/>
    </xf>
    <xf numFmtId="164" fontId="0" fillId="3" borderId="22" xfId="0" applyFont="false" applyBorder="true" applyAlignment="false" applyProtection="false">
      <alignment horizontal="general" vertical="bottom" textRotation="0" wrapText="false" indent="0" shrinkToFit="false"/>
      <protection locked="true" hidden="false"/>
    </xf>
    <xf numFmtId="164" fontId="4" fillId="0" borderId="22" xfId="0" applyFont="true" applyBorder="true" applyAlignment="true" applyProtection="false">
      <alignment horizontal="center" vertical="bottom" textRotation="0" wrapText="true" indent="0" shrinkToFit="false"/>
      <protection locked="true" hidden="false"/>
    </xf>
    <xf numFmtId="164" fontId="0" fillId="0" borderId="22" xfId="0" applyFont="false" applyBorder="true" applyAlignment="false" applyProtection="false">
      <alignment horizontal="general" vertical="bottom" textRotation="0" wrapText="false" indent="0" shrinkToFit="false"/>
      <protection locked="true" hidden="false"/>
    </xf>
    <xf numFmtId="168" fontId="7" fillId="3" borderId="2" xfId="0" applyFont="true" applyBorder="true" applyAlignment="false" applyProtection="false">
      <alignment horizontal="general" vertical="bottom" textRotation="0" wrapText="false" indent="0" shrinkToFit="false"/>
      <protection locked="true" hidden="false"/>
    </xf>
    <xf numFmtId="168" fontId="5" fillId="0" borderId="2" xfId="0" applyFont="true" applyBorder="true" applyAlignment="false" applyProtection="false">
      <alignment horizontal="general" vertical="bottom" textRotation="0" wrapText="false" indent="0" shrinkToFit="false"/>
      <protection locked="true" hidden="false"/>
    </xf>
    <xf numFmtId="168" fontId="7" fillId="0" borderId="2" xfId="0" applyFont="true" applyBorder="true" applyAlignment="false" applyProtection="false">
      <alignment horizontal="general" vertical="bottom" textRotation="0" wrapText="false" indent="0" shrinkToFit="false"/>
      <protection locked="true" hidden="false"/>
    </xf>
    <xf numFmtId="164" fontId="4" fillId="0" borderId="7" xfId="0" applyFont="true" applyBorder="true" applyAlignment="true" applyProtection="false">
      <alignment horizontal="left" vertical="bottom" textRotation="0" wrapText="false" indent="4" shrinkToFit="false"/>
      <protection locked="true" hidden="false"/>
    </xf>
    <xf numFmtId="164" fontId="9" fillId="0" borderId="2" xfId="0" applyFont="true" applyBorder="true" applyAlignment="false" applyProtection="false">
      <alignment horizontal="general" vertical="bottom" textRotation="0" wrapText="false" indent="0" shrinkToFit="false"/>
      <protection locked="true" hidden="false"/>
    </xf>
    <xf numFmtId="164" fontId="7" fillId="0" borderId="2" xfId="0" applyFont="true" applyBorder="true" applyAlignment="false" applyProtection="false">
      <alignment horizontal="general" vertical="bottom" textRotation="0" wrapText="false" indent="0" shrinkToFit="false"/>
      <protection locked="true" hidden="false"/>
    </xf>
    <xf numFmtId="164" fontId="4" fillId="2" borderId="2" xfId="0" applyFont="true" applyBorder="true" applyAlignment="true" applyProtection="false">
      <alignment horizontal="right" vertical="bottom" textRotation="0" wrapText="false" indent="0" shrinkToFit="false"/>
      <protection locked="true" hidden="false"/>
    </xf>
    <xf numFmtId="164" fontId="4" fillId="2" borderId="2" xfId="0" applyFont="true" applyBorder="true" applyAlignment="false" applyProtection="false">
      <alignment horizontal="general" vertical="bottom" textRotation="0" wrapText="false" indent="0" shrinkToFit="false"/>
      <protection locked="true" hidden="false"/>
    </xf>
    <xf numFmtId="164" fontId="4" fillId="2" borderId="2" xfId="0" applyFont="true" applyBorder="true" applyAlignment="true" applyProtection="false">
      <alignment horizontal="left" vertical="top" textRotation="0" wrapText="true" indent="0" shrinkToFit="false"/>
      <protection locked="true" hidden="false"/>
    </xf>
    <xf numFmtId="165" fontId="4" fillId="2" borderId="2" xfId="0" applyFont="true" applyBorder="true" applyAlignment="false" applyProtection="false">
      <alignment horizontal="general" vertical="bottom" textRotation="0" wrapText="false" indent="0" shrinkToFit="false"/>
      <protection locked="true" hidden="false"/>
    </xf>
    <xf numFmtId="164" fontId="6" fillId="0" borderId="6" xfId="0" applyFont="true" applyBorder="true" applyAlignment="true" applyProtection="false">
      <alignment horizontal="general" vertical="bottom" textRotation="0" wrapText="false" indent="0" shrinkToFit="false"/>
      <protection locked="true" hidden="false"/>
    </xf>
    <xf numFmtId="164" fontId="6" fillId="0" borderId="24" xfId="0" applyFont="true" applyBorder="true" applyAlignment="true" applyProtection="false">
      <alignment horizontal="general" vertical="bottom" textRotation="0" wrapText="false" indent="0" shrinkToFit="false"/>
      <protection locked="true" hidden="false"/>
    </xf>
    <xf numFmtId="164" fontId="6" fillId="0" borderId="15" xfId="0" applyFont="true" applyBorder="true" applyAlignment="true" applyProtection="false">
      <alignment horizontal="general" vertical="bottom" textRotation="0" wrapText="false" indent="0" shrinkToFit="false"/>
      <protection locked="true" hidden="false"/>
    </xf>
    <xf numFmtId="164" fontId="4" fillId="2" borderId="2" xfId="0" applyFont="true" applyBorder="true" applyAlignment="true" applyProtection="false">
      <alignment horizontal="general" vertical="bottom" textRotation="0" wrapText="false" indent="0" shrinkToFit="false"/>
      <protection locked="true" hidden="false"/>
    </xf>
    <xf numFmtId="168" fontId="7" fillId="2" borderId="2" xfId="0" applyFont="true" applyBorder="true" applyAlignment="false" applyProtection="false">
      <alignment horizontal="general" vertical="bottom" textRotation="0" wrapText="false" indent="0" shrinkToFit="false"/>
      <protection locked="true" hidden="false"/>
    </xf>
    <xf numFmtId="168" fontId="5" fillId="3" borderId="2" xfId="0" applyFont="true" applyBorder="true" applyAlignment="false" applyProtection="false">
      <alignment horizontal="general" vertical="bottom" textRotation="0" wrapText="false" indent="0" shrinkToFit="false"/>
      <protection locked="true" hidden="false"/>
    </xf>
    <xf numFmtId="168" fontId="5" fillId="2" borderId="2" xfId="0" applyFont="true" applyBorder="true" applyAlignment="false" applyProtection="false">
      <alignment horizontal="general" vertical="bottom" textRotation="0" wrapText="false" indent="0" shrinkToFit="false"/>
      <protection locked="true" hidden="false"/>
    </xf>
    <xf numFmtId="164" fontId="4" fillId="0" borderId="2" xfId="0" applyFont="true" applyBorder="true" applyAlignment="true" applyProtection="false">
      <alignment horizontal="center" vertical="bottom" textRotation="0" wrapText="true" indent="0" shrinkToFit="false"/>
      <protection locked="true" hidden="false"/>
    </xf>
    <xf numFmtId="164" fontId="4" fillId="0" borderId="2" xfId="0" applyFont="true" applyBorder="true" applyAlignment="true" applyProtection="false">
      <alignment horizontal="left" vertical="bottom" textRotation="0" wrapText="true" indent="0" shrinkToFit="false"/>
      <protection locked="true" hidden="false"/>
    </xf>
    <xf numFmtId="164" fontId="4" fillId="2" borderId="2" xfId="0" applyFont="true" applyBorder="true" applyAlignment="true" applyProtection="false">
      <alignment horizontal="left" vertical="bottom" textRotation="0" wrapText="true" indent="0" shrinkToFit="false"/>
      <protection locked="true" hidden="false"/>
    </xf>
    <xf numFmtId="164" fontId="7" fillId="0" borderId="2" xfId="0" applyFont="true" applyBorder="true" applyAlignment="false" applyProtection="false">
      <alignment horizontal="general" vertical="bottom" textRotation="0" wrapText="false" indent="0" shrinkToFit="false"/>
      <protection locked="true" hidden="false"/>
    </xf>
    <xf numFmtId="164" fontId="4" fillId="0" borderId="2" xfId="0" applyFont="true" applyBorder="true" applyAlignment="true" applyProtection="false">
      <alignment horizontal="right" vertical="bottom" textRotation="0" wrapText="false" indent="0" shrinkToFit="false"/>
      <protection locked="true" hidden="false"/>
    </xf>
    <xf numFmtId="164" fontId="4" fillId="0" borderId="2" xfId="0" applyFont="true" applyBorder="true" applyAlignment="true" applyProtection="false">
      <alignment horizontal="center" vertical="center" textRotation="0" wrapText="false" indent="0" shrinkToFit="false"/>
      <protection locked="true" hidden="false"/>
    </xf>
    <xf numFmtId="164" fontId="7" fillId="2" borderId="2" xfId="0" applyFont="true" applyBorder="true" applyAlignment="false" applyProtection="false">
      <alignment horizontal="general" vertical="bottom" textRotation="0" wrapText="false" indent="0" shrinkToFit="false"/>
      <protection locked="true" hidden="false"/>
    </xf>
    <xf numFmtId="164" fontId="4" fillId="0" borderId="2" xfId="0" applyFont="true" applyBorder="true" applyAlignment="true" applyProtection="false">
      <alignment horizontal="general" vertical="bottom" textRotation="0" wrapText="false" indent="0" shrinkToFit="false"/>
      <protection locked="true" hidden="false"/>
    </xf>
    <xf numFmtId="164" fontId="0" fillId="0" borderId="2" xfId="0" applyFont="false" applyBorder="true" applyAlignment="tru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left" vertical="bottom" textRotation="0" wrapText="false" indent="0" shrinkToFit="false"/>
      <protection locked="true" hidden="false"/>
    </xf>
    <xf numFmtId="171" fontId="0" fillId="0" borderId="2" xfId="0" applyFont="false" applyBorder="true" applyAlignment="false" applyProtection="false">
      <alignment horizontal="general" vertical="bottom" textRotation="0" wrapText="false" indent="0" shrinkToFit="false"/>
      <protection locked="true" hidden="false"/>
    </xf>
    <xf numFmtId="172" fontId="0" fillId="0" borderId="2" xfId="0" applyFont="false" applyBorder="true" applyAlignment="false" applyProtection="false">
      <alignment horizontal="general" vertical="bottom" textRotation="0" wrapText="false" indent="0" shrinkToFit="false"/>
      <protection locked="true" hidden="false"/>
    </xf>
    <xf numFmtId="165" fontId="0" fillId="0" borderId="2" xfId="0" applyFont="false" applyBorder="true" applyAlignment="false" applyProtection="false">
      <alignment horizontal="general" vertical="bottom" textRotation="0" wrapText="false" indent="0" shrinkToFit="false"/>
      <protection locked="true" hidden="false"/>
    </xf>
    <xf numFmtId="165" fontId="0" fillId="0" borderId="2" xfId="0" applyFont="false" applyBorder="true" applyAlignment="false" applyProtection="false">
      <alignment horizontal="general" vertical="bottom" textRotation="0" wrapText="false" indent="0" shrinkToFit="false"/>
      <protection locked="true" hidden="false"/>
    </xf>
    <xf numFmtId="168" fontId="0" fillId="0" borderId="2" xfId="0" applyFont="false" applyBorder="true" applyAlignment="false" applyProtection="false">
      <alignment horizontal="general" vertical="bottom" textRotation="0" wrapText="false" indent="0" shrinkToFit="false"/>
      <protection locked="true" hidden="false"/>
    </xf>
    <xf numFmtId="164" fontId="0" fillId="0" borderId="6" xfId="0" applyFont="false" applyBorder="true" applyAlignment="false" applyProtection="false">
      <alignment horizontal="general" vertical="bottom" textRotation="0" wrapText="false" indent="0" shrinkToFit="false"/>
      <protection locked="true" hidden="false"/>
    </xf>
    <xf numFmtId="164" fontId="4" fillId="0" borderId="22" xfId="0" applyFont="true" applyBorder="true" applyAlignment="false" applyProtection="false">
      <alignment horizontal="general" vertical="bottom" textRotation="0" wrapText="false" indent="0" shrinkToFit="false"/>
      <protection locked="true" hidden="false"/>
    </xf>
    <xf numFmtId="164" fontId="4" fillId="0" borderId="11" xfId="0" applyFont="true" applyBorder="true" applyAlignment="true" applyProtection="false">
      <alignment horizontal="center" vertical="bottom" textRotation="0" wrapText="false" indent="0" shrinkToFit="false"/>
      <protection locked="true" hidden="false"/>
    </xf>
    <xf numFmtId="164" fontId="4" fillId="0" borderId="6" xfId="0" applyFont="true" applyBorder="true" applyAlignment="false" applyProtection="false">
      <alignment horizontal="general" vertical="bottom" textRotation="0" wrapText="false" indent="0" shrinkToFit="false"/>
      <protection locked="true" hidden="false"/>
    </xf>
    <xf numFmtId="164" fontId="4" fillId="0" borderId="22" xfId="0" applyFont="true" applyBorder="true" applyAlignment="true" applyProtection="false">
      <alignment horizontal="left" vertical="bottom" textRotation="0" wrapText="false" indent="0" shrinkToFit="false"/>
      <protection locked="true" hidden="false"/>
    </xf>
    <xf numFmtId="164" fontId="4" fillId="0" borderId="6" xfId="0" applyFont="true" applyBorder="true" applyAlignment="true" applyProtection="false">
      <alignment horizontal="center" vertical="bottom" textRotation="0" wrapText="false" indent="0" shrinkToFit="false"/>
      <protection locked="true" hidden="false"/>
    </xf>
    <xf numFmtId="164" fontId="0" fillId="0" borderId="6" xfId="0" applyFont="true" applyBorder="true" applyAlignment="true" applyProtection="false">
      <alignment horizontal="general" vertical="bottom" textRotation="0" wrapText="false" indent="0" shrinkToFit="false"/>
      <protection locked="true" hidden="false"/>
    </xf>
    <xf numFmtId="165" fontId="7" fillId="0" borderId="6" xfId="0" applyFont="true" applyBorder="true" applyAlignment="false" applyProtection="false">
      <alignment horizontal="general" vertical="bottom" textRotation="0" wrapText="false" indent="0" shrinkToFit="false"/>
      <protection locked="true" hidden="false"/>
    </xf>
    <xf numFmtId="165" fontId="5" fillId="9" borderId="2" xfId="0" applyFont="true" applyBorder="true" applyAlignment="false" applyProtection="false">
      <alignment horizontal="general" vertical="bottom" textRotation="0" wrapText="false" indent="0" shrinkToFit="false"/>
      <protection locked="true" hidden="false"/>
    </xf>
    <xf numFmtId="164" fontId="0" fillId="0" borderId="22" xfId="0" applyFont="false" applyBorder="true" applyAlignment="true" applyProtection="false">
      <alignment horizontal="left" vertical="bottom" textRotation="0" wrapText="false" indent="0" shrinkToFit="false"/>
      <protection locked="true" hidden="false"/>
    </xf>
    <xf numFmtId="164" fontId="4" fillId="0" borderId="15" xfId="0" applyFont="true" applyBorder="true" applyAlignment="false" applyProtection="false">
      <alignment horizontal="general" vertical="bottom" textRotation="0" wrapText="false" indent="0" shrinkToFit="false"/>
      <protection locked="true" hidden="false"/>
    </xf>
    <xf numFmtId="164" fontId="4" fillId="0" borderId="24" xfId="0" applyFont="true" applyBorder="true" applyAlignment="false" applyProtection="false">
      <alignment horizontal="general" vertical="bottom" textRotation="0" wrapText="false" indent="0" shrinkToFit="false"/>
      <protection locked="true" hidden="false"/>
    </xf>
    <xf numFmtId="164" fontId="0" fillId="0" borderId="24" xfId="0" applyFont="false" applyBorder="true" applyAlignment="false" applyProtection="false">
      <alignment horizontal="general" vertical="bottom" textRotation="0" wrapText="false" indent="0" shrinkToFit="false"/>
      <protection locked="true" hidden="false"/>
    </xf>
    <xf numFmtId="164" fontId="0" fillId="0" borderId="15" xfId="0" applyFont="false" applyBorder="true" applyAlignment="true" applyProtection="false">
      <alignment horizontal="left" vertical="bottom" textRotation="0" wrapText="false" indent="0" shrinkToFit="false"/>
      <protection locked="true" hidden="false"/>
    </xf>
    <xf numFmtId="164" fontId="4" fillId="0" borderId="9" xfId="0" applyFont="true" applyBorder="true" applyAlignment="false" applyProtection="false">
      <alignment horizontal="general" vertical="bottom" textRotation="0" wrapText="false" indent="0" shrinkToFit="false"/>
      <protection locked="true" hidden="false"/>
    </xf>
    <xf numFmtId="164" fontId="0" fillId="0" borderId="9" xfId="0" applyFont="false" applyBorder="true" applyAlignment="false" applyProtection="false">
      <alignment horizontal="general" vertical="bottom" textRotation="0" wrapText="false" indent="0" shrinkToFit="false"/>
      <protection locked="true" hidden="false"/>
    </xf>
    <xf numFmtId="164" fontId="0" fillId="0" borderId="10" xfId="0" applyFont="false" applyBorder="true" applyAlignment="true" applyProtection="false">
      <alignment horizontal="left" vertical="bottom" textRotation="0" wrapText="false" indent="0" shrinkToFit="false"/>
      <protection locked="true" hidden="false"/>
    </xf>
    <xf numFmtId="164" fontId="0" fillId="0" borderId="23" xfId="0" applyFont="true" applyBorder="true" applyAlignment="true" applyProtection="false">
      <alignment horizontal="left" vertical="bottom" textRotation="0" wrapText="true" indent="0" shrinkToFit="false"/>
      <protection locked="true" hidden="false"/>
    </xf>
    <xf numFmtId="164" fontId="6" fillId="0" borderId="2" xfId="0" applyFont="true" applyBorder="true" applyAlignment="true" applyProtection="false">
      <alignment horizontal="center" vertical="bottom" textRotation="0" wrapText="false" indent="0" shrinkToFit="false"/>
      <protection locked="true" hidden="false"/>
    </xf>
    <xf numFmtId="164" fontId="0" fillId="0" borderId="2" xfId="0" applyFont="true" applyBorder="true" applyAlignment="true" applyProtection="false">
      <alignment horizontal="general" vertical="bottom" textRotation="0" wrapText="false" indent="0" shrinkToFit="false"/>
      <protection locked="true" hidden="false"/>
    </xf>
    <xf numFmtId="164" fontId="4" fillId="0" borderId="2" xfId="0" applyFont="true" applyBorder="true" applyAlignment="true" applyProtection="false">
      <alignment horizontal="center" vertical="bottom" textRotation="0" wrapText="false" indent="0" shrinkToFit="false"/>
      <protection locked="true" hidden="false"/>
    </xf>
    <xf numFmtId="168" fontId="17" fillId="0" borderId="2" xfId="0" applyFont="true" applyBorder="true" applyAlignment="false" applyProtection="false">
      <alignment horizontal="general" vertical="bottom" textRotation="0" wrapText="false" indent="0" shrinkToFit="false"/>
      <protection locked="true" hidden="false"/>
    </xf>
    <xf numFmtId="164" fontId="0" fillId="0" borderId="2" xfId="0" applyFont="false" applyBorder="true" applyAlignment="true" applyProtection="false">
      <alignment horizontal="left" vertical="bottom" textRotation="0" wrapText="false" indent="2" shrinkToFit="false"/>
      <protection locked="true" hidden="false"/>
    </xf>
    <xf numFmtId="171" fontId="0" fillId="0" borderId="2" xfId="0" applyFont="false" applyBorder="true" applyAlignment="false" applyProtection="false">
      <alignment horizontal="general" vertical="bottom" textRotation="0" wrapText="false" indent="0" shrinkToFit="false"/>
      <protection locked="true" hidden="false"/>
    </xf>
    <xf numFmtId="164" fontId="18" fillId="3" borderId="2" xfId="0" applyFont="true" applyBorder="true" applyAlignment="true" applyProtection="false">
      <alignment horizontal="center" vertical="bottom" textRotation="0" wrapText="false" indent="0" shrinkToFit="false"/>
      <protection locked="true" hidden="false"/>
    </xf>
    <xf numFmtId="164" fontId="4" fillId="10" borderId="2" xfId="0" applyFont="true" applyBorder="true" applyAlignment="false" applyProtection="false">
      <alignment horizontal="general" vertical="bottom" textRotation="0" wrapText="false" indent="0" shrinkToFit="false"/>
      <protection locked="true" hidden="false"/>
    </xf>
    <xf numFmtId="164" fontId="4" fillId="10" borderId="6" xfId="0" applyFont="true" applyBorder="true" applyAlignment="false" applyProtection="false">
      <alignment horizontal="general" vertical="bottom" textRotation="0" wrapText="false" indent="0" shrinkToFit="false"/>
      <protection locked="true" hidden="false"/>
    </xf>
    <xf numFmtId="164" fontId="4" fillId="0" borderId="2" xfId="0" applyFont="true" applyBorder="true" applyAlignment="true" applyProtection="false">
      <alignment horizontal="left" vertical="bottom" textRotation="0" wrapText="false" indent="0" shrinkToFit="false"/>
      <protection locked="true" hidden="false"/>
    </xf>
    <xf numFmtId="164" fontId="0" fillId="10" borderId="2" xfId="0" applyFont="true" applyBorder="true" applyAlignment="true" applyProtection="false">
      <alignment horizontal="left" vertical="bottom" textRotation="0" wrapText="false" indent="2" shrinkToFit="false"/>
      <protection locked="true" hidden="false"/>
    </xf>
    <xf numFmtId="164" fontId="7" fillId="10" borderId="6" xfId="0" applyFont="true" applyBorder="true" applyAlignment="false" applyProtection="false">
      <alignment horizontal="general" vertical="bottom" textRotation="0" wrapText="false" indent="0" shrinkToFit="false"/>
      <protection locked="true" hidden="false"/>
    </xf>
    <xf numFmtId="164" fontId="7" fillId="0" borderId="2" xfId="0" applyFont="true" applyBorder="true" applyAlignment="true" applyProtection="false">
      <alignment horizontal="right" vertical="bottom" textRotation="0" wrapText="false" indent="0" shrinkToFit="false"/>
      <protection locked="true" hidden="false"/>
    </xf>
    <xf numFmtId="165" fontId="7" fillId="10" borderId="2" xfId="0" applyFont="true" applyBorder="true" applyAlignment="false" applyProtection="false">
      <alignment horizontal="general" vertical="bottom" textRotation="0" wrapText="false" indent="0" shrinkToFit="false"/>
      <protection locked="true" hidden="false"/>
    </xf>
    <xf numFmtId="164" fontId="4" fillId="10" borderId="2" xfId="0" applyFont="true" applyBorder="true" applyAlignment="true" applyProtection="false">
      <alignment horizontal="left" vertical="bottom" textRotation="0" wrapText="false" indent="0" shrinkToFit="false"/>
      <protection locked="true" hidden="false"/>
    </xf>
    <xf numFmtId="164" fontId="0" fillId="10" borderId="2" xfId="0" applyFont="true" applyBorder="true" applyAlignment="true" applyProtection="false">
      <alignment horizontal="left" vertical="bottom" textRotation="0" wrapText="false" indent="0" shrinkToFit="false"/>
      <protection locked="true" hidden="false"/>
    </xf>
    <xf numFmtId="164" fontId="4" fillId="10" borderId="2" xfId="0" applyFont="true" applyBorder="true" applyAlignment="true" applyProtection="false">
      <alignment horizontal="center" vertical="bottom" textRotation="0" wrapText="false" indent="0" shrinkToFit="false"/>
      <protection locked="true" hidden="false"/>
    </xf>
    <xf numFmtId="168" fontId="4" fillId="10" borderId="2" xfId="0" applyFont="true" applyBorder="true" applyAlignment="false" applyProtection="false">
      <alignment horizontal="general" vertical="bottom" textRotation="0" wrapText="false" indent="0" shrinkToFit="false"/>
      <protection locked="true" hidden="false"/>
    </xf>
    <xf numFmtId="168" fontId="7" fillId="10" borderId="2" xfId="0" applyFont="true" applyBorder="true" applyAlignment="false" applyProtection="false">
      <alignment horizontal="general" vertical="bottom" textRotation="0" wrapText="false" indent="0" shrinkToFit="false"/>
      <protection locked="true" hidden="false"/>
    </xf>
    <xf numFmtId="164" fontId="0" fillId="10" borderId="7" xfId="0" applyFont="true" applyBorder="true" applyAlignment="true" applyProtection="false">
      <alignment horizontal="left" vertical="bottom" textRotation="0" wrapText="false" indent="2" shrinkToFit="false"/>
      <protection locked="true" hidden="false"/>
    </xf>
    <xf numFmtId="164" fontId="4" fillId="10" borderId="7" xfId="0" applyFont="true" applyBorder="true" applyAlignment="false" applyProtection="false">
      <alignment horizontal="general" vertical="bottom" textRotation="0" wrapText="false" indent="0" shrinkToFit="false"/>
      <protection locked="true" hidden="false"/>
    </xf>
    <xf numFmtId="164" fontId="4" fillId="0" borderId="7" xfId="0" applyFont="true" applyBorder="true" applyAlignment="false" applyProtection="false">
      <alignment horizontal="general" vertical="bottom" textRotation="0" wrapText="false" indent="0" shrinkToFit="false"/>
      <protection locked="true" hidden="false"/>
    </xf>
    <xf numFmtId="164" fontId="4" fillId="0" borderId="16" xfId="0" applyFont="true" applyBorder="true" applyAlignment="true" applyProtection="false">
      <alignment horizontal="center" vertical="bottom" textRotation="0" wrapText="false" indent="0" shrinkToFit="false"/>
      <protection locked="true" hidden="false"/>
    </xf>
    <xf numFmtId="173" fontId="7" fillId="2" borderId="2" xfId="0" applyFont="true" applyBorder="true" applyAlignment="false" applyProtection="false">
      <alignment horizontal="general" vertical="bottom" textRotation="0" wrapText="false" indent="0" shrinkToFit="false"/>
      <protection locked="true" hidden="false"/>
    </xf>
    <xf numFmtId="164" fontId="7" fillId="0" borderId="6" xfId="0" applyFont="true" applyBorder="true" applyAlignment="false" applyProtection="false">
      <alignment horizontal="general" vertical="bottom" textRotation="0" wrapText="false" indent="0" shrinkToFit="false"/>
      <protection locked="true" hidden="false"/>
    </xf>
    <xf numFmtId="173" fontId="7" fillId="2" borderId="18" xfId="0" applyFont="true" applyBorder="true" applyAlignment="false" applyProtection="false">
      <alignment horizontal="general" vertical="bottom" textRotation="0" wrapText="false" indent="0" shrinkToFit="false"/>
      <protection locked="true" hidden="false"/>
    </xf>
    <xf numFmtId="168" fontId="4" fillId="0" borderId="2" xfId="0" applyFont="true" applyBorder="true" applyAlignment="false" applyProtection="false">
      <alignment horizontal="general" vertical="bottom" textRotation="0" wrapText="false" indent="0" shrinkToFit="false"/>
      <protection locked="true" hidden="false"/>
    </xf>
    <xf numFmtId="164" fontId="0" fillId="0" borderId="15" xfId="0" applyFont="false" applyBorder="true" applyAlignment="true" applyProtection="false">
      <alignment horizontal="general" vertical="bottom" textRotation="0" wrapText="false" indent="0" shrinkToFit="false"/>
      <protection locked="true" hidden="false"/>
    </xf>
    <xf numFmtId="165" fontId="5" fillId="0" borderId="17" xfId="0" applyFont="true" applyBorder="true" applyAlignment="true" applyProtection="false">
      <alignment horizontal="general" vertical="bottom" textRotation="0" wrapText="false" indent="0" shrinkToFit="false"/>
      <protection locked="true" hidden="false"/>
    </xf>
    <xf numFmtId="165" fontId="5" fillId="0" borderId="2" xfId="0" applyFont="true" applyBorder="true" applyAlignment="true" applyProtection="false">
      <alignment horizontal="general" vertical="bottom" textRotation="0" wrapText="false" indent="0" shrinkToFit="false"/>
      <protection locked="true" hidden="false"/>
    </xf>
    <xf numFmtId="165" fontId="5" fillId="0" borderId="19" xfId="0" applyFont="true" applyBorder="true" applyAlignment="true" applyProtection="false">
      <alignment horizontal="general" vertical="bottom" textRotation="0" wrapText="false" indent="0" shrinkToFit="false"/>
      <protection locked="true" hidden="false"/>
    </xf>
    <xf numFmtId="173" fontId="7" fillId="3" borderId="2" xfId="0" applyFont="true" applyBorder="true" applyAlignment="false" applyProtection="false">
      <alignment horizontal="general" vertical="bottom" textRotation="0" wrapText="false" indent="0" shrinkToFit="false"/>
      <protection locked="true" hidden="false"/>
    </xf>
    <xf numFmtId="164" fontId="9" fillId="0" borderId="2" xfId="0" applyFont="true" applyBorder="true" applyAlignment="false" applyProtection="false">
      <alignment horizontal="general" vertical="bottom" textRotation="0" wrapText="false" indent="0" shrinkToFit="false"/>
      <protection locked="true" hidden="false"/>
    </xf>
    <xf numFmtId="164" fontId="7" fillId="3" borderId="18" xfId="0" applyFont="true" applyBorder="true" applyAlignment="false" applyProtection="false">
      <alignment horizontal="general" vertical="bottom" textRotation="0" wrapText="false" indent="0" shrinkToFit="false"/>
      <protection locked="true" hidden="false"/>
    </xf>
    <xf numFmtId="164" fontId="0" fillId="0" borderId="18" xfId="0" applyFont="false" applyBorder="true" applyAlignment="false" applyProtection="false">
      <alignment horizontal="general" vertical="bottom" textRotation="0" wrapText="false" indent="0" shrinkToFit="false"/>
      <protection locked="true" hidden="false"/>
    </xf>
    <xf numFmtId="168" fontId="7" fillId="3" borderId="18" xfId="0" applyFont="true" applyBorder="true" applyAlignment="false" applyProtection="false">
      <alignment horizontal="general" vertical="bottom" textRotation="0" wrapText="false" indent="0" shrinkToFit="false"/>
      <protection locked="true" hidden="false"/>
    </xf>
    <xf numFmtId="173" fontId="0" fillId="0" borderId="2" xfId="0" applyFont="false" applyBorder="true" applyAlignment="false" applyProtection="false">
      <alignment horizontal="general" vertical="bottom" textRotation="0" wrapText="false" indent="0" shrinkToFit="false"/>
      <protection locked="true" hidden="false"/>
    </xf>
    <xf numFmtId="173" fontId="7" fillId="11" borderId="2" xfId="0" applyFont="true" applyBorder="true" applyAlignment="false" applyProtection="false">
      <alignment horizontal="general" vertical="bottom" textRotation="0" wrapText="false" indent="0" shrinkToFit="false"/>
      <protection locked="true" hidden="false"/>
    </xf>
    <xf numFmtId="168" fontId="7" fillId="11" borderId="2" xfId="0" applyFont="true" applyBorder="true" applyAlignment="false" applyProtection="false">
      <alignment horizontal="general" vertical="bottom" textRotation="0" wrapText="false" indent="0" shrinkToFit="false"/>
      <protection locked="true" hidden="false"/>
    </xf>
    <xf numFmtId="165" fontId="5" fillId="0" borderId="15" xfId="0" applyFont="true" applyBorder="true" applyAlignment="true" applyProtection="false">
      <alignment horizontal="general" vertical="bottom" textRotation="0" wrapText="false" indent="0" shrinkToFit="false"/>
      <protection locked="true" hidden="false"/>
    </xf>
    <xf numFmtId="164" fontId="0" fillId="0" borderId="18" xfId="0" applyFont="false" applyBorder="true" applyAlignment="false" applyProtection="false">
      <alignment horizontal="general" vertical="bottom" textRotation="0" wrapText="false" indent="0" shrinkToFit="false"/>
      <protection locked="true" hidden="false"/>
    </xf>
    <xf numFmtId="168" fontId="7" fillId="11" borderId="18" xfId="0" applyFont="true" applyBorder="true" applyAlignment="false" applyProtection="false">
      <alignment horizontal="general" vertical="bottom" textRotation="0" wrapText="false" indent="0" shrinkToFit="false"/>
      <protection locked="true" hidden="false"/>
    </xf>
    <xf numFmtId="164" fontId="7" fillId="0" borderId="2" xfId="0" applyFont="true" applyBorder="true" applyAlignment="true" applyProtection="false">
      <alignment horizontal="center" vertical="bottom" textRotation="0" wrapText="false" indent="0" shrinkToFit="false"/>
      <protection locked="true" hidden="false"/>
    </xf>
    <xf numFmtId="164" fontId="0" fillId="0" borderId="22" xfId="0" applyFont="false" applyBorder="true" applyAlignment="true" applyProtection="false">
      <alignment horizontal="general" vertical="bottom" textRotation="0" wrapText="false" indent="0" shrinkToFit="false"/>
      <protection locked="true" hidden="false"/>
    </xf>
    <xf numFmtId="164" fontId="4" fillId="0" borderId="23" xfId="0" applyFont="true" applyBorder="true" applyAlignment="true" applyProtection="false">
      <alignment horizontal="left" vertical="bottom" textRotation="0" wrapText="false" indent="0" shrinkToFit="false"/>
      <protection locked="true" hidden="false"/>
    </xf>
    <xf numFmtId="173" fontId="7" fillId="6" borderId="2" xfId="0" applyFont="true" applyBorder="true" applyAlignment="false" applyProtection="false">
      <alignment horizontal="general" vertical="bottom" textRotation="0" wrapText="false" indent="0" shrinkToFit="false"/>
      <protection locked="true" hidden="false"/>
    </xf>
    <xf numFmtId="168" fontId="7" fillId="6" borderId="2" xfId="0" applyFont="true" applyBorder="true" applyAlignment="false" applyProtection="false">
      <alignment horizontal="general" vertical="bottom" textRotation="0" wrapText="false" indent="0" shrinkToFit="false"/>
      <protection locked="true" hidden="false"/>
    </xf>
    <xf numFmtId="164" fontId="7" fillId="6" borderId="2" xfId="0" applyFont="true" applyBorder="true" applyAlignment="false" applyProtection="false">
      <alignment horizontal="general" vertical="bottom" textRotation="0" wrapText="false" indent="0" shrinkToFit="false"/>
      <protection locked="true" hidden="false"/>
    </xf>
    <xf numFmtId="164" fontId="7" fillId="6" borderId="18" xfId="0" applyFont="true" applyBorder="true" applyAlignment="false" applyProtection="false">
      <alignment horizontal="general" vertical="bottom" textRotation="0" wrapText="false" indent="0" shrinkToFit="false"/>
      <protection locked="true" hidden="false"/>
    </xf>
    <xf numFmtId="168" fontId="7" fillId="6" borderId="18" xfId="0" applyFont="true" applyBorder="true" applyAlignment="false" applyProtection="false">
      <alignment horizontal="general" vertical="bottom" textRotation="0" wrapText="false" indent="0" shrinkToFit="false"/>
      <protection locked="true" hidden="false"/>
    </xf>
    <xf numFmtId="164" fontId="0" fillId="0" borderId="7" xfId="0" applyFont="false" applyBorder="true" applyAlignment="true" applyProtection="false">
      <alignment horizontal="left" vertical="bottom" textRotation="0" wrapText="false" indent="0" shrinkToFit="false"/>
      <protection locked="true" hidden="false"/>
    </xf>
    <xf numFmtId="164" fontId="0" fillId="0" borderId="23" xfId="0" applyFont="true" applyBorder="true" applyAlignment="true" applyProtection="false">
      <alignment horizontal="left" vertical="top" textRotation="0" wrapText="true" indent="0" shrinkToFit="false"/>
      <protection locked="true" hidden="false"/>
    </xf>
    <xf numFmtId="164" fontId="0" fillId="0" borderId="15" xfId="0" applyFont="false" applyBorder="true" applyAlignment="true" applyProtection="false">
      <alignment horizontal="general" vertical="top" textRotation="0" wrapText="true" indent="0" shrinkToFit="false"/>
      <protection locked="true" hidden="false"/>
    </xf>
    <xf numFmtId="164" fontId="4" fillId="0" borderId="2" xfId="0" applyFont="true" applyBorder="true" applyAlignment="true" applyProtection="false">
      <alignment horizontal="left" vertical="bottom" textRotation="0" wrapText="false" indent="4" shrinkToFit="false"/>
      <protection locked="true" hidden="false"/>
    </xf>
    <xf numFmtId="164" fontId="0" fillId="0" borderId="18" xfId="0" applyFont="true" applyBorder="true" applyAlignment="true" applyProtection="false">
      <alignment horizontal="left" vertical="bottom" textRotation="0" wrapText="false" indent="2" shrinkToFit="false"/>
      <protection locked="true" hidden="false"/>
    </xf>
    <xf numFmtId="164" fontId="4" fillId="0" borderId="18" xfId="0" applyFont="true" applyBorder="true" applyAlignment="false" applyProtection="false">
      <alignment horizontal="general" vertical="bottom" textRotation="0" wrapText="false" indent="0" shrinkToFit="false"/>
      <protection locked="true" hidden="false"/>
    </xf>
    <xf numFmtId="164" fontId="0" fillId="0" borderId="18" xfId="0" applyFont="false" applyBorder="true" applyAlignment="true" applyProtection="false">
      <alignment horizontal="left" vertical="bottom" textRotation="0" wrapText="false" indent="0" shrinkToFit="false"/>
      <protection locked="true" hidden="false"/>
    </xf>
    <xf numFmtId="164" fontId="4" fillId="0" borderId="22" xfId="0" applyFont="true" applyBorder="true" applyAlignment="true" applyProtection="false">
      <alignment horizontal="center" vertical="bottom" textRotation="0" wrapText="false" indent="0" shrinkToFit="false"/>
      <protection locked="true" hidden="false"/>
    </xf>
    <xf numFmtId="164" fontId="0" fillId="0" borderId="22" xfId="0" applyFont="false" applyBorder="true" applyAlignment="true" applyProtection="false">
      <alignment horizontal="left" vertical="bottom" textRotation="0" wrapText="false" indent="2" shrinkToFit="false"/>
      <protection locked="true" hidden="false"/>
    </xf>
    <xf numFmtId="165" fontId="5" fillId="0" borderId="6" xfId="0" applyFont="true" applyBorder="true" applyAlignment="true" applyProtection="false">
      <alignment horizontal="general" vertical="bottom" textRotation="0" wrapText="false" indent="0" shrinkToFit="false"/>
      <protection locked="true" hidden="false"/>
    </xf>
    <xf numFmtId="165" fontId="5" fillId="0" borderId="24" xfId="0" applyFont="true" applyBorder="true" applyAlignment="true" applyProtection="false">
      <alignment horizontal="general" vertical="bottom" textRotation="0" wrapText="false" indent="0" shrinkToFit="false"/>
      <protection locked="true" hidden="false"/>
    </xf>
    <xf numFmtId="164" fontId="4" fillId="0" borderId="7" xfId="0" applyFont="true" applyBorder="true" applyAlignment="true" applyProtection="false">
      <alignment horizontal="general" vertical="center" textRotation="0" wrapText="false" indent="0" shrinkToFit="false"/>
      <protection locked="true" hidden="false"/>
    </xf>
    <xf numFmtId="164" fontId="4" fillId="0" borderId="25" xfId="0" applyFont="true" applyBorder="true" applyAlignment="true" applyProtection="false">
      <alignment horizontal="general" vertical="center" textRotation="0" wrapText="false" indent="0" shrinkToFit="false"/>
      <protection locked="true" hidden="false"/>
    </xf>
    <xf numFmtId="164" fontId="4" fillId="0" borderId="22" xfId="0" applyFont="true" applyBorder="true" applyAlignment="true" applyProtection="false">
      <alignment horizontal="general" vertical="center" textRotation="0" wrapText="false" indent="0" shrinkToFit="false"/>
      <protection locked="true" hidden="false"/>
    </xf>
    <xf numFmtId="174" fontId="4" fillId="0" borderId="2" xfId="19" applyFont="true" applyBorder="true" applyAlignment="true" applyProtection="true">
      <alignment horizontal="general" vertical="bottom" textRotation="0" wrapText="false" indent="0" shrinkToFit="false"/>
      <protection locked="true" hidden="false"/>
    </xf>
    <xf numFmtId="165" fontId="7" fillId="0" borderId="24" xfId="0" applyFont="true" applyBorder="true" applyAlignment="false" applyProtection="false">
      <alignment horizontal="general" vertical="bottom" textRotation="0" wrapText="false" indent="0" shrinkToFit="false"/>
      <protection locked="true" hidden="false"/>
    </xf>
    <xf numFmtId="164" fontId="0" fillId="0" borderId="26" xfId="0" applyFont="true" applyBorder="true" applyAlignment="true" applyProtection="false">
      <alignment horizontal="general" vertical="bottom" textRotation="0" wrapText="false" indent="0" shrinkToFit="false"/>
      <protection locked="true" hidden="false"/>
    </xf>
    <xf numFmtId="164" fontId="0" fillId="0" borderId="27" xfId="0" applyFont="false" applyBorder="true" applyAlignment="true" applyProtection="false">
      <alignment horizontal="general" vertical="bottom" textRotation="0" wrapText="false" indent="0" shrinkToFit="false"/>
      <protection locked="true" hidden="false"/>
    </xf>
    <xf numFmtId="164" fontId="0" fillId="0" borderId="28" xfId="0" applyFont="false" applyBorder="true" applyAlignment="true" applyProtection="false">
      <alignment horizontal="general" vertical="bottom" textRotation="0" wrapText="false" indent="0" shrinkToFit="false"/>
      <protection locked="true" hidden="false"/>
    </xf>
    <xf numFmtId="170" fontId="7" fillId="0" borderId="0" xfId="15" applyFont="true" applyBorder="true" applyAlignment="true" applyProtection="true">
      <alignment horizontal="general" vertical="bottom" textRotation="0" wrapText="false" indent="0" shrinkToFit="false"/>
      <protection locked="true" hidden="false"/>
    </xf>
    <xf numFmtId="175" fontId="7" fillId="0" borderId="0" xfId="0" applyFont="true" applyBorder="false" applyAlignment="false" applyProtection="false">
      <alignment horizontal="general" vertical="bottom" textRotation="0" wrapText="false" indent="0" shrinkToFit="false"/>
      <protection locked="true" hidden="false"/>
    </xf>
    <xf numFmtId="168" fontId="7" fillId="0" borderId="0" xfId="0" applyFont="true" applyBorder="false" applyAlignment="false" applyProtection="false">
      <alignment horizontal="general" vertical="bottom" textRotation="0" wrapText="false" indent="0" shrinkToFit="false"/>
      <protection locked="true" hidden="false"/>
    </xf>
    <xf numFmtId="176" fontId="7" fillId="0" borderId="0" xfId="0" applyFont="tru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70" fontId="7" fillId="0" borderId="0" xfId="0" applyFont="true" applyBorder="false" applyAlignment="false" applyProtection="false">
      <alignment horizontal="general" vertical="bottom" textRotation="0" wrapText="false" indent="0" shrinkToFit="false"/>
      <protection locked="true" hidden="false"/>
    </xf>
    <xf numFmtId="165" fontId="7" fillId="0" borderId="0" xfId="0" applyFont="true" applyBorder="fals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8" fontId="18"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8EB4E3"/>
      <rgbColor rgb="FF993366"/>
      <rgbColor rgb="FFFFFFCC"/>
      <rgbColor rgb="FFDBEEF4"/>
      <rgbColor rgb="FF660066"/>
      <rgbColor rgb="FFFF8080"/>
      <rgbColor rgb="FF0066CC"/>
      <rgbColor rgb="FFDDD9C3"/>
      <rgbColor rgb="FF000080"/>
      <rgbColor rgb="FFFF00FF"/>
      <rgbColor rgb="FFFFFF00"/>
      <rgbColor rgb="FF00FFFF"/>
      <rgbColor rgb="FF800080"/>
      <rgbColor rgb="FF800000"/>
      <rgbColor rgb="FF008080"/>
      <rgbColor rgb="FF0000FF"/>
      <rgbColor rgb="FF00CCFF"/>
      <rgbColor rgb="FFCCFFFF"/>
      <rgbColor rgb="FFCCFFCC"/>
      <rgbColor rgb="FFFFFF99"/>
      <rgbColor rgb="FF93CDDD"/>
      <rgbColor rgb="FFFF7FE4"/>
      <rgbColor rgb="FFCC99FF"/>
      <rgbColor rgb="FFF2DCDB"/>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52.jpeg"/>
</Relationships>
</file>

<file path=xl/drawings/_rels/drawing2.xml.rels><?xml version="1.0" encoding="UTF-8"?>
<Relationships xmlns="http://schemas.openxmlformats.org/package/2006/relationships"><Relationship Id="rId1" Type="http://schemas.openxmlformats.org/officeDocument/2006/relationships/image" Target="../media/image53.wmf"/>
</Relationships>
</file>

<file path=xl/drawings/_rels/drawing3.xml.rels><?xml version="1.0" encoding="UTF-8"?>
<Relationships xmlns="http://schemas.openxmlformats.org/package/2006/relationships"><Relationship Id="rId1" Type="http://schemas.openxmlformats.org/officeDocument/2006/relationships/image" Target="../media/image54.jpeg"/>
</Relationships>
</file>

<file path=xl/drawings/_rels/drawing4.xml.rels><?xml version="1.0" encoding="UTF-8"?>
<Relationships xmlns="http://schemas.openxmlformats.org/package/2006/relationships"><Relationship Id="rId1" Type="http://schemas.openxmlformats.org/officeDocument/2006/relationships/image" Target="../media/image55.jpeg"/>
</Relationships>
</file>

<file path=xl/drawings/_rels/drawing5.xml.rels><?xml version="1.0" encoding="UTF-8"?>
<Relationships xmlns="http://schemas.openxmlformats.org/package/2006/relationships"><Relationship Id="rId1" Type="http://schemas.openxmlformats.org/officeDocument/2006/relationships/image" Target="../media/image56.jpeg"/><Relationship Id="rId2" Type="http://schemas.openxmlformats.org/officeDocument/2006/relationships/image" Target="../media/image57.jpeg"/>
</Relationships>
</file>

<file path=xl/drawings/_rels/drawing6.xml.rels><?xml version="1.0" encoding="UTF-8"?>
<Relationships xmlns="http://schemas.openxmlformats.org/package/2006/relationships"><Relationship Id="rId1" Type="http://schemas.openxmlformats.org/officeDocument/2006/relationships/image" Target="../media/image58.jpeg"/><Relationship Id="rId2" Type="http://schemas.openxmlformats.org/officeDocument/2006/relationships/image" Target="../media/image59.jpeg"/>
</Relationships>
</file>

<file path=xl/drawings/_rels/drawing7.xml.rels><?xml version="1.0" encoding="UTF-8"?>
<Relationships xmlns="http://schemas.openxmlformats.org/package/2006/relationships"><Relationship Id="rId1" Type="http://schemas.openxmlformats.org/officeDocument/2006/relationships/image" Target="../media/image60.jpeg"/><Relationship Id="rId2" Type="http://schemas.openxmlformats.org/officeDocument/2006/relationships/image" Target="../media/image61.jpeg"/>
</Relationships>
</file>

<file path=xl/drawings/_rels/drawing8.xml.rels><?xml version="1.0" encoding="UTF-8"?>
<Relationships xmlns="http://schemas.openxmlformats.org/package/2006/relationships"><Relationship Id="rId1" Type="http://schemas.openxmlformats.org/officeDocument/2006/relationships/image" Target="../media/image62.wmf"/><Relationship Id="rId2" Type="http://schemas.openxmlformats.org/officeDocument/2006/relationships/image" Target="../media/image63.wmf"/><Relationship Id="rId3" Type="http://schemas.openxmlformats.org/officeDocument/2006/relationships/image" Target="../media/image64.jpeg"/><Relationship Id="rId4" Type="http://schemas.openxmlformats.org/officeDocument/2006/relationships/image" Target="../media/image65.jpeg"/>
</Relationships>
</file>

<file path=xl/drawings/_rels/drawing9.xml.rels><?xml version="1.0" encoding="UTF-8"?>
<Relationships xmlns="http://schemas.openxmlformats.org/package/2006/relationships"><Relationship Id="rId1" Type="http://schemas.openxmlformats.org/officeDocument/2006/relationships/image" Target="../media/image66.gif"/>
</Relationships>
</file>

<file path=xl/drawings/_rels/drawing10.xml.rels><?xml version="1.0" encoding="UTF-8"?>
<Relationships xmlns="http://schemas.openxmlformats.org/package/2006/relationships"><Relationship Id="rId1" Type="http://schemas.openxmlformats.org/officeDocument/2006/relationships/image" Target="../media/image67.jpeg"/>
</Relationships>
</file>

<file path=xl/drawings/_rels/drawing11.xml.rels><?xml version="1.0" encoding="UTF-8"?>
<Relationships xmlns="http://schemas.openxmlformats.org/package/2006/relationships"><Relationship Id="rId1" Type="http://schemas.openxmlformats.org/officeDocument/2006/relationships/image" Target="../media/image68.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254160</xdr:colOff>
      <xdr:row>0</xdr:row>
      <xdr:rowOff>141480</xdr:rowOff>
    </xdr:from>
    <xdr:to>
      <xdr:col>5</xdr:col>
      <xdr:colOff>1130040</xdr:colOff>
      <xdr:row>8</xdr:row>
      <xdr:rowOff>128880</xdr:rowOff>
    </xdr:to>
    <xdr:pic>
      <xdr:nvPicPr>
        <xdr:cNvPr id="0" name="Picture 2" descr=""/>
        <xdr:cNvPicPr/>
      </xdr:nvPicPr>
      <xdr:blipFill>
        <a:blip r:embed="rId1"/>
        <a:srcRect l="28752" t="26667" r="26390" b="30184"/>
        <a:stretch/>
      </xdr:blipFill>
      <xdr:spPr>
        <a:xfrm>
          <a:off x="9026640" y="141480"/>
          <a:ext cx="2466360" cy="151884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14</xdr:col>
      <xdr:colOff>0</xdr:colOff>
      <xdr:row>5</xdr:row>
      <xdr:rowOff>0</xdr:rowOff>
    </xdr:from>
    <xdr:to>
      <xdr:col>20</xdr:col>
      <xdr:colOff>685440</xdr:colOff>
      <xdr:row>9</xdr:row>
      <xdr:rowOff>66240</xdr:rowOff>
    </xdr:to>
    <xdr:pic>
      <xdr:nvPicPr>
        <xdr:cNvPr id="1" name="Picture 4" descr=""/>
        <xdr:cNvPicPr/>
      </xdr:nvPicPr>
      <xdr:blipFill>
        <a:blip r:embed="rId1"/>
        <a:stretch/>
      </xdr:blipFill>
      <xdr:spPr>
        <a:xfrm>
          <a:off x="19506960" y="997920"/>
          <a:ext cx="7257600" cy="85896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6</xdr:col>
      <xdr:colOff>168120</xdr:colOff>
      <xdr:row>12</xdr:row>
      <xdr:rowOff>121320</xdr:rowOff>
    </xdr:from>
    <xdr:to>
      <xdr:col>10</xdr:col>
      <xdr:colOff>157680</xdr:colOff>
      <xdr:row>20</xdr:row>
      <xdr:rowOff>148320</xdr:rowOff>
    </xdr:to>
    <xdr:pic>
      <xdr:nvPicPr>
        <xdr:cNvPr id="2" name="Picture 3" descr=""/>
        <xdr:cNvPicPr/>
      </xdr:nvPicPr>
      <xdr:blipFill>
        <a:blip r:embed="rId1"/>
        <a:srcRect l="0" t="44891" r="0" b="0"/>
        <a:stretch/>
      </xdr:blipFill>
      <xdr:spPr>
        <a:xfrm>
          <a:off x="13426920" y="2513880"/>
          <a:ext cx="6018840" cy="160416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13</xdr:col>
      <xdr:colOff>237240</xdr:colOff>
      <xdr:row>5</xdr:row>
      <xdr:rowOff>0</xdr:rowOff>
    </xdr:from>
    <xdr:to>
      <xdr:col>16</xdr:col>
      <xdr:colOff>694080</xdr:colOff>
      <xdr:row>17</xdr:row>
      <xdr:rowOff>173160</xdr:rowOff>
    </xdr:to>
    <xdr:pic>
      <xdr:nvPicPr>
        <xdr:cNvPr id="3" name="Picture 1" descr=""/>
        <xdr:cNvPicPr/>
      </xdr:nvPicPr>
      <xdr:blipFill>
        <a:blip r:embed="rId1"/>
        <a:srcRect l="18775" t="9319" r="10037" b="35299"/>
        <a:stretch/>
      </xdr:blipFill>
      <xdr:spPr>
        <a:xfrm>
          <a:off x="22344480" y="997920"/>
          <a:ext cx="3742920" cy="255852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5</xdr:col>
      <xdr:colOff>42480</xdr:colOff>
      <xdr:row>10</xdr:row>
      <xdr:rowOff>105840</xdr:rowOff>
    </xdr:from>
    <xdr:to>
      <xdr:col>9</xdr:col>
      <xdr:colOff>752040</xdr:colOff>
      <xdr:row>20</xdr:row>
      <xdr:rowOff>126720</xdr:rowOff>
    </xdr:to>
    <xdr:pic>
      <xdr:nvPicPr>
        <xdr:cNvPr id="4" name="Picture 1" descr=""/>
        <xdr:cNvPicPr/>
      </xdr:nvPicPr>
      <xdr:blipFill>
        <a:blip r:embed="rId1"/>
        <a:srcRect l="0" t="44891" r="0" b="0"/>
        <a:stretch/>
      </xdr:blipFill>
      <xdr:spPr>
        <a:xfrm>
          <a:off x="12643920" y="2102040"/>
          <a:ext cx="6500880" cy="2002320"/>
        </a:xfrm>
        <a:prstGeom prst="rect">
          <a:avLst/>
        </a:prstGeom>
        <a:ln>
          <a:noFill/>
        </a:ln>
      </xdr:spPr>
    </xdr:pic>
    <xdr:clientData/>
  </xdr:twoCellAnchor>
  <xdr:twoCellAnchor editAs="oneCell">
    <xdr:from>
      <xdr:col>12</xdr:col>
      <xdr:colOff>829800</xdr:colOff>
      <xdr:row>7</xdr:row>
      <xdr:rowOff>88920</xdr:rowOff>
    </xdr:from>
    <xdr:to>
      <xdr:col>15</xdr:col>
      <xdr:colOff>1094760</xdr:colOff>
      <xdr:row>19</xdr:row>
      <xdr:rowOff>118080</xdr:rowOff>
    </xdr:to>
    <xdr:pic>
      <xdr:nvPicPr>
        <xdr:cNvPr id="5" name="Picture 2" descr=""/>
        <xdr:cNvPicPr/>
      </xdr:nvPicPr>
      <xdr:blipFill>
        <a:blip r:embed="rId2"/>
        <a:srcRect l="18775" t="9319" r="10037" b="35299"/>
        <a:stretch/>
      </xdr:blipFill>
      <xdr:spPr>
        <a:xfrm>
          <a:off x="23022720" y="1483200"/>
          <a:ext cx="3551400" cy="241416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10</xdr:col>
      <xdr:colOff>279360</xdr:colOff>
      <xdr:row>10</xdr:row>
      <xdr:rowOff>127080</xdr:rowOff>
    </xdr:from>
    <xdr:to>
      <xdr:col>13</xdr:col>
      <xdr:colOff>583920</xdr:colOff>
      <xdr:row>20</xdr:row>
      <xdr:rowOff>177480</xdr:rowOff>
    </xdr:to>
    <xdr:pic>
      <xdr:nvPicPr>
        <xdr:cNvPr id="6" name="Picture 1" descr=""/>
        <xdr:cNvPicPr/>
      </xdr:nvPicPr>
      <xdr:blipFill>
        <a:blip r:embed="rId1"/>
        <a:srcRect l="0" t="20623" r="0" b="28883"/>
        <a:stretch/>
      </xdr:blipFill>
      <xdr:spPr>
        <a:xfrm>
          <a:off x="19510200" y="2123280"/>
          <a:ext cx="4105080" cy="2031840"/>
        </a:xfrm>
        <a:prstGeom prst="rect">
          <a:avLst/>
        </a:prstGeom>
        <a:ln>
          <a:noFill/>
        </a:ln>
      </xdr:spPr>
    </xdr:pic>
    <xdr:clientData/>
  </xdr:twoCellAnchor>
  <xdr:twoCellAnchor editAs="oneCell">
    <xdr:from>
      <xdr:col>4</xdr:col>
      <xdr:colOff>385920</xdr:colOff>
      <xdr:row>11</xdr:row>
      <xdr:rowOff>8640</xdr:rowOff>
    </xdr:from>
    <xdr:to>
      <xdr:col>10</xdr:col>
      <xdr:colOff>111240</xdr:colOff>
      <xdr:row>17</xdr:row>
      <xdr:rowOff>16560</xdr:rowOff>
    </xdr:to>
    <xdr:pic>
      <xdr:nvPicPr>
        <xdr:cNvPr id="7" name="Picture 3" descr=""/>
        <xdr:cNvPicPr/>
      </xdr:nvPicPr>
      <xdr:blipFill>
        <a:blip r:embed="rId2"/>
        <a:srcRect l="64357" t="5306" r="7206" b="1901"/>
        <a:stretch/>
      </xdr:blipFill>
      <xdr:spPr>
        <a:xfrm>
          <a:off x="12015720" y="2203200"/>
          <a:ext cx="7326360" cy="119664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13</xdr:col>
      <xdr:colOff>213480</xdr:colOff>
      <xdr:row>6</xdr:row>
      <xdr:rowOff>23040</xdr:rowOff>
    </xdr:from>
    <xdr:to>
      <xdr:col>18</xdr:col>
      <xdr:colOff>337680</xdr:colOff>
      <xdr:row>22</xdr:row>
      <xdr:rowOff>48240</xdr:rowOff>
    </xdr:to>
    <xdr:pic>
      <xdr:nvPicPr>
        <xdr:cNvPr id="8" name="Picture 2" descr=""/>
        <xdr:cNvPicPr/>
      </xdr:nvPicPr>
      <xdr:blipFill>
        <a:blip r:embed="rId1"/>
        <a:srcRect l="0" t="12375" r="0" b="11168"/>
        <a:stretch/>
      </xdr:blipFill>
      <xdr:spPr>
        <a:xfrm>
          <a:off x="24292440" y="1219320"/>
          <a:ext cx="5601240" cy="3202560"/>
        </a:xfrm>
        <a:prstGeom prst="rect">
          <a:avLst/>
        </a:prstGeom>
        <a:ln>
          <a:noFill/>
        </a:ln>
      </xdr:spPr>
    </xdr:pic>
    <xdr:clientData/>
  </xdr:twoCellAnchor>
  <xdr:twoCellAnchor editAs="oneCell">
    <xdr:from>
      <xdr:col>5</xdr:col>
      <xdr:colOff>421560</xdr:colOff>
      <xdr:row>12</xdr:row>
      <xdr:rowOff>86400</xdr:rowOff>
    </xdr:from>
    <xdr:to>
      <xdr:col>10</xdr:col>
      <xdr:colOff>264960</xdr:colOff>
      <xdr:row>18</xdr:row>
      <xdr:rowOff>182520</xdr:rowOff>
    </xdr:to>
    <xdr:pic>
      <xdr:nvPicPr>
        <xdr:cNvPr id="9" name="Picture 4" descr=""/>
        <xdr:cNvPicPr/>
      </xdr:nvPicPr>
      <xdr:blipFill>
        <a:blip r:embed="rId2"/>
        <a:srcRect l="0" t="6570" r="0" b="55599"/>
        <a:stretch/>
      </xdr:blipFill>
      <xdr:spPr>
        <a:xfrm>
          <a:off x="13813560" y="2478960"/>
          <a:ext cx="6729840" cy="128484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oneCell">
    <xdr:from>
      <xdr:col>8</xdr:col>
      <xdr:colOff>778320</xdr:colOff>
      <xdr:row>7</xdr:row>
      <xdr:rowOff>0</xdr:rowOff>
    </xdr:from>
    <xdr:to>
      <xdr:col>23</xdr:col>
      <xdr:colOff>63360</xdr:colOff>
      <xdr:row>14</xdr:row>
      <xdr:rowOff>50400</xdr:rowOff>
    </xdr:to>
    <xdr:pic>
      <xdr:nvPicPr>
        <xdr:cNvPr id="10" name="Picture 1" descr=""/>
        <xdr:cNvPicPr/>
      </xdr:nvPicPr>
      <xdr:blipFill>
        <a:blip r:embed="rId1"/>
        <a:stretch/>
      </xdr:blipFill>
      <xdr:spPr>
        <a:xfrm>
          <a:off x="12931920" y="1386720"/>
          <a:ext cx="12601080" cy="1437120"/>
        </a:xfrm>
        <a:prstGeom prst="rect">
          <a:avLst/>
        </a:prstGeom>
        <a:ln>
          <a:noFill/>
        </a:ln>
      </xdr:spPr>
    </xdr:pic>
    <xdr:clientData/>
  </xdr:twoCellAnchor>
  <xdr:twoCellAnchor editAs="oneCell">
    <xdr:from>
      <xdr:col>4</xdr:col>
      <xdr:colOff>38160</xdr:colOff>
      <xdr:row>3</xdr:row>
      <xdr:rowOff>106200</xdr:rowOff>
    </xdr:from>
    <xdr:to>
      <xdr:col>9</xdr:col>
      <xdr:colOff>32040</xdr:colOff>
      <xdr:row>15</xdr:row>
      <xdr:rowOff>88560</xdr:rowOff>
    </xdr:to>
    <xdr:pic>
      <xdr:nvPicPr>
        <xdr:cNvPr id="11" name="Picture 2" descr=""/>
        <xdr:cNvPicPr/>
      </xdr:nvPicPr>
      <xdr:blipFill>
        <a:blip r:embed="rId2"/>
        <a:srcRect l="0" t="27706" r="0" b="52081"/>
        <a:stretch/>
      </xdr:blipFill>
      <xdr:spPr>
        <a:xfrm>
          <a:off x="8343720" y="700560"/>
          <a:ext cx="4804200" cy="2359800"/>
        </a:xfrm>
        <a:prstGeom prst="rect">
          <a:avLst/>
        </a:prstGeom>
        <a:ln>
          <a:noFill/>
        </a:ln>
      </xdr:spPr>
    </xdr:pic>
    <xdr:clientData/>
  </xdr:twoCellAnchor>
  <xdr:twoCellAnchor editAs="oneCell">
    <xdr:from>
      <xdr:col>2</xdr:col>
      <xdr:colOff>76320</xdr:colOff>
      <xdr:row>28</xdr:row>
      <xdr:rowOff>50760</xdr:rowOff>
    </xdr:from>
    <xdr:to>
      <xdr:col>9</xdr:col>
      <xdr:colOff>554400</xdr:colOff>
      <xdr:row>34</xdr:row>
      <xdr:rowOff>113760</xdr:rowOff>
    </xdr:to>
    <xdr:pic>
      <xdr:nvPicPr>
        <xdr:cNvPr id="12" name="Picture 27" descr=""/>
        <xdr:cNvPicPr/>
      </xdr:nvPicPr>
      <xdr:blipFill>
        <a:blip r:embed="rId3"/>
        <a:srcRect l="24028" t="43706" r="24752" b="42220"/>
        <a:stretch/>
      </xdr:blipFill>
      <xdr:spPr>
        <a:xfrm>
          <a:off x="6162480" y="5605560"/>
          <a:ext cx="7507800" cy="1251720"/>
        </a:xfrm>
        <a:prstGeom prst="rect">
          <a:avLst/>
        </a:prstGeom>
        <a:ln>
          <a:noFill/>
        </a:ln>
      </xdr:spPr>
    </xdr:pic>
    <xdr:clientData/>
  </xdr:twoCellAnchor>
  <xdr:twoCellAnchor editAs="oneCell">
    <xdr:from>
      <xdr:col>6</xdr:col>
      <xdr:colOff>510480</xdr:colOff>
      <xdr:row>72</xdr:row>
      <xdr:rowOff>127080</xdr:rowOff>
    </xdr:from>
    <xdr:to>
      <xdr:col>13</xdr:col>
      <xdr:colOff>52920</xdr:colOff>
      <xdr:row>88</xdr:row>
      <xdr:rowOff>158760</xdr:rowOff>
    </xdr:to>
    <xdr:pic>
      <xdr:nvPicPr>
        <xdr:cNvPr id="13" name="Picture 28" descr=""/>
        <xdr:cNvPicPr/>
      </xdr:nvPicPr>
      <xdr:blipFill>
        <a:blip r:embed="rId4"/>
        <a:srcRect l="0" t="20623" r="0" b="28883"/>
        <a:stretch/>
      </xdr:blipFill>
      <xdr:spPr>
        <a:xfrm>
          <a:off x="10740240" y="14406840"/>
          <a:ext cx="6019200" cy="320148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oneCell">
    <xdr:from>
      <xdr:col>6</xdr:col>
      <xdr:colOff>0</xdr:colOff>
      <xdr:row>8</xdr:row>
      <xdr:rowOff>0</xdr:rowOff>
    </xdr:from>
    <xdr:to>
      <xdr:col>11</xdr:col>
      <xdr:colOff>183960</xdr:colOff>
      <xdr:row>14</xdr:row>
      <xdr:rowOff>175320</xdr:rowOff>
    </xdr:to>
    <xdr:pic>
      <xdr:nvPicPr>
        <xdr:cNvPr id="14" name="Picture 1" descr=""/>
        <xdr:cNvPicPr/>
      </xdr:nvPicPr>
      <xdr:blipFill>
        <a:blip r:embed="rId1"/>
        <a:stretch/>
      </xdr:blipFill>
      <xdr:spPr>
        <a:xfrm>
          <a:off x="10324800" y="1584720"/>
          <a:ext cx="4565520" cy="136404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12600</xdr:rowOff>
    </xdr:from>
    <xdr:to>
      <xdr:col>11</xdr:col>
      <xdr:colOff>63000</xdr:colOff>
      <xdr:row>37</xdr:row>
      <xdr:rowOff>12240</xdr:rowOff>
    </xdr:to>
    <xdr:pic>
      <xdr:nvPicPr>
        <xdr:cNvPr id="15" name="Picture 1" descr=""/>
        <xdr:cNvPicPr/>
      </xdr:nvPicPr>
      <xdr:blipFill>
        <a:blip r:embed="rId1"/>
        <a:stretch/>
      </xdr:blipFill>
      <xdr:spPr>
        <a:xfrm>
          <a:off x="0" y="210600"/>
          <a:ext cx="12111840" cy="7131960"/>
        </a:xfrm>
        <a:prstGeom prst="rect">
          <a:avLst/>
        </a:prstGeom>
        <a:ln>
          <a:noFill/>
        </a:ln>
      </xdr:spPr>
    </xdr:pic>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88920</xdr:colOff>
      <xdr:row>1</xdr:row>
      <xdr:rowOff>25560</xdr:rowOff>
    </xdr:from>
    <xdr:to>
      <xdr:col>8</xdr:col>
      <xdr:colOff>88560</xdr:colOff>
      <xdr:row>31</xdr:row>
      <xdr:rowOff>75960</xdr:rowOff>
    </xdr:to>
    <xdr:pic>
      <xdr:nvPicPr>
        <xdr:cNvPr id="16" name="Picture 1" descr=""/>
        <xdr:cNvPicPr/>
      </xdr:nvPicPr>
      <xdr:blipFill>
        <a:blip r:embed="rId1"/>
        <a:stretch/>
      </xdr:blipFill>
      <xdr:spPr>
        <a:xfrm>
          <a:off x="88920" y="223560"/>
          <a:ext cx="9591120" cy="5994000"/>
        </a:xfrm>
        <a:prstGeom prst="rect">
          <a:avLst/>
        </a:prstGeom>
        <a:ln>
          <a:noFill/>
        </a:ln>
      </xdr:spPr>
    </xdr:pic>
    <xdr:clientData/>
  </xdr:twoCellAnchor>
</xdr:wsDr>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4.xml.rels><?xml version="1.0" encoding="UTF-8"?>
<Relationships xmlns="http://schemas.openxmlformats.org/package/2006/relationships"><Relationship Id="rId1" Type="http://schemas.openxmlformats.org/officeDocument/2006/relationships/drawing" Target="../drawings/drawing2.xml"/>
</Relationships>
</file>

<file path=xl/worksheets/_rels/sheet6.xml.rels><?xml version="1.0" encoding="UTF-8"?>
<Relationships xmlns="http://schemas.openxmlformats.org/package/2006/relationships"><Relationship Id="rId1" Type="http://schemas.openxmlformats.org/officeDocument/2006/relationships/drawing" Target="../drawings/drawing3.xml"/>
</Relationships>
</file>

<file path=xl/worksheets/_rels/sheet7.xml.rels><?xml version="1.0" encoding="UTF-8"?>
<Relationships xmlns="http://schemas.openxmlformats.org/package/2006/relationships"><Relationship Id="rId1" Type="http://schemas.openxmlformats.org/officeDocument/2006/relationships/drawing" Target="../drawings/drawing4.xml"/>
</Relationships>
</file>

<file path=xl/worksheets/_rels/sheet8.xml.rels><?xml version="1.0" encoding="UTF-8"?>
<Relationships xmlns="http://schemas.openxmlformats.org/package/2006/relationships"><Relationship Id="rId1" Type="http://schemas.openxmlformats.org/officeDocument/2006/relationships/drawing" Target="../drawings/drawing5.xml"/>
</Relationships>
</file>

<file path=xl/worksheets/_rels/sheet9.xml.rels><?xml version="1.0" encoding="UTF-8"?>
<Relationships xmlns="http://schemas.openxmlformats.org/package/2006/relationships"><Relationship Id="rId1" Type="http://schemas.openxmlformats.org/officeDocument/2006/relationships/drawing" Target="../drawings/drawing6.xml"/>
</Relationships>
</file>

<file path=xl/worksheets/_rels/sheet10.xml.rels><?xml version="1.0" encoding="UTF-8"?>
<Relationships xmlns="http://schemas.openxmlformats.org/package/2006/relationships"><Relationship Id="rId1" Type="http://schemas.openxmlformats.org/officeDocument/2006/relationships/drawing" Target="../drawings/drawing7.xml"/>
</Relationships>
</file>

<file path=xl/worksheets/_rels/sheet14.xml.rels><?xml version="1.0" encoding="UTF-8"?>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8.xml"/><Relationship Id="rId3" Type="http://schemas.openxmlformats.org/officeDocument/2006/relationships/vmlDrawing" Target="../drawings/vmlDrawing2.vml"/>
</Relationships>
</file>

<file path=xl/worksheets/_rels/sheet15.xml.rels><?xml version="1.0" encoding="UTF-8"?>
<Relationships xmlns="http://schemas.openxmlformats.org/package/2006/relationships"><Relationship Id="rId1" Type="http://schemas.openxmlformats.org/officeDocument/2006/relationships/drawing" Target="../drawings/drawing9.xml"/>
</Relationships>
</file>

<file path=xl/worksheets/_rels/sheet18.xml.rels><?xml version="1.0" encoding="UTF-8"?>
<Relationships xmlns="http://schemas.openxmlformats.org/package/2006/relationships"><Relationship Id="rId1" Type="http://schemas.openxmlformats.org/officeDocument/2006/relationships/drawing" Target="../drawings/drawing10.xml"/>
</Relationships>
</file>

<file path=xl/worksheets/_rels/sheet19.xml.rels><?xml version="1.0" encoding="UTF-8"?>
<Relationships xmlns="http://schemas.openxmlformats.org/package/2006/relationships"><Relationship Id="rId1" Type="http://schemas.openxmlformats.org/officeDocument/2006/relationships/drawing" Target="../drawings/drawing1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T91"/>
  <sheetViews>
    <sheetView windowProtection="false"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F36" activeCellId="0" sqref="F36"/>
    </sheetView>
  </sheetViews>
  <sheetFormatPr defaultRowHeight="15.6"/>
  <cols>
    <col collapsed="false" hidden="false" max="1" min="1" style="0" width="11.2703703703704"/>
    <col collapsed="false" hidden="false" max="2" min="2" style="0" width="19.4037037037037"/>
    <col collapsed="false" hidden="false" max="3" min="3" style="0" width="12.4444444444444"/>
    <col collapsed="false" hidden="false" max="4" min="4" style="0" width="13.8185185185185"/>
    <col collapsed="false" hidden="false" max="5" min="5" style="0" width="19.2074074074074"/>
    <col collapsed="false" hidden="false" max="6" min="6" style="0" width="11.2703703703704"/>
    <col collapsed="false" hidden="false" max="7" min="7" style="0" width="19.1074074074074"/>
    <col collapsed="false" hidden="false" max="8" min="8" style="0" width="19.9925925925926"/>
    <col collapsed="false" hidden="false" max="9" min="9" style="0" width="9.01481481481481"/>
    <col collapsed="false" hidden="false" max="10" min="10" style="0" width="5.58518518518519"/>
    <col collapsed="false" hidden="false" max="11" min="11" style="0" width="8.62222222222222"/>
    <col collapsed="false" hidden="false" max="12" min="12" style="0" width="19.2074074074074"/>
    <col collapsed="false" hidden="false" max="13" min="13" style="0" width="11.2703703703704"/>
    <col collapsed="false" hidden="false" max="14" min="14" style="0" width="12.5444444444444"/>
    <col collapsed="false" hidden="false" max="15" min="15" style="0" width="11.4666666666667"/>
    <col collapsed="false" hidden="false" max="16" min="16" style="0" width="9.7"/>
    <col collapsed="false" hidden="false" max="17" min="17" style="0" width="14.7962962962963"/>
    <col collapsed="false" hidden="false" max="1025" min="18" style="0" width="11.2703703703704"/>
  </cols>
  <sheetData>
    <row r="1" customFormat="false" ht="15.6" hidden="false" customHeight="false" outlineLevel="0" collapsed="false">
      <c r="A1" s="1" t="s">
        <v>0</v>
      </c>
      <c r="B1" s="1"/>
      <c r="C1" s="1"/>
      <c r="D1" s="1"/>
      <c r="E1" s="1"/>
      <c r="F1" s="1"/>
      <c r="G1" s="1"/>
    </row>
    <row r="2" customFormat="false" ht="15.6" hidden="false" customHeight="false" outlineLevel="0" collapsed="false">
      <c r="A2" s="1" t="s">
        <v>1</v>
      </c>
      <c r="B2" s="1"/>
      <c r="C2" s="1"/>
      <c r="D2" s="1"/>
      <c r="E2" s="1"/>
      <c r="F2" s="1"/>
      <c r="G2" s="1"/>
    </row>
    <row r="3" customFormat="false" ht="15" hidden="false" customHeight="true" outlineLevel="0" collapsed="false">
      <c r="A3" s="1" t="s">
        <v>2</v>
      </c>
      <c r="B3" s="1"/>
      <c r="C3" s="1"/>
      <c r="D3" s="1"/>
      <c r="E3" s="1"/>
      <c r="F3" s="1"/>
      <c r="G3" s="1"/>
      <c r="I3" s="2" t="s">
        <v>3</v>
      </c>
      <c r="J3" s="2"/>
      <c r="K3" s="2"/>
      <c r="L3" s="2"/>
      <c r="M3" s="2"/>
      <c r="N3" s="2"/>
      <c r="O3" s="2"/>
    </row>
    <row r="4" customFormat="false" ht="15.6" hidden="false" customHeight="false" outlineLevel="0" collapsed="false">
      <c r="A4" s="3"/>
      <c r="B4" s="3"/>
      <c r="C4" s="3"/>
      <c r="D4" s="3"/>
      <c r="E4" s="3"/>
      <c r="F4" s="3"/>
      <c r="G4" s="3"/>
      <c r="I4" s="2"/>
      <c r="J4" s="2"/>
      <c r="K4" s="2"/>
      <c r="L4" s="2"/>
      <c r="M4" s="2"/>
      <c r="N4" s="2"/>
      <c r="O4" s="2"/>
    </row>
    <row r="5" customFormat="false" ht="15.6" hidden="false" customHeight="false" outlineLevel="0" collapsed="false">
      <c r="A5" s="4" t="s">
        <v>4</v>
      </c>
      <c r="B5" s="5" t="s">
        <v>5</v>
      </c>
      <c r="C5" s="4" t="s">
        <v>6</v>
      </c>
      <c r="D5" s="5" t="s">
        <v>7</v>
      </c>
      <c r="E5" s="6" t="s">
        <v>8</v>
      </c>
      <c r="F5" s="6"/>
      <c r="G5" s="6"/>
      <c r="I5" s="2"/>
      <c r="J5" s="2"/>
      <c r="K5" s="2"/>
      <c r="L5" s="2"/>
      <c r="M5" s="2"/>
      <c r="N5" s="2"/>
      <c r="O5" s="2"/>
    </row>
    <row r="6" customFormat="false" ht="15.6" hidden="false" customHeight="false" outlineLevel="0" collapsed="false">
      <c r="A6" s="7" t="s">
        <v>9</v>
      </c>
      <c r="B6" s="7"/>
      <c r="C6" s="8" t="s">
        <v>10</v>
      </c>
      <c r="D6" s="9" t="s">
        <v>11</v>
      </c>
      <c r="I6" s="2"/>
      <c r="J6" s="2"/>
      <c r="K6" s="2"/>
      <c r="L6" s="2"/>
      <c r="M6" s="2"/>
      <c r="N6" s="2"/>
      <c r="O6" s="2"/>
    </row>
    <row r="7" customFormat="false" ht="15.6" hidden="false" customHeight="false" outlineLevel="0" collapsed="false">
      <c r="A7" s="7" t="s">
        <v>12</v>
      </c>
      <c r="B7" s="7"/>
      <c r="C7" s="10" t="s">
        <v>13</v>
      </c>
      <c r="I7" s="0" t="s">
        <v>14</v>
      </c>
    </row>
    <row r="8" customFormat="false" ht="15.6" hidden="false" customHeight="false" outlineLevel="0" collapsed="false">
      <c r="A8" s="11" t="s">
        <v>15</v>
      </c>
      <c r="B8" s="11"/>
      <c r="C8" s="12"/>
      <c r="I8" s="13" t="s">
        <v>16</v>
      </c>
      <c r="J8" s="13" t="s">
        <v>17</v>
      </c>
      <c r="K8" s="13" t="s">
        <v>18</v>
      </c>
      <c r="L8" s="13" t="s">
        <v>19</v>
      </c>
      <c r="M8" s="14" t="s">
        <v>20</v>
      </c>
      <c r="N8" s="14"/>
      <c r="O8" s="14"/>
    </row>
    <row r="9" customFormat="false" ht="15.65" hidden="false" customHeight="false" outlineLevel="0" collapsed="false">
      <c r="A9" s="11" t="s">
        <v>15</v>
      </c>
      <c r="B9" s="11"/>
      <c r="C9" s="12"/>
      <c r="I9" s="15" t="s">
        <v>21</v>
      </c>
      <c r="J9" s="15" t="n">
        <v>2</v>
      </c>
      <c r="K9" s="15" t="n">
        <v>400</v>
      </c>
      <c r="L9" s="15" t="n">
        <v>50</v>
      </c>
      <c r="M9" s="16" t="n">
        <v>50</v>
      </c>
      <c r="N9" s="13"/>
      <c r="O9" s="13"/>
      <c r="T9" s="17"/>
    </row>
    <row r="10" customFormat="false" ht="15.6" hidden="false" customHeight="false" outlineLevel="0" collapsed="false">
      <c r="A10" s="11"/>
      <c r="B10" s="11"/>
      <c r="C10" s="12"/>
    </row>
    <row r="11" customFormat="false" ht="16.05" hidden="false" customHeight="true" outlineLevel="0" collapsed="false">
      <c r="A11" s="11"/>
      <c r="B11" s="11"/>
      <c r="C11" s="12"/>
      <c r="N11" s="18" t="s">
        <v>22</v>
      </c>
      <c r="O11" s="18"/>
    </row>
    <row r="12" customFormat="false" ht="15.6" hidden="false" customHeight="false" outlineLevel="0" collapsed="false">
      <c r="A12" s="19" t="s">
        <v>23</v>
      </c>
      <c r="B12" s="20" t="s">
        <v>24</v>
      </c>
      <c r="C12" s="20"/>
      <c r="D12" s="20"/>
      <c r="E12" s="20"/>
      <c r="F12" s="20"/>
      <c r="G12" s="20"/>
      <c r="I12" s="21"/>
      <c r="J12" s="21"/>
      <c r="K12" s="21"/>
      <c r="L12" s="21"/>
      <c r="M12" s="21"/>
      <c r="N12" s="18"/>
      <c r="O12" s="18"/>
    </row>
    <row r="13" customFormat="false" ht="15" hidden="false" customHeight="true" outlineLevel="0" collapsed="false">
      <c r="A13" s="19"/>
      <c r="B13" s="22" t="s">
        <v>25</v>
      </c>
      <c r="C13" s="20" t="s">
        <v>26</v>
      </c>
      <c r="D13" s="20"/>
      <c r="E13" s="20"/>
      <c r="F13" s="20"/>
      <c r="G13" s="23" t="s">
        <v>27</v>
      </c>
      <c r="I13" s="21"/>
      <c r="J13" s="21"/>
      <c r="K13" s="21"/>
      <c r="L13" s="21"/>
      <c r="M13" s="21"/>
      <c r="N13" s="18"/>
      <c r="O13" s="18"/>
    </row>
    <row r="14" customFormat="false" ht="15.6" hidden="false" customHeight="false" outlineLevel="0" collapsed="false">
      <c r="A14" s="19"/>
      <c r="B14" s="24" t="n">
        <f aca="false">Naxes</f>
        <v>3</v>
      </c>
      <c r="C14" s="20" t="s">
        <v>28</v>
      </c>
      <c r="D14" s="20"/>
      <c r="E14" s="20"/>
      <c r="F14" s="20" t="s">
        <v>29</v>
      </c>
      <c r="G14" s="23"/>
      <c r="I14" s="21"/>
      <c r="J14" s="21"/>
      <c r="K14" s="21"/>
      <c r="L14" s="21"/>
      <c r="M14" s="21"/>
      <c r="N14" s="18"/>
      <c r="O14" s="18"/>
    </row>
    <row r="15" customFormat="false" ht="15.6" hidden="false" customHeight="false" outlineLevel="0" collapsed="false">
      <c r="A15" s="19"/>
      <c r="B15" s="25"/>
      <c r="C15" s="23" t="s">
        <v>30</v>
      </c>
      <c r="D15" s="23" t="s">
        <v>31</v>
      </c>
      <c r="E15" s="23" t="s">
        <v>32</v>
      </c>
      <c r="F15" s="20" t="s">
        <v>30</v>
      </c>
      <c r="G15" s="20" t="s">
        <v>30</v>
      </c>
      <c r="I15" s="21"/>
      <c r="J15" s="21"/>
      <c r="K15" s="21"/>
      <c r="L15" s="21"/>
      <c r="M15" s="21"/>
    </row>
    <row r="16" customFormat="false" ht="15.6" hidden="false" customHeight="false" outlineLevel="0" collapsed="false">
      <c r="A16" s="19"/>
      <c r="B16" s="22" t="s">
        <v>33</v>
      </c>
      <c r="C16" s="26" t="n">
        <f aca="false">(C26*$A$27+C33*$A$34+C40*$A$41+C47*$A$48+C54*$A$55+C61*$A$62+C68*$A$69+C75*$A$76+C82*$A$83+C89*$A$90)</f>
        <v>0.15996740374559</v>
      </c>
      <c r="D16" s="26" t="n">
        <f aca="false">SQRT((C26*$A$27)^2+(C33*$A$34)^2+(C40*$A$41)^2+(C47*$A$48)^2+(C54*$A$55)^2+(C61*$A$62)^2+(C68*$A$69)^2+(C75*$A$76)^2+(C82*$A$83)^2+(C89*$A$90)^2)</f>
        <v>0.094397443042178</v>
      </c>
      <c r="E16" s="26" t="n">
        <f aca="false">(C16+D16)/2</f>
        <v>0.127182423393884</v>
      </c>
      <c r="F16" s="26" t="n">
        <f aca="false">(D26*$A$27+D33*$A$34+D40*$A$41+D47*$A$48+D54*$A$55+D61*$A$62+D68*$A$69+D75*$A$76+D82*$A$83+D89*$A$90)</f>
        <v>0</v>
      </c>
      <c r="G16" s="26" t="n">
        <f aca="false">(E26*$A$27+E33*$A$34+E40*$A$41+E47*$A$48+E54*$A$55+E61*$A$62+E68*$A$69+E75*$A$76+E82*$A$83+E89*$A$90)</f>
        <v>0.00169442631778358</v>
      </c>
      <c r="H16" s="27"/>
      <c r="I16" s="21"/>
      <c r="J16" s="21"/>
      <c r="K16" s="21"/>
      <c r="L16" s="21"/>
      <c r="M16" s="21"/>
    </row>
    <row r="17" customFormat="false" ht="15.6" hidden="false" customHeight="false" outlineLevel="0" collapsed="false">
      <c r="A17" s="19"/>
      <c r="B17" s="22" t="s">
        <v>34</v>
      </c>
      <c r="C17" s="26" t="n">
        <f aca="false">(C27*$A$27+C34*$A$34+C41*$A$41+C48*$A$48+C55*$A$55+C62*$A$62+C69*$A$69+C76*$A$76+C83*$A$83+C90*$A$90)</f>
        <v>0.0760435373988543</v>
      </c>
      <c r="D17" s="26" t="n">
        <f aca="false">SQRT((C27*$A$27)^2+(C34*$A$34)^2+(C41*$A$41)^2+(C48*$A$48)^2+(C55*$A$55)^2+(C62*$A$62)^2+(C69*$A$69)^2+(C76*$A$76)^2+(C83*$A$83)^2+(C90*$A$90)^2)</f>
        <v>0.0516427405429339</v>
      </c>
      <c r="E17" s="26" t="n">
        <f aca="false">(C17+D17)/2</f>
        <v>0.0638431389708941</v>
      </c>
      <c r="F17" s="26" t="n">
        <f aca="false">(D27*$A$27+D34*$A$34+D41*$A$41+D48*$A$48+D55*$A$55+D62*$A$62+D69*$A$69+D76*$A$76+D83*$A$83+D90*$A$90)</f>
        <v>0</v>
      </c>
      <c r="G17" s="26" t="n">
        <f aca="false">(E27*$A$27+E34*$A$34+E41*$A$41+E48*$A$48+E55*$A$55+E62*$A$62+E69*$A$69+E76*$A$76+E83*$A$83+E90*$A$90)</f>
        <v>0.812082453599069</v>
      </c>
      <c r="H17" s="27"/>
      <c r="I17" s="21"/>
      <c r="J17" s="21"/>
      <c r="K17" s="21"/>
      <c r="L17" s="21"/>
      <c r="M17" s="21"/>
    </row>
    <row r="18" customFormat="false" ht="15.6" hidden="false" customHeight="false" outlineLevel="0" collapsed="false">
      <c r="A18" s="19"/>
      <c r="B18" s="22" t="s">
        <v>35</v>
      </c>
      <c r="C18" s="26" t="n">
        <f aca="false">(C28*$A$27+C35*$A$34+C42*$A$41+C49*$A$48+C56*$A$55+C63*$A$62+C70*$A$69+C77*$A$76+C84*$A$83+C91*$A$90)</f>
        <v>0.107012576413173</v>
      </c>
      <c r="D18" s="26" t="n">
        <f aca="false">SQRT((C28*$A$27)^2+(C35*$A$34)^2+(C42*$A$41)^2+(C49*$A$48)^2+(C56*$A$55)^2+(C63*$A$62)^2+(C70*$A$69)^2+(C77*$A$76)^2+(C84*$A$83)^2+(C91*$A$90)^2)</f>
        <v>0.0627510358830307</v>
      </c>
      <c r="E18" s="26" t="n">
        <f aca="false">(C18+D18)/2</f>
        <v>0.0848818061481017</v>
      </c>
      <c r="F18" s="26" t="n">
        <f aca="false">(D28*$A$27+D35*$A$34+D42*$A$41+D49*$A$48+D56*$A$55+D63*$A$62+D70*$A$69+D77*$A$76+D84*$A$83+D91*$A$90)</f>
        <v>0</v>
      </c>
      <c r="G18" s="26" t="n">
        <f aca="false">(E28*$A$27+E35*$A$34+E42*$A$41+E49*$A$48+E56*$A$55+E63*$A$62+E70*$A$69+E77*$A$76+E84*$A$83+E91*$A$90)</f>
        <v>-3.04817320002511</v>
      </c>
      <c r="H18" s="27"/>
      <c r="I18" s="21"/>
      <c r="J18" s="21"/>
      <c r="K18" s="21"/>
      <c r="L18" s="21"/>
      <c r="M18" s="21"/>
    </row>
    <row r="19" customFormat="false" ht="16.2" hidden="false" customHeight="false" outlineLevel="0" collapsed="false">
      <c r="A19" s="19"/>
      <c r="B19" s="22" t="s">
        <v>36</v>
      </c>
      <c r="C19" s="26" t="n">
        <f aca="false">SQRT(C16^2+C17^2+C18^2)</f>
        <v>0.20693931804232</v>
      </c>
      <c r="D19" s="26" t="n">
        <f aca="false">SQRT(D16^2+D17^2+D18^2)</f>
        <v>0.124561400153015</v>
      </c>
      <c r="E19" s="26" t="n">
        <f aca="false">SQRT(E16^2+E17^2+E18^2)</f>
        <v>0.16569923424374</v>
      </c>
      <c r="F19" s="26" t="n">
        <f aca="false">SQRT(F16^2+F17^2+F18^2)</f>
        <v>0</v>
      </c>
      <c r="G19" s="26" t="n">
        <f aca="false">SQRT(G16^2+G17^2+G18^2)</f>
        <v>3.15449530668146</v>
      </c>
      <c r="H19" s="27"/>
      <c r="I19" s="21"/>
      <c r="J19" s="21"/>
      <c r="K19" s="21"/>
      <c r="L19" s="21"/>
      <c r="M19" s="28"/>
    </row>
    <row r="20" customFormat="false" ht="15.6" hidden="false" customHeight="false" outlineLevel="0" collapsed="false">
      <c r="A20" s="17"/>
      <c r="H20" s="27"/>
    </row>
    <row r="21" customFormat="false" ht="15.6" hidden="false" customHeight="false" outlineLevel="0" collapsed="false">
      <c r="C21" s="9"/>
      <c r="D21" s="9"/>
    </row>
    <row r="22" customFormat="false" ht="15.6" hidden="false" customHeight="false" outlineLevel="0" collapsed="false">
      <c r="C22" s="9"/>
      <c r="D22" s="9"/>
    </row>
    <row r="23" customFormat="false" ht="15.6" hidden="false" customHeight="false" outlineLevel="0" collapsed="false">
      <c r="A23" s="3" t="s">
        <v>17</v>
      </c>
      <c r="B23" s="10" t="str">
        <f aca="false">'CSs and Loads'!A22</f>
        <v>desk vertical motion carriage/table</v>
      </c>
      <c r="C23" s="1" t="s">
        <v>37</v>
      </c>
      <c r="D23" s="1"/>
      <c r="E23" s="29" t="s">
        <v>27</v>
      </c>
    </row>
    <row r="24" customFormat="false" ht="15.6" hidden="false" customHeight="false" outlineLevel="0" collapsed="false">
      <c r="A24" s="10" t="n">
        <v>1</v>
      </c>
      <c r="C24" s="17" t="s">
        <v>28</v>
      </c>
      <c r="D24" s="17" t="s">
        <v>29</v>
      </c>
      <c r="E24" s="29"/>
      <c r="F24" s="11" t="s">
        <v>38</v>
      </c>
      <c r="K24" s="11" t="s">
        <v>39</v>
      </c>
      <c r="P24" s="11" t="s">
        <v>40</v>
      </c>
    </row>
    <row r="25" customFormat="false" ht="15.6" hidden="false" customHeight="false" outlineLevel="0" collapsed="false">
      <c r="A25" s="3" t="s">
        <v>41</v>
      </c>
      <c r="C25" s="30" t="s">
        <v>32</v>
      </c>
      <c r="D25" s="17" t="s">
        <v>30</v>
      </c>
      <c r="E25" s="17" t="s">
        <v>30</v>
      </c>
      <c r="G25" s="0" t="s">
        <v>42</v>
      </c>
      <c r="H25" s="31" t="s">
        <v>43</v>
      </c>
      <c r="I25" s="17" t="s">
        <v>44</v>
      </c>
      <c r="J25" s="17" t="s">
        <v>45</v>
      </c>
      <c r="L25" s="0" t="s">
        <v>42</v>
      </c>
      <c r="M25" s="31" t="s">
        <v>43</v>
      </c>
      <c r="N25" s="17" t="s">
        <v>44</v>
      </c>
      <c r="O25" s="17" t="s">
        <v>45</v>
      </c>
      <c r="Q25" s="0" t="s">
        <v>42</v>
      </c>
      <c r="R25" s="31" t="s">
        <v>43</v>
      </c>
      <c r="S25" s="17" t="s">
        <v>44</v>
      </c>
      <c r="T25" s="17" t="s">
        <v>45</v>
      </c>
    </row>
    <row r="26" customFormat="false" ht="15.6" hidden="false" customHeight="false" outlineLevel="0" collapsed="false">
      <c r="A26" s="10" t="str">
        <f aca="false">IF('CSs and Loads'!A17=1,"yes","no")</f>
        <v>yes</v>
      </c>
      <c r="B26" s="32" t="s">
        <v>33</v>
      </c>
      <c r="C26" s="33" t="n">
        <f aca="false">((G26+H26+I26+J26)+SQRT(G26^2+H26^2+I26^2+J26^2))/2</f>
        <v>0.0692602741046682</v>
      </c>
      <c r="D26" s="34" t="n">
        <f aca="false">L26+M26+N26+O26</f>
        <v>0</v>
      </c>
      <c r="E26" s="34" t="n">
        <f aca="false">Q26+R26+S26+T26</f>
        <v>0</v>
      </c>
      <c r="F26" s="32" t="s">
        <v>33</v>
      </c>
      <c r="G26" s="35" t="n">
        <f aca="false">'CSs and Loads'!T15</f>
        <v>0.005</v>
      </c>
      <c r="H26" s="35" t="n">
        <f aca="false">'CSs and Loads'!U15</f>
        <v>0</v>
      </c>
      <c r="I26" s="35" t="n">
        <f aca="false">'CSs and Loads'!V15</f>
        <v>0</v>
      </c>
      <c r="J26" s="35" t="n">
        <f aca="false">'CSs and Loads'!W15</f>
        <v>0.0666666555555562</v>
      </c>
      <c r="K26" s="32" t="s">
        <v>33</v>
      </c>
      <c r="L26" s="35" t="n">
        <f aca="false">'CSs and Loads'!T22</f>
        <v>0</v>
      </c>
      <c r="M26" s="35" t="n">
        <f aca="false">'CSs and Loads'!U22</f>
        <v>0</v>
      </c>
      <c r="N26" s="35" t="n">
        <f aca="false">'CSs and Loads'!V22</f>
        <v>0</v>
      </c>
      <c r="O26" s="35" t="n">
        <f aca="false">'CSs and Loads'!W22</f>
        <v>0</v>
      </c>
      <c r="P26" s="32" t="s">
        <v>33</v>
      </c>
      <c r="Q26" s="35" t="n">
        <f aca="false">'CSs and Loads'!Y22</f>
        <v>0</v>
      </c>
      <c r="R26" s="35" t="n">
        <f aca="false">'CSs and Loads'!Z22</f>
        <v>0</v>
      </c>
      <c r="S26" s="35" t="n">
        <f aca="false">'CSs and Loads'!AA22</f>
        <v>0</v>
      </c>
      <c r="T26" s="35" t="n">
        <f aca="false">'CSs and Loads'!AB22</f>
        <v>0</v>
      </c>
    </row>
    <row r="27" customFormat="false" ht="15.6" hidden="false" customHeight="false" outlineLevel="0" collapsed="false">
      <c r="A27" s="10" t="n">
        <f aca="false">'CSs and Loads'!A17</f>
        <v>1</v>
      </c>
      <c r="B27" s="32" t="s">
        <v>34</v>
      </c>
      <c r="C27" s="33" t="n">
        <f aca="false">((G27+H27+I27+J27)+SQRT(G27^2+H27^2+I27^2+J27^2))/2</f>
        <v>0.00502506944138734</v>
      </c>
      <c r="D27" s="34" t="n">
        <f aca="false">L27+M27+N27+O27</f>
        <v>0</v>
      </c>
      <c r="E27" s="34" t="n">
        <f aca="false">Q27+R27+S27+T27</f>
        <v>0.000372717970771468</v>
      </c>
      <c r="F27" s="32" t="s">
        <v>34</v>
      </c>
      <c r="G27" s="35" t="n">
        <f aca="false">'CSs and Loads'!T16</f>
        <v>0.005</v>
      </c>
      <c r="H27" s="35" t="n">
        <f aca="false">'CSs and Loads'!U16</f>
        <v>1.66666652792931E-005</v>
      </c>
      <c r="I27" s="35" t="n">
        <f aca="false">'CSs and Loads'!V16</f>
        <v>0</v>
      </c>
      <c r="J27" s="35" t="n">
        <f aca="false">'CSs and Loads'!W16</f>
        <v>3.33333305585863E-005</v>
      </c>
      <c r="K27" s="32" t="s">
        <v>34</v>
      </c>
      <c r="L27" s="35" t="n">
        <f aca="false">'CSs and Loads'!T23</f>
        <v>0</v>
      </c>
      <c r="M27" s="35" t="n">
        <f aca="false">'CSs and Loads'!U23</f>
        <v>0</v>
      </c>
      <c r="N27" s="35" t="n">
        <f aca="false">'CSs and Loads'!V23</f>
        <v>0</v>
      </c>
      <c r="O27" s="35" t="n">
        <f aca="false">'CSs and Loads'!W23</f>
        <v>0</v>
      </c>
      <c r="P27" s="32" t="s">
        <v>34</v>
      </c>
      <c r="Q27" s="35" t="n">
        <f aca="false">'CSs and Loads'!Y23</f>
        <v>0</v>
      </c>
      <c r="R27" s="35" t="n">
        <f aca="false">'CSs and Loads'!Z23</f>
        <v>0.000372717970771468</v>
      </c>
      <c r="S27" s="35" t="n">
        <f aca="false">'CSs and Loads'!AA23</f>
        <v>0</v>
      </c>
      <c r="T27" s="35" t="n">
        <f aca="false">'CSs and Loads'!AB23</f>
        <v>0</v>
      </c>
    </row>
    <row r="28" s="36" customFormat="true" ht="16.2" hidden="false" customHeight="false" outlineLevel="0" collapsed="false">
      <c r="B28" s="37" t="s">
        <v>35</v>
      </c>
      <c r="C28" s="38" t="n">
        <f aca="false">((G28+H28+I28+J28)+SQRT(G28^2+H28^2+I28^2+J28^2))/2</f>
        <v>0.0360197848219743</v>
      </c>
      <c r="D28" s="39" t="n">
        <f aca="false">L28+M28+N28+O28</f>
        <v>0</v>
      </c>
      <c r="E28" s="39" t="n">
        <f aca="false">Q28+R28+S28+T28</f>
        <v>-1.77182036561957</v>
      </c>
      <c r="F28" s="37" t="s">
        <v>35</v>
      </c>
      <c r="G28" s="40" t="n">
        <f aca="false">'CSs and Loads'!T17</f>
        <v>0.005</v>
      </c>
      <c r="H28" s="40" t="n">
        <f aca="false">'CSs and Loads'!U17</f>
        <v>0.0333333277777781</v>
      </c>
      <c r="I28" s="40" t="n">
        <f aca="false">'CSs and Loads'!V17</f>
        <v>0</v>
      </c>
      <c r="J28" s="40" t="n">
        <f aca="false">'CSs and Loads'!W17</f>
        <v>0</v>
      </c>
      <c r="K28" s="37" t="s">
        <v>35</v>
      </c>
      <c r="L28" s="40" t="n">
        <f aca="false">'CSs and Loads'!T24</f>
        <v>0</v>
      </c>
      <c r="M28" s="40" t="n">
        <f aca="false">'CSs and Loads'!U24</f>
        <v>0</v>
      </c>
      <c r="N28" s="40" t="n">
        <f aca="false">'CSs and Loads'!V24</f>
        <v>0</v>
      </c>
      <c r="O28" s="40" t="n">
        <f aca="false">'CSs and Loads'!W24</f>
        <v>0</v>
      </c>
      <c r="P28" s="37" t="s">
        <v>35</v>
      </c>
      <c r="Q28" s="40" t="n">
        <f aca="false">'CSs and Loads'!Y24</f>
        <v>-1.02638448626407</v>
      </c>
      <c r="R28" s="40" t="n">
        <f aca="false">'CSs and Loads'!Z24</f>
        <v>-0.745435879355499</v>
      </c>
      <c r="S28" s="40" t="n">
        <f aca="false">'CSs and Loads'!AA24</f>
        <v>0</v>
      </c>
      <c r="T28" s="40" t="n">
        <f aca="false">'CSs and Loads'!AB24</f>
        <v>0</v>
      </c>
    </row>
    <row r="29" customFormat="false" ht="15.6" hidden="false" customHeight="false" outlineLevel="0" collapsed="false">
      <c r="B29" s="41"/>
      <c r="C29" s="42"/>
      <c r="D29" s="42"/>
      <c r="F29" s="41"/>
      <c r="K29" s="41"/>
      <c r="P29" s="41"/>
    </row>
    <row r="30" customFormat="false" ht="15.6" hidden="false" customHeight="false" outlineLevel="0" collapsed="false">
      <c r="A30" s="3" t="s">
        <v>17</v>
      </c>
      <c r="B30" s="43" t="str">
        <f aca="false">'CSs and Loads'!A55</f>
        <v>vertical column</v>
      </c>
      <c r="C30" s="1" t="s">
        <v>37</v>
      </c>
      <c r="D30" s="1"/>
      <c r="E30" s="29" t="s">
        <v>27</v>
      </c>
    </row>
    <row r="31" customFormat="false" ht="15.6" hidden="false" customHeight="false" outlineLevel="0" collapsed="false">
      <c r="A31" s="10" t="n">
        <f aca="false">A24+1</f>
        <v>2</v>
      </c>
      <c r="C31" s="17" t="s">
        <v>28</v>
      </c>
      <c r="D31" s="17" t="s">
        <v>29</v>
      </c>
      <c r="E31" s="29"/>
      <c r="F31" s="11" t="s">
        <v>38</v>
      </c>
      <c r="K31" s="11" t="s">
        <v>39</v>
      </c>
      <c r="P31" s="11" t="s">
        <v>40</v>
      </c>
    </row>
    <row r="32" customFormat="false" ht="15.6" hidden="false" customHeight="false" outlineLevel="0" collapsed="false">
      <c r="A32" s="3" t="s">
        <v>41</v>
      </c>
      <c r="C32" s="30" t="s">
        <v>32</v>
      </c>
      <c r="D32" s="17" t="s">
        <v>30</v>
      </c>
      <c r="E32" s="17" t="s">
        <v>30</v>
      </c>
      <c r="G32" s="0" t="s">
        <v>42</v>
      </c>
      <c r="H32" s="31" t="s">
        <v>43</v>
      </c>
      <c r="I32" s="17" t="s">
        <v>44</v>
      </c>
      <c r="J32" s="17" t="s">
        <v>45</v>
      </c>
      <c r="L32" s="0" t="s">
        <v>42</v>
      </c>
      <c r="M32" s="31" t="s">
        <v>43</v>
      </c>
      <c r="N32" s="17" t="s">
        <v>44</v>
      </c>
      <c r="O32" s="17" t="s">
        <v>45</v>
      </c>
      <c r="Q32" s="0" t="s">
        <v>42</v>
      </c>
      <c r="R32" s="31" t="s">
        <v>43</v>
      </c>
      <c r="S32" s="17" t="s">
        <v>44</v>
      </c>
      <c r="T32" s="17" t="s">
        <v>45</v>
      </c>
    </row>
    <row r="33" customFormat="false" ht="15.6" hidden="false" customHeight="false" outlineLevel="0" collapsed="false">
      <c r="A33" s="10" t="str">
        <f aca="false">IF('CSs and Loads'!A50=1,"yes","no")</f>
        <v>yes</v>
      </c>
      <c r="B33" s="32" t="s">
        <v>33</v>
      </c>
      <c r="C33" s="33" t="n">
        <f aca="false">((G33+H33+I33+J33)+SQRT(G33^2+H33^2+I33^2+J33^2))/2</f>
        <v>0.0453535639874407</v>
      </c>
      <c r="D33" s="34" t="n">
        <f aca="false">L33+M33+N33+O33</f>
        <v>0</v>
      </c>
      <c r="E33" s="34" t="n">
        <f aca="false">Q33+R33+S33+T33</f>
        <v>0</v>
      </c>
      <c r="F33" s="32" t="s">
        <v>33</v>
      </c>
      <c r="G33" s="35" t="n">
        <f aca="false">'CSs and Loads'!T48</f>
        <v>0.005</v>
      </c>
      <c r="H33" s="35" t="n">
        <f aca="false">'CSs and Loads'!U48</f>
        <v>0</v>
      </c>
      <c r="I33" s="35" t="n">
        <f aca="false">'CSs and Loads'!V48</f>
        <v>0.0249999958333336</v>
      </c>
      <c r="J33" s="35" t="n">
        <f aca="false">'CSs and Loads'!W48</f>
        <v>0.0249999958333336</v>
      </c>
      <c r="K33" s="32" t="s">
        <v>33</v>
      </c>
      <c r="L33" s="35" t="n">
        <f aca="false">'CSs and Loads'!T55</f>
        <v>0</v>
      </c>
      <c r="M33" s="35" t="n">
        <f aca="false">'CSs and Loads'!U55</f>
        <v>0</v>
      </c>
      <c r="N33" s="35" t="n">
        <f aca="false">'CSs and Loads'!V55</f>
        <v>0</v>
      </c>
      <c r="O33" s="35" t="n">
        <f aca="false">'CSs and Loads'!W55</f>
        <v>0</v>
      </c>
      <c r="P33" s="32" t="s">
        <v>33</v>
      </c>
      <c r="Q33" s="35" t="n">
        <f aca="false">'CSs and Loads'!Y55</f>
        <v>0</v>
      </c>
      <c r="R33" s="35" t="n">
        <f aca="false">'CSs and Loads'!Z55</f>
        <v>0</v>
      </c>
      <c r="S33" s="35" t="n">
        <f aca="false">'CSs and Loads'!AA55</f>
        <v>0</v>
      </c>
      <c r="T33" s="35" t="n">
        <f aca="false">'CSs and Loads'!AB55</f>
        <v>0</v>
      </c>
    </row>
    <row r="34" customFormat="false" ht="15.6" hidden="false" customHeight="false" outlineLevel="0" collapsed="false">
      <c r="A34" s="10" t="n">
        <f aca="false">'CSs and Loads'!A50</f>
        <v>1</v>
      </c>
      <c r="B34" s="32" t="s">
        <v>34</v>
      </c>
      <c r="C34" s="33" t="n">
        <f aca="false">((G34+H34+I34+J34)+SQRT(G34^2+H34^2+I34^2+J34^2))/2</f>
        <v>0.0277661747518792</v>
      </c>
      <c r="D34" s="34" t="n">
        <f aca="false">L34+M34+N34+O34</f>
        <v>0</v>
      </c>
      <c r="E34" s="34" t="n">
        <f aca="false">Q34+R34+S34+T34</f>
        <v>0.809844578407276</v>
      </c>
      <c r="F34" s="32" t="s">
        <v>34</v>
      </c>
      <c r="G34" s="35" t="n">
        <f aca="false">'CSs and Loads'!T49</f>
        <v>0.005</v>
      </c>
      <c r="H34" s="35" t="n">
        <f aca="false">'CSs and Loads'!U49</f>
        <v>0.0250124957072318</v>
      </c>
      <c r="I34" s="35" t="n">
        <f aca="false">'CSs and Loads'!V49</f>
        <v>0</v>
      </c>
      <c r="J34" s="35" t="n">
        <f aca="false">'CSs and Loads'!W49</f>
        <v>1.24999989594699E-005</v>
      </c>
      <c r="K34" s="32" t="s">
        <v>34</v>
      </c>
      <c r="L34" s="35" t="n">
        <f aca="false">'CSs and Loads'!T56</f>
        <v>0</v>
      </c>
      <c r="M34" s="35" t="n">
        <f aca="false">'CSs and Loads'!U56</f>
        <v>0</v>
      </c>
      <c r="N34" s="35" t="n">
        <f aca="false">'CSs and Loads'!V56</f>
        <v>0</v>
      </c>
      <c r="O34" s="35" t="n">
        <f aca="false">'CSs and Loads'!W56</f>
        <v>0</v>
      </c>
      <c r="P34" s="32" t="s">
        <v>34</v>
      </c>
      <c r="Q34" s="35" t="n">
        <f aca="false">'CSs and Loads'!Y56</f>
        <v>-0.190956023435744</v>
      </c>
      <c r="R34" s="35" t="n">
        <f aca="false">'CSs and Loads'!Z56</f>
        <v>1.00080060184302</v>
      </c>
      <c r="S34" s="35" t="n">
        <f aca="false">'CSs and Loads'!AA56</f>
        <v>0</v>
      </c>
      <c r="T34" s="35" t="n">
        <f aca="false">'CSs and Loads'!AB56</f>
        <v>0</v>
      </c>
    </row>
    <row r="35" s="36" customFormat="true" ht="16.2" hidden="false" customHeight="false" outlineLevel="0" collapsed="false">
      <c r="B35" s="37" t="s">
        <v>35</v>
      </c>
      <c r="C35" s="38" t="n">
        <f aca="false">((G35+H35+I35+J35)+SQRT(G35^2+H35^2+I35^2+J35^2))/2</f>
        <v>0.0277414174972285</v>
      </c>
      <c r="D35" s="39" t="n">
        <f aca="false">L35+M35+N35+O35</f>
        <v>0</v>
      </c>
      <c r="E35" s="39" t="n">
        <f aca="false">Q35+R35+S35+T35</f>
        <v>-1.00077104001011</v>
      </c>
      <c r="F35" s="37" t="s">
        <v>35</v>
      </c>
      <c r="G35" s="40" t="n">
        <f aca="false">'CSs and Loads'!T50</f>
        <v>0.005</v>
      </c>
      <c r="H35" s="40" t="n">
        <f aca="false">'CSs and Loads'!U50</f>
        <v>0.0249874957094378</v>
      </c>
      <c r="I35" s="40" t="n">
        <f aca="false">'CSs and Loads'!V50</f>
        <v>1.24999989594699E-005</v>
      </c>
      <c r="J35" s="40" t="n">
        <f aca="false">'CSs and Loads'!W50</f>
        <v>0</v>
      </c>
      <c r="K35" s="37" t="s">
        <v>35</v>
      </c>
      <c r="L35" s="40" t="n">
        <f aca="false">'CSs and Loads'!T57</f>
        <v>0</v>
      </c>
      <c r="M35" s="40" t="n">
        <f aca="false">'CSs and Loads'!U57</f>
        <v>0</v>
      </c>
      <c r="N35" s="40" t="n">
        <f aca="false">'CSs and Loads'!V57</f>
        <v>0</v>
      </c>
      <c r="O35" s="40" t="n">
        <f aca="false">'CSs and Loads'!W57</f>
        <v>0</v>
      </c>
      <c r="P35" s="37" t="s">
        <v>35</v>
      </c>
      <c r="Q35" s="40" t="n">
        <f aca="false">'CSs and Loads'!Y57</f>
        <v>-0.000970738702116751</v>
      </c>
      <c r="R35" s="40" t="n">
        <f aca="false">'CSs and Loads'!Z57</f>
        <v>-0.999800301307996</v>
      </c>
      <c r="S35" s="40" t="n">
        <f aca="false">'CSs and Loads'!AA57</f>
        <v>0</v>
      </c>
      <c r="T35" s="40" t="n">
        <f aca="false">'CSs and Loads'!AB57</f>
        <v>0</v>
      </c>
    </row>
    <row r="37" customFormat="false" ht="15.6" hidden="false" customHeight="false" outlineLevel="0" collapsed="false">
      <c r="A37" s="3" t="s">
        <v>17</v>
      </c>
      <c r="B37" s="43" t="str">
        <f aca="false">'CSs and Loads'!A88</f>
        <v>Crossbeam</v>
      </c>
      <c r="C37" s="1" t="s">
        <v>37</v>
      </c>
      <c r="D37" s="1"/>
      <c r="E37" s="29" t="s">
        <v>27</v>
      </c>
    </row>
    <row r="38" customFormat="false" ht="15.6" hidden="false" customHeight="false" outlineLevel="0" collapsed="false">
      <c r="A38" s="10" t="n">
        <f aca="false">A31+1</f>
        <v>3</v>
      </c>
      <c r="C38" s="17" t="s">
        <v>28</v>
      </c>
      <c r="D38" s="17" t="s">
        <v>29</v>
      </c>
      <c r="E38" s="29"/>
      <c r="F38" s="11" t="s">
        <v>38</v>
      </c>
      <c r="K38" s="11" t="s">
        <v>39</v>
      </c>
      <c r="P38" s="11" t="s">
        <v>40</v>
      </c>
    </row>
    <row r="39" customFormat="false" ht="15.6" hidden="false" customHeight="false" outlineLevel="0" collapsed="false">
      <c r="A39" s="3" t="s">
        <v>41</v>
      </c>
      <c r="C39" s="30" t="s">
        <v>32</v>
      </c>
      <c r="D39" s="17" t="s">
        <v>30</v>
      </c>
      <c r="E39" s="17" t="s">
        <v>30</v>
      </c>
      <c r="G39" s="0" t="s">
        <v>42</v>
      </c>
      <c r="H39" s="31" t="s">
        <v>43</v>
      </c>
      <c r="I39" s="17" t="s">
        <v>44</v>
      </c>
      <c r="J39" s="17" t="s">
        <v>45</v>
      </c>
      <c r="L39" s="0" t="s">
        <v>42</v>
      </c>
      <c r="M39" s="31" t="s">
        <v>43</v>
      </c>
      <c r="N39" s="17" t="s">
        <v>44</v>
      </c>
      <c r="O39" s="17" t="s">
        <v>45</v>
      </c>
      <c r="Q39" s="0" t="s">
        <v>42</v>
      </c>
      <c r="R39" s="31" t="s">
        <v>43</v>
      </c>
      <c r="S39" s="17" t="s">
        <v>44</v>
      </c>
      <c r="T39" s="17" t="s">
        <v>45</v>
      </c>
    </row>
    <row r="40" customFormat="false" ht="15.6" hidden="false" customHeight="false" outlineLevel="0" collapsed="false">
      <c r="A40" s="10" t="str">
        <f aca="false">IF('CSs and Loads'!A83=1,"yes","no")</f>
        <v>yes</v>
      </c>
      <c r="B40" s="32" t="s">
        <v>33</v>
      </c>
      <c r="C40" s="33" t="n">
        <f aca="false">((G40+H40+I40+J40)+SQRT(G40^2+H40^2+I40^2+J40^2))/2</f>
        <v>0.0453535656534809</v>
      </c>
      <c r="D40" s="34" t="n">
        <f aca="false">L40+M40+N40+O40</f>
        <v>0</v>
      </c>
      <c r="E40" s="34" t="n">
        <f aca="false">Q40+R40+S40+T40</f>
        <v>0.00169442631778358</v>
      </c>
      <c r="F40" s="32" t="s">
        <v>33</v>
      </c>
      <c r="G40" s="35" t="n">
        <f aca="false">'CSs and Loads'!T81</f>
        <v>0.005</v>
      </c>
      <c r="H40" s="35" t="n">
        <f aca="false">'CSs and Loads'!U81</f>
        <v>0</v>
      </c>
      <c r="I40" s="35" t="n">
        <f aca="false">'CSs and Loads'!V81</f>
        <v>0.0249887457093289</v>
      </c>
      <c r="J40" s="35" t="n">
        <f aca="false">'CSs and Loads'!W81</f>
        <v>0.0250112458323969</v>
      </c>
      <c r="K40" s="32" t="s">
        <v>33</v>
      </c>
      <c r="L40" s="35" t="n">
        <f aca="false">'CSs and Loads'!T88</f>
        <v>0</v>
      </c>
      <c r="M40" s="35" t="n">
        <f aca="false">'CSs and Loads'!U88</f>
        <v>0</v>
      </c>
      <c r="N40" s="35" t="n">
        <f aca="false">'CSs and Loads'!V88</f>
        <v>0</v>
      </c>
      <c r="O40" s="35" t="n">
        <f aca="false">'CSs and Loads'!W88</f>
        <v>0</v>
      </c>
      <c r="P40" s="32" t="s">
        <v>33</v>
      </c>
      <c r="Q40" s="35" t="n">
        <f aca="false">'CSs and Loads'!Y88</f>
        <v>0</v>
      </c>
      <c r="R40" s="35" t="n">
        <f aca="false">'CSs and Loads'!Z88</f>
        <v>0</v>
      </c>
      <c r="S40" s="35" t="n">
        <f aca="false">'CSs and Loads'!AA88</f>
        <v>0.00169442631778358</v>
      </c>
      <c r="T40" s="35" t="n">
        <f aca="false">'CSs and Loads'!AB88</f>
        <v>0</v>
      </c>
    </row>
    <row r="41" customFormat="false" ht="15.6" hidden="false" customHeight="false" outlineLevel="0" collapsed="false">
      <c r="A41" s="10" t="n">
        <f aca="false">'CSs and Loads'!A83</f>
        <v>1</v>
      </c>
      <c r="B41" s="32" t="s">
        <v>34</v>
      </c>
      <c r="C41" s="33" t="n">
        <f aca="false">((G41+H41+I41+J41)+SQRT(G41^2+H41^2+I41^2+J41^2))/2</f>
        <v>0.0432522932055878</v>
      </c>
      <c r="D41" s="34" t="n">
        <f aca="false">L41+M41+N41+O41</f>
        <v>0</v>
      </c>
      <c r="E41" s="34" t="n">
        <f aca="false">Q41+R41+S41+T41</f>
        <v>0.00186515722102187</v>
      </c>
      <c r="F41" s="32" t="s">
        <v>34</v>
      </c>
      <c r="G41" s="35" t="n">
        <f aca="false">'CSs and Loads'!T82</f>
        <v>0.005</v>
      </c>
      <c r="H41" s="35" t="n">
        <f aca="false">'CSs and Loads'!U82</f>
        <v>0.0250124958322942</v>
      </c>
      <c r="I41" s="35" t="n">
        <f aca="false">'CSs and Loads'!V82</f>
        <v>0</v>
      </c>
      <c r="J41" s="35" t="n">
        <f aca="false">'CSs and Loads'!W82</f>
        <v>0.0224874962510398</v>
      </c>
      <c r="K41" s="32" t="s">
        <v>34</v>
      </c>
      <c r="L41" s="35" t="n">
        <f aca="false">'CSs and Loads'!T89</f>
        <v>0</v>
      </c>
      <c r="M41" s="35" t="n">
        <f aca="false">'CSs and Loads'!U89</f>
        <v>0</v>
      </c>
      <c r="N41" s="35" t="n">
        <f aca="false">'CSs and Loads'!V89</f>
        <v>0</v>
      </c>
      <c r="O41" s="35" t="n">
        <f aca="false">'CSs and Loads'!W89</f>
        <v>0</v>
      </c>
      <c r="P41" s="32" t="s">
        <v>34</v>
      </c>
      <c r="Q41" s="35" t="n">
        <f aca="false">'CSs and Loads'!Y89</f>
        <v>0</v>
      </c>
      <c r="R41" s="35" t="n">
        <f aca="false">'CSs and Loads'!Z89</f>
        <v>0.00186515722102187</v>
      </c>
      <c r="S41" s="35" t="n">
        <f aca="false">'CSs and Loads'!AA89</f>
        <v>0</v>
      </c>
      <c r="T41" s="35" t="n">
        <f aca="false">'CSs and Loads'!AB89</f>
        <v>0</v>
      </c>
    </row>
    <row r="42" s="36" customFormat="true" ht="16.2" hidden="false" customHeight="false" outlineLevel="0" collapsed="false">
      <c r="B42" s="37" t="s">
        <v>35</v>
      </c>
      <c r="C42" s="38" t="n">
        <f aca="false">((G42+H42+I42+J42)+SQRT(G42^2+H42^2+I42^2+J42^2))/2</f>
        <v>0.04325137409397</v>
      </c>
      <c r="D42" s="39" t="n">
        <f aca="false">L42+M42+N42+O42</f>
        <v>0</v>
      </c>
      <c r="E42" s="39" t="n">
        <f aca="false">Q42+R42+S42+T42</f>
        <v>-0.275581794395431</v>
      </c>
      <c r="F42" s="37" t="s">
        <v>35</v>
      </c>
      <c r="G42" s="40" t="n">
        <f aca="false">'CSs and Loads'!T83</f>
        <v>0.005</v>
      </c>
      <c r="H42" s="40" t="n">
        <f aca="false">'CSs and Loads'!U83</f>
        <v>0.0249874958343753</v>
      </c>
      <c r="I42" s="40" t="n">
        <f aca="false">'CSs and Loads'!V83</f>
        <v>0.0225124961363963</v>
      </c>
      <c r="J42" s="40" t="n">
        <f aca="false">'CSs and Loads'!W83</f>
        <v>0</v>
      </c>
      <c r="K42" s="37" t="s">
        <v>35</v>
      </c>
      <c r="L42" s="40" t="n">
        <f aca="false">'CSs and Loads'!T90</f>
        <v>0</v>
      </c>
      <c r="M42" s="40" t="n">
        <f aca="false">'CSs and Loads'!U90</f>
        <v>0</v>
      </c>
      <c r="N42" s="40" t="n">
        <f aca="false">'CSs and Loads'!V90</f>
        <v>0</v>
      </c>
      <c r="O42" s="40" t="n">
        <f aca="false">'CSs and Loads'!W90</f>
        <v>0</v>
      </c>
      <c r="P42" s="37" t="s">
        <v>35</v>
      </c>
      <c r="Q42" s="40" t="n">
        <f aca="false">'CSs and Loads'!Y90</f>
        <v>-0.272191983567356</v>
      </c>
      <c r="R42" s="40" t="n">
        <f aca="false">'CSs and Loads'!Z90</f>
        <v>-0.00186329299575796</v>
      </c>
      <c r="S42" s="40" t="n">
        <f aca="false">'CSs and Loads'!AA90</f>
        <v>-0.00152651783231642</v>
      </c>
      <c r="T42" s="40" t="n">
        <f aca="false">'CSs and Loads'!AB90</f>
        <v>0</v>
      </c>
    </row>
    <row r="44" customFormat="false" ht="15.6" hidden="false" customHeight="false" outlineLevel="0" collapsed="false">
      <c r="A44" s="3" t="s">
        <v>17</v>
      </c>
      <c r="B44" s="43" t="str">
        <f aca="false">'CSs and Loads'!A121</f>
        <v>Outboard legs</v>
      </c>
      <c r="C44" s="1" t="s">
        <v>37</v>
      </c>
      <c r="D44" s="1"/>
      <c r="E44" s="29" t="s">
        <v>27</v>
      </c>
    </row>
    <row r="45" customFormat="false" ht="15.6" hidden="false" customHeight="false" outlineLevel="0" collapsed="false">
      <c r="A45" s="10" t="n">
        <f aca="false">A38+1</f>
        <v>4</v>
      </c>
      <c r="C45" s="17" t="s">
        <v>28</v>
      </c>
      <c r="D45" s="17" t="s">
        <v>29</v>
      </c>
      <c r="E45" s="29"/>
      <c r="F45" s="11" t="s">
        <v>38</v>
      </c>
      <c r="K45" s="11" t="s">
        <v>39</v>
      </c>
      <c r="P45" s="11" t="s">
        <v>40</v>
      </c>
    </row>
    <row r="46" customFormat="false" ht="15.6" hidden="false" customHeight="false" outlineLevel="0" collapsed="false">
      <c r="A46" s="3" t="s">
        <v>41</v>
      </c>
      <c r="C46" s="30" t="s">
        <v>32</v>
      </c>
      <c r="D46" s="17" t="s">
        <v>30</v>
      </c>
      <c r="E46" s="17" t="s">
        <v>30</v>
      </c>
      <c r="G46" s="0" t="s">
        <v>42</v>
      </c>
      <c r="H46" s="31" t="s">
        <v>43</v>
      </c>
      <c r="I46" s="17" t="s">
        <v>44</v>
      </c>
      <c r="J46" s="17" t="s">
        <v>45</v>
      </c>
      <c r="L46" s="0" t="s">
        <v>42</v>
      </c>
      <c r="M46" s="31" t="s">
        <v>43</v>
      </c>
      <c r="N46" s="17" t="s">
        <v>44</v>
      </c>
      <c r="O46" s="17" t="s">
        <v>45</v>
      </c>
      <c r="Q46" s="0" t="s">
        <v>42</v>
      </c>
      <c r="R46" s="31" t="s">
        <v>43</v>
      </c>
      <c r="S46" s="17" t="s">
        <v>44</v>
      </c>
      <c r="T46" s="17" t="s">
        <v>45</v>
      </c>
    </row>
    <row r="47" customFormat="false" ht="15.6" hidden="false" customHeight="false" outlineLevel="0" collapsed="false">
      <c r="A47" s="10" t="str">
        <f aca="false">IF('CSs and Loads'!A116=1,"yes","no")</f>
        <v>no</v>
      </c>
      <c r="B47" s="32" t="s">
        <v>33</v>
      </c>
      <c r="C47" s="33" t="n">
        <f aca="false">((G47+H47+I47+J47)+SQRT(G47^2+H47^2+I47^2+J47^2))/2</f>
        <v>0.0526134891174711</v>
      </c>
      <c r="D47" s="34" t="n">
        <f aca="false">L47+M47+N47+O47</f>
        <v>0</v>
      </c>
      <c r="E47" s="34" t="n">
        <f aca="false">Q47+R47+S47+T47</f>
        <v>0.00667396488433125</v>
      </c>
      <c r="F47" s="32" t="s">
        <v>33</v>
      </c>
      <c r="G47" s="35" t="n">
        <f aca="false">'CSs and Loads'!T114</f>
        <v>0.005</v>
      </c>
      <c r="H47" s="35" t="n">
        <f aca="false">'CSs and Loads'!U114</f>
        <v>0</v>
      </c>
      <c r="I47" s="35" t="n">
        <f aca="false">'CSs and Loads'!V114</f>
        <v>0.0499774916685454</v>
      </c>
      <c r="J47" s="35" t="n">
        <f aca="false">'CSs and Loads'!W114</f>
        <v>2.24999981242036E-005</v>
      </c>
      <c r="K47" s="32" t="s">
        <v>33</v>
      </c>
      <c r="L47" s="35" t="n">
        <f aca="false">'CSs and Loads'!T121</f>
        <v>0</v>
      </c>
      <c r="M47" s="35" t="n">
        <f aca="false">'CSs and Loads'!U121</f>
        <v>0</v>
      </c>
      <c r="N47" s="35" t="n">
        <f aca="false">'CSs and Loads'!V121</f>
        <v>0</v>
      </c>
      <c r="O47" s="35" t="n">
        <f aca="false">'CSs and Loads'!W121</f>
        <v>0</v>
      </c>
      <c r="P47" s="32" t="s">
        <v>33</v>
      </c>
      <c r="Q47" s="35" t="n">
        <f aca="false">'CSs and Loads'!Y121</f>
        <v>0</v>
      </c>
      <c r="R47" s="35" t="n">
        <f aca="false">'CSs and Loads'!Z121</f>
        <v>0</v>
      </c>
      <c r="S47" s="35" t="n">
        <f aca="false">'CSs and Loads'!AA121</f>
        <v>0.00667396488433125</v>
      </c>
      <c r="T47" s="35" t="n">
        <f aca="false">'CSs and Loads'!AB121</f>
        <v>0</v>
      </c>
    </row>
    <row r="48" customFormat="false" ht="15.6" hidden="false" customHeight="false" outlineLevel="0" collapsed="false">
      <c r="A48" s="10" t="n">
        <f aca="false">'CSs and Loads'!A116</f>
        <v>0</v>
      </c>
      <c r="B48" s="32" t="s">
        <v>34</v>
      </c>
      <c r="C48" s="33" t="n">
        <f aca="false">((G48+H48+I48+J48)+SQRT(G48^2+H48^2+I48^2+J48^2))/2</f>
        <v>0.0837268299658467</v>
      </c>
      <c r="D48" s="34" t="n">
        <f aca="false">L48+M48+N48+O48</f>
        <v>0</v>
      </c>
      <c r="E48" s="34" t="n">
        <f aca="false">Q48+R48+S48+T48</f>
        <v>0</v>
      </c>
      <c r="F48" s="32" t="s">
        <v>34</v>
      </c>
      <c r="G48" s="35" t="n">
        <f aca="false">'CSs and Loads'!T115</f>
        <v>0.005</v>
      </c>
      <c r="H48" s="35" t="n">
        <f aca="false">'CSs and Loads'!U115</f>
        <v>0.0499999911666672</v>
      </c>
      <c r="I48" s="35" t="n">
        <f aca="false">'CSs and Loads'!V115</f>
        <v>0</v>
      </c>
      <c r="J48" s="35" t="n">
        <f aca="false">'CSs and Loads'!W115</f>
        <v>0.0449999925000004</v>
      </c>
      <c r="K48" s="32" t="s">
        <v>34</v>
      </c>
      <c r="L48" s="35" t="n">
        <f aca="false">'CSs and Loads'!T122</f>
        <v>0</v>
      </c>
      <c r="M48" s="35" t="n">
        <f aca="false">'CSs and Loads'!U122</f>
        <v>0</v>
      </c>
      <c r="N48" s="35" t="n">
        <f aca="false">'CSs and Loads'!V122</f>
        <v>0</v>
      </c>
      <c r="O48" s="35" t="n">
        <f aca="false">'CSs and Loads'!W122</f>
        <v>0</v>
      </c>
      <c r="P48" s="32" t="s">
        <v>34</v>
      </c>
      <c r="Q48" s="35" t="n">
        <f aca="false">'CSs and Loads'!Y122</f>
        <v>0</v>
      </c>
      <c r="R48" s="35" t="n">
        <f aca="false">'CSs and Loads'!Z122</f>
        <v>0</v>
      </c>
      <c r="S48" s="35" t="n">
        <f aca="false">'CSs and Loads'!AA122</f>
        <v>0</v>
      </c>
      <c r="T48" s="35" t="n">
        <f aca="false">'CSs and Loads'!AB122</f>
        <v>0</v>
      </c>
    </row>
    <row r="49" s="36" customFormat="true" ht="16.2" hidden="false" customHeight="false" outlineLevel="0" collapsed="false">
      <c r="B49" s="37" t="s">
        <v>35</v>
      </c>
      <c r="C49" s="38" t="n">
        <f aca="false">((G49+H49+I49+J49)+SQRT(G49^2+H49^2+I49^2+J49^2))/2</f>
        <v>0.0476758824028503</v>
      </c>
      <c r="D49" s="39" t="n">
        <f aca="false">L49+M49+N49+O49</f>
        <v>0</v>
      </c>
      <c r="E49" s="39" t="n">
        <f aca="false">Q49+R49+S49+T49</f>
        <v>-0.00608834521146843</v>
      </c>
      <c r="F49" s="37" t="s">
        <v>35</v>
      </c>
      <c r="G49" s="40" t="n">
        <f aca="false">'CSs and Loads'!T116</f>
        <v>0.005</v>
      </c>
      <c r="H49" s="40" t="n">
        <f aca="false">'CSs and Loads'!U116</f>
        <v>2.49999976689397E-005</v>
      </c>
      <c r="I49" s="40" t="n">
        <f aca="false">'CSs and Loads'!V116</f>
        <v>0.0450249924979176</v>
      </c>
      <c r="J49" s="40" t="n">
        <f aca="false">'CSs and Loads'!W116</f>
        <v>0</v>
      </c>
      <c r="K49" s="37" t="s">
        <v>35</v>
      </c>
      <c r="L49" s="40" t="n">
        <f aca="false">'CSs and Loads'!T123</f>
        <v>0</v>
      </c>
      <c r="M49" s="40" t="n">
        <f aca="false">'CSs and Loads'!U123</f>
        <v>0</v>
      </c>
      <c r="N49" s="40" t="n">
        <f aca="false">'CSs and Loads'!V123</f>
        <v>0</v>
      </c>
      <c r="O49" s="40" t="n">
        <f aca="false">'CSs and Loads'!W123</f>
        <v>0</v>
      </c>
      <c r="P49" s="37" t="s">
        <v>35</v>
      </c>
      <c r="Q49" s="40" t="n">
        <f aca="false">'CSs and Loads'!Y123</f>
        <v>-7.57341576506955E-005</v>
      </c>
      <c r="R49" s="40" t="n">
        <f aca="false">'CSs and Loads'!Z123</f>
        <v>0</v>
      </c>
      <c r="S49" s="40" t="n">
        <f aca="false">'CSs and Loads'!AA123</f>
        <v>-0.00601261105381774</v>
      </c>
      <c r="T49" s="40" t="n">
        <f aca="false">'CSs and Loads'!AB123</f>
        <v>0</v>
      </c>
    </row>
    <row r="51" customFormat="false" ht="15.6" hidden="false" customHeight="false" outlineLevel="0" collapsed="false">
      <c r="A51" s="3" t="s">
        <v>17</v>
      </c>
      <c r="B51" s="43" t="str">
        <f aca="false">'CSs and Loads'!A154</f>
        <v>Bridge</v>
      </c>
      <c r="C51" s="1" t="s">
        <v>37</v>
      </c>
      <c r="D51" s="1"/>
      <c r="E51" s="29" t="s">
        <v>27</v>
      </c>
    </row>
    <row r="52" customFormat="false" ht="15.6" hidden="false" customHeight="false" outlineLevel="0" collapsed="false">
      <c r="A52" s="10" t="n">
        <f aca="false">A45+1</f>
        <v>5</v>
      </c>
      <c r="C52" s="17" t="s">
        <v>28</v>
      </c>
      <c r="D52" s="17" t="s">
        <v>29</v>
      </c>
      <c r="E52" s="29"/>
      <c r="F52" s="11" t="s">
        <v>38</v>
      </c>
      <c r="K52" s="11" t="s">
        <v>39</v>
      </c>
      <c r="P52" s="11" t="s">
        <v>40</v>
      </c>
    </row>
    <row r="53" customFormat="false" ht="15.6" hidden="false" customHeight="false" outlineLevel="0" collapsed="false">
      <c r="A53" s="3" t="s">
        <v>41</v>
      </c>
      <c r="C53" s="30" t="s">
        <v>32</v>
      </c>
      <c r="D53" s="17" t="s">
        <v>30</v>
      </c>
      <c r="E53" s="17" t="s">
        <v>30</v>
      </c>
      <c r="G53" s="0" t="s">
        <v>42</v>
      </c>
      <c r="H53" s="31" t="s">
        <v>43</v>
      </c>
      <c r="I53" s="17" t="s">
        <v>44</v>
      </c>
      <c r="J53" s="17" t="s">
        <v>45</v>
      </c>
      <c r="L53" s="0" t="s">
        <v>42</v>
      </c>
      <c r="M53" s="31" t="s">
        <v>43</v>
      </c>
      <c r="N53" s="17" t="s">
        <v>44</v>
      </c>
      <c r="O53" s="17" t="s">
        <v>45</v>
      </c>
      <c r="Q53" s="0" t="s">
        <v>42</v>
      </c>
      <c r="R53" s="31" t="s">
        <v>43</v>
      </c>
      <c r="S53" s="17" t="s">
        <v>44</v>
      </c>
      <c r="T53" s="17" t="s">
        <v>45</v>
      </c>
    </row>
    <row r="54" customFormat="false" ht="15.6" hidden="false" customHeight="false" outlineLevel="0" collapsed="false">
      <c r="A54" s="10" t="str">
        <f aca="false">IF('CSs and Loads'!A149=1,"yes","no")</f>
        <v>no</v>
      </c>
      <c r="B54" s="32" t="s">
        <v>33</v>
      </c>
      <c r="C54" s="33" t="n">
        <f aca="false">((G54+H54+I54+J54)+SQRT(G54^2+H54^2+I54^2+J54^2))/2</f>
        <v>0.0526134886189375</v>
      </c>
      <c r="D54" s="34" t="n">
        <f aca="false">L54+M54+N54+O54</f>
        <v>0</v>
      </c>
      <c r="E54" s="34" t="n">
        <f aca="false">Q54+R54+S54+T54</f>
        <v>0.002203566669249</v>
      </c>
      <c r="F54" s="32" t="s">
        <v>33</v>
      </c>
      <c r="G54" s="35" t="n">
        <f aca="false">'CSs and Loads'!T147</f>
        <v>0.005</v>
      </c>
      <c r="H54" s="35" t="n">
        <f aca="false">'CSs and Loads'!U147</f>
        <v>0</v>
      </c>
      <c r="I54" s="35" t="n">
        <f aca="false">'CSs and Loads'!V147</f>
        <v>0.0499774911687705</v>
      </c>
      <c r="J54" s="35" t="n">
        <f aca="false">'CSs and Loads'!W147</f>
        <v>2.24999981242036E-005</v>
      </c>
      <c r="K54" s="32" t="s">
        <v>33</v>
      </c>
      <c r="L54" s="35" t="n">
        <f aca="false">'CSs and Loads'!T154</f>
        <v>0</v>
      </c>
      <c r="M54" s="35" t="n">
        <f aca="false">'CSs and Loads'!U154</f>
        <v>0</v>
      </c>
      <c r="N54" s="35" t="n">
        <f aca="false">'CSs and Loads'!V154</f>
        <v>0</v>
      </c>
      <c r="O54" s="35" t="n">
        <f aca="false">'CSs and Loads'!W154</f>
        <v>0</v>
      </c>
      <c r="P54" s="32" t="s">
        <v>33</v>
      </c>
      <c r="Q54" s="35" t="n">
        <f aca="false">'CSs and Loads'!Y154</f>
        <v>0</v>
      </c>
      <c r="R54" s="35" t="n">
        <f aca="false">'CSs and Loads'!Z154</f>
        <v>0</v>
      </c>
      <c r="S54" s="35" t="n">
        <f aca="false">'CSs and Loads'!AA154</f>
        <v>0.002203566669249</v>
      </c>
      <c r="T54" s="35" t="n">
        <f aca="false">'CSs and Loads'!AB154</f>
        <v>0</v>
      </c>
    </row>
    <row r="55" customFormat="false" ht="15.6" hidden="false" customHeight="false" outlineLevel="0" collapsed="false">
      <c r="A55" s="10" t="n">
        <f aca="false">'CSs and Loads'!A149</f>
        <v>0</v>
      </c>
      <c r="B55" s="32" t="s">
        <v>34</v>
      </c>
      <c r="C55" s="33" t="n">
        <f aca="false">((G55+H55+I55+J55)+SQRT(G55^2+H55^2+I55^2+J55^2))/2</f>
        <v>0.0837268304011589</v>
      </c>
      <c r="D55" s="34" t="n">
        <f aca="false">L55+M55+N55+O55</f>
        <v>0</v>
      </c>
      <c r="E55" s="34" t="n">
        <f aca="false">Q55+R55+S55+T55</f>
        <v>0</v>
      </c>
      <c r="F55" s="32" t="s">
        <v>34</v>
      </c>
      <c r="G55" s="35" t="n">
        <f aca="false">'CSs and Loads'!T148</f>
        <v>0.005</v>
      </c>
      <c r="H55" s="35" t="n">
        <f aca="false">'CSs and Loads'!U148</f>
        <v>0.0499999916666671</v>
      </c>
      <c r="I55" s="35" t="n">
        <f aca="false">'CSs and Loads'!V148</f>
        <v>0</v>
      </c>
      <c r="J55" s="35" t="n">
        <f aca="false">'CSs and Loads'!W148</f>
        <v>0.0449999925000004</v>
      </c>
      <c r="K55" s="32" t="s">
        <v>34</v>
      </c>
      <c r="L55" s="35" t="n">
        <f aca="false">'CSs and Loads'!T155</f>
        <v>0</v>
      </c>
      <c r="M55" s="35" t="n">
        <f aca="false">'CSs and Loads'!U155</f>
        <v>0</v>
      </c>
      <c r="N55" s="35" t="n">
        <f aca="false">'CSs and Loads'!V155</f>
        <v>0</v>
      </c>
      <c r="O55" s="35" t="n">
        <f aca="false">'CSs and Loads'!W155</f>
        <v>0</v>
      </c>
      <c r="P55" s="32" t="s">
        <v>34</v>
      </c>
      <c r="Q55" s="35" t="n">
        <f aca="false">'CSs and Loads'!Y155</f>
        <v>0</v>
      </c>
      <c r="R55" s="35" t="n">
        <f aca="false">'CSs and Loads'!Z155</f>
        <v>0</v>
      </c>
      <c r="S55" s="35" t="n">
        <f aca="false">'CSs and Loads'!AA155</f>
        <v>0</v>
      </c>
      <c r="T55" s="35" t="n">
        <f aca="false">'CSs and Loads'!AB155</f>
        <v>0</v>
      </c>
    </row>
    <row r="56" s="36" customFormat="true" ht="16.2" hidden="false" customHeight="false" outlineLevel="0" collapsed="false">
      <c r="B56" s="37" t="s">
        <v>35</v>
      </c>
      <c r="C56" s="38" t="n">
        <f aca="false">((G56+H56+I56+J56)+SQRT(G56^2+H56^2+I56^2+J56^2))/2</f>
        <v>0.0476758819541009</v>
      </c>
      <c r="D56" s="39" t="n">
        <f aca="false">L56+M56+N56+O56</f>
        <v>0</v>
      </c>
      <c r="E56" s="39" t="n">
        <f aca="false">Q56+R56+S56+T56</f>
        <v>-0.00222861623453511</v>
      </c>
      <c r="F56" s="37" t="s">
        <v>35</v>
      </c>
      <c r="G56" s="40" t="n">
        <f aca="false">'CSs and Loads'!T149</f>
        <v>0.005</v>
      </c>
      <c r="H56" s="40" t="n">
        <f aca="false">'CSs and Loads'!U149</f>
        <v>2.49999979189397E-005</v>
      </c>
      <c r="I56" s="40" t="n">
        <f aca="false">'CSs and Loads'!V149</f>
        <v>0.0450249920476677</v>
      </c>
      <c r="J56" s="40" t="n">
        <f aca="false">'CSs and Loads'!W149</f>
        <v>0</v>
      </c>
      <c r="K56" s="37" t="s">
        <v>35</v>
      </c>
      <c r="L56" s="40" t="n">
        <f aca="false">'CSs and Loads'!T156</f>
        <v>0</v>
      </c>
      <c r="M56" s="40" t="n">
        <f aca="false">'CSs and Loads'!U156</f>
        <v>0</v>
      </c>
      <c r="N56" s="40" t="n">
        <f aca="false">'CSs and Loads'!V156</f>
        <v>0</v>
      </c>
      <c r="O56" s="40" t="n">
        <f aca="false">'CSs and Loads'!W156</f>
        <v>0</v>
      </c>
      <c r="P56" s="37" t="s">
        <v>35</v>
      </c>
      <c r="Q56" s="40" t="n">
        <f aca="false">'CSs and Loads'!Y156</f>
        <v>-0.000243411106402572</v>
      </c>
      <c r="R56" s="40" t="n">
        <f aca="false">'CSs and Loads'!Z156</f>
        <v>0</v>
      </c>
      <c r="S56" s="40" t="n">
        <f aca="false">'CSs and Loads'!AA156</f>
        <v>-0.00198520512813254</v>
      </c>
      <c r="T56" s="40" t="n">
        <f aca="false">'CSs and Loads'!AB156</f>
        <v>0</v>
      </c>
    </row>
    <row r="58" customFormat="false" ht="15.6" hidden="false" customHeight="false" outlineLevel="0" collapsed="false">
      <c r="A58" s="3" t="s">
        <v>17</v>
      </c>
      <c r="B58" s="43" t="str">
        <f aca="false">'CSs and Loads'!A187</f>
        <v>X-axis</v>
      </c>
      <c r="C58" s="1" t="s">
        <v>37</v>
      </c>
      <c r="D58" s="1"/>
      <c r="E58" s="29" t="s">
        <v>27</v>
      </c>
    </row>
    <row r="59" customFormat="false" ht="15.6" hidden="false" customHeight="false" outlineLevel="0" collapsed="false">
      <c r="A59" s="10" t="n">
        <f aca="false">A52+1</f>
        <v>6</v>
      </c>
      <c r="C59" s="17" t="s">
        <v>28</v>
      </c>
      <c r="D59" s="17" t="s">
        <v>29</v>
      </c>
      <c r="E59" s="29"/>
      <c r="F59" s="11" t="s">
        <v>38</v>
      </c>
      <c r="K59" s="11" t="s">
        <v>39</v>
      </c>
      <c r="P59" s="11" t="s">
        <v>40</v>
      </c>
    </row>
    <row r="60" customFormat="false" ht="15.6" hidden="false" customHeight="false" outlineLevel="0" collapsed="false">
      <c r="A60" s="3" t="s">
        <v>41</v>
      </c>
      <c r="C60" s="30" t="s">
        <v>32</v>
      </c>
      <c r="D60" s="17" t="s">
        <v>30</v>
      </c>
      <c r="E60" s="17" t="s">
        <v>30</v>
      </c>
      <c r="G60" s="0" t="s">
        <v>42</v>
      </c>
      <c r="H60" s="31" t="s">
        <v>43</v>
      </c>
      <c r="I60" s="17" t="s">
        <v>44</v>
      </c>
      <c r="J60" s="17" t="s">
        <v>45</v>
      </c>
      <c r="L60" s="0" t="s">
        <v>42</v>
      </c>
      <c r="M60" s="31" t="s">
        <v>43</v>
      </c>
      <c r="N60" s="17" t="s">
        <v>44</v>
      </c>
      <c r="O60" s="17" t="s">
        <v>45</v>
      </c>
      <c r="Q60" s="0" t="s">
        <v>42</v>
      </c>
      <c r="R60" s="31" t="s">
        <v>43</v>
      </c>
      <c r="S60" s="17" t="s">
        <v>44</v>
      </c>
      <c r="T60" s="17" t="s">
        <v>45</v>
      </c>
    </row>
    <row r="61" customFormat="false" ht="15.6" hidden="false" customHeight="false" outlineLevel="0" collapsed="false">
      <c r="A61" s="10" t="str">
        <f aca="false">IF('CSs and Loads'!A182=1,"yes","no")</f>
        <v>no</v>
      </c>
      <c r="B61" s="32" t="s">
        <v>33</v>
      </c>
      <c r="C61" s="33" t="n">
        <f aca="false">((G61+H61+I61+J61)+SQRT(G61^2+H61^2+I61^2+J61^2))/2</f>
        <v>0.132696736402169</v>
      </c>
      <c r="D61" s="34" t="n">
        <f aca="false">L61+M61+N61+O61</f>
        <v>0</v>
      </c>
      <c r="E61" s="34" t="n">
        <f aca="false">Q61+R61+S61+T61</f>
        <v>0.016046795100364</v>
      </c>
      <c r="F61" s="32" t="s">
        <v>33</v>
      </c>
      <c r="G61" s="35" t="n">
        <f aca="false">'CSs and Loads'!T180</f>
        <v>0.005</v>
      </c>
      <c r="H61" s="35" t="n">
        <f aca="false">'CSs and Loads'!U180</f>
        <v>0</v>
      </c>
      <c r="I61" s="35" t="n">
        <f aca="false">'CSs and Loads'!V180</f>
        <v>0.130137477007166</v>
      </c>
      <c r="J61" s="35" t="n">
        <f aca="false">'CSs and Loads'!W180</f>
        <v>2.24999981242036E-005</v>
      </c>
      <c r="K61" s="32" t="s">
        <v>33</v>
      </c>
      <c r="L61" s="35" t="n">
        <f aca="false">'CSs and Loads'!T187</f>
        <v>0</v>
      </c>
      <c r="M61" s="35" t="n">
        <f aca="false">'CSs and Loads'!U187</f>
        <v>0</v>
      </c>
      <c r="N61" s="35" t="n">
        <f aca="false">'CSs and Loads'!V187</f>
        <v>0</v>
      </c>
      <c r="O61" s="35" t="n">
        <f aca="false">'CSs and Loads'!W187</f>
        <v>0</v>
      </c>
      <c r="P61" s="32" t="s">
        <v>33</v>
      </c>
      <c r="Q61" s="35" t="n">
        <f aca="false">'CSs and Loads'!Y187</f>
        <v>-0.00133168731981821</v>
      </c>
      <c r="R61" s="35" t="n">
        <f aca="false">'CSs and Loads'!Z187</f>
        <v>0</v>
      </c>
      <c r="S61" s="35" t="n">
        <f aca="false">'CSs and Loads'!AA187</f>
        <v>0.0173784824201823</v>
      </c>
      <c r="T61" s="35" t="n">
        <f aca="false">'CSs and Loads'!AB187</f>
        <v>0</v>
      </c>
    </row>
    <row r="62" customFormat="false" ht="15.6" hidden="false" customHeight="false" outlineLevel="0" collapsed="false">
      <c r="A62" s="10" t="n">
        <f aca="false">'CSs and Loads'!A182</f>
        <v>0</v>
      </c>
      <c r="B62" s="32" t="s">
        <v>34</v>
      </c>
      <c r="C62" s="33" t="n">
        <f aca="false">((G62+H62+I62+J62)+SQRT(G62^2+H62^2+I62^2+J62^2))/2</f>
        <v>0.158985027449966</v>
      </c>
      <c r="D62" s="34" t="n">
        <f aca="false">L62+M62+N62+O62</f>
        <v>0</v>
      </c>
      <c r="E62" s="34" t="n">
        <f aca="false">Q62+R62+S62+T62</f>
        <v>0</v>
      </c>
      <c r="F62" s="32" t="s">
        <v>34</v>
      </c>
      <c r="G62" s="35" t="n">
        <f aca="false">'CSs and Loads'!T181</f>
        <v>0.005</v>
      </c>
      <c r="H62" s="35" t="n">
        <f aca="false">'CSs and Loads'!U181</f>
        <v>0.130159978306668</v>
      </c>
      <c r="I62" s="35" t="n">
        <f aca="false">'CSs and Loads'!V181</f>
        <v>0</v>
      </c>
      <c r="J62" s="35" t="n">
        <f aca="false">'CSs and Loads'!W181</f>
        <v>0.0449999925000004</v>
      </c>
      <c r="K62" s="32" t="s">
        <v>34</v>
      </c>
      <c r="L62" s="35" t="n">
        <f aca="false">'CSs and Loads'!T188</f>
        <v>0</v>
      </c>
      <c r="M62" s="35" t="n">
        <f aca="false">'CSs and Loads'!U188</f>
        <v>0</v>
      </c>
      <c r="N62" s="35" t="n">
        <f aca="false">'CSs and Loads'!V188</f>
        <v>0</v>
      </c>
      <c r="O62" s="35" t="n">
        <f aca="false">'CSs and Loads'!W188</f>
        <v>0</v>
      </c>
      <c r="P62" s="32" t="s">
        <v>34</v>
      </c>
      <c r="Q62" s="35" t="n">
        <f aca="false">'CSs and Loads'!Y188</f>
        <v>0</v>
      </c>
      <c r="R62" s="35" t="n">
        <f aca="false">'CSs and Loads'!Z188</f>
        <v>0</v>
      </c>
      <c r="S62" s="35" t="n">
        <f aca="false">'CSs and Loads'!AA188</f>
        <v>0</v>
      </c>
      <c r="T62" s="35" t="n">
        <f aca="false">'CSs and Loads'!AB188</f>
        <v>0</v>
      </c>
    </row>
    <row r="63" s="36" customFormat="true" ht="16.2" hidden="false" customHeight="false" outlineLevel="0" collapsed="false">
      <c r="B63" s="37" t="s">
        <v>35</v>
      </c>
      <c r="C63" s="38" t="n">
        <f aca="false">((G63+H63+I63+J63)+SQRT(G63^2+H63^2+I63^2+J63^2))/2</f>
        <v>0.0477358995250772</v>
      </c>
      <c r="D63" s="39" t="n">
        <f aca="false">L63+M63+N63+O63</f>
        <v>0</v>
      </c>
      <c r="E63" s="39" t="n">
        <f aca="false">Q63+R63+S63+T63</f>
        <v>-0.00614506472317456</v>
      </c>
      <c r="F63" s="37" t="s">
        <v>35</v>
      </c>
      <c r="G63" s="40" t="n">
        <f aca="false">'CSs and Loads'!T182</f>
        <v>0.005</v>
      </c>
      <c r="H63" s="40" t="n">
        <f aca="false">'CSs and Loads'!U182</f>
        <v>6.50799945788095E-005</v>
      </c>
      <c r="I63" s="40" t="n">
        <f aca="false">'CSs and Loads'!V182</f>
        <v>0.045065072043921</v>
      </c>
      <c r="J63" s="40" t="n">
        <f aca="false">'CSs and Loads'!W182</f>
        <v>0</v>
      </c>
      <c r="K63" s="37" t="s">
        <v>35</v>
      </c>
      <c r="L63" s="40" t="n">
        <f aca="false">'CSs and Loads'!T189</f>
        <v>0</v>
      </c>
      <c r="M63" s="40" t="n">
        <f aca="false">'CSs and Loads'!U189</f>
        <v>0</v>
      </c>
      <c r="N63" s="40" t="n">
        <f aca="false">'CSs and Loads'!V189</f>
        <v>0</v>
      </c>
      <c r="O63" s="40" t="n">
        <f aca="false">'CSs and Loads'!W189</f>
        <v>0</v>
      </c>
      <c r="P63" s="37" t="s">
        <v>35</v>
      </c>
      <c r="Q63" s="40" t="n">
        <f aca="false">'CSs and Loads'!Y189</f>
        <v>-0.000127101410143655</v>
      </c>
      <c r="R63" s="40" t="n">
        <f aca="false">'CSs and Loads'!Z189</f>
        <v>0</v>
      </c>
      <c r="S63" s="40" t="n">
        <f aca="false">'CSs and Loads'!AA189</f>
        <v>-0.00601796331303091</v>
      </c>
      <c r="T63" s="40" t="n">
        <f aca="false">'CSs and Loads'!AB189</f>
        <v>0</v>
      </c>
    </row>
    <row r="65" customFormat="false" ht="15.6" hidden="false" customHeight="false" outlineLevel="0" collapsed="false">
      <c r="A65" s="3" t="s">
        <v>17</v>
      </c>
      <c r="B65" s="43" t="str">
        <f aca="false">'CSs and Loads'!A220</f>
        <v>Bed &amp; Frame</v>
      </c>
      <c r="C65" s="1" t="s">
        <v>37</v>
      </c>
      <c r="D65" s="1"/>
      <c r="E65" s="29" t="s">
        <v>27</v>
      </c>
    </row>
    <row r="66" customFormat="false" ht="15.6" hidden="false" customHeight="false" outlineLevel="0" collapsed="false">
      <c r="A66" s="10" t="n">
        <f aca="false">A59+1</f>
        <v>7</v>
      </c>
      <c r="C66" s="17" t="s">
        <v>28</v>
      </c>
      <c r="D66" s="17" t="s">
        <v>29</v>
      </c>
      <c r="E66" s="29"/>
      <c r="F66" s="11" t="s">
        <v>38</v>
      </c>
      <c r="K66" s="11" t="s">
        <v>39</v>
      </c>
      <c r="P66" s="11" t="s">
        <v>40</v>
      </c>
    </row>
    <row r="67" customFormat="false" ht="15.6" hidden="false" customHeight="false" outlineLevel="0" collapsed="false">
      <c r="A67" s="3" t="s">
        <v>41</v>
      </c>
      <c r="C67" s="30" t="s">
        <v>32</v>
      </c>
      <c r="D67" s="17" t="s">
        <v>30</v>
      </c>
      <c r="E67" s="17" t="s">
        <v>30</v>
      </c>
      <c r="G67" s="0" t="s">
        <v>42</v>
      </c>
      <c r="H67" s="31" t="s">
        <v>43</v>
      </c>
      <c r="I67" s="17" t="s">
        <v>44</v>
      </c>
      <c r="J67" s="17" t="s">
        <v>45</v>
      </c>
      <c r="L67" s="0" t="s">
        <v>42</v>
      </c>
      <c r="M67" s="31" t="s">
        <v>43</v>
      </c>
      <c r="N67" s="17" t="s">
        <v>44</v>
      </c>
      <c r="O67" s="17" t="s">
        <v>45</v>
      </c>
      <c r="Q67" s="0" t="s">
        <v>42</v>
      </c>
      <c r="R67" s="31" t="s">
        <v>43</v>
      </c>
      <c r="S67" s="17" t="s">
        <v>44</v>
      </c>
      <c r="T67" s="17" t="s">
        <v>45</v>
      </c>
    </row>
    <row r="68" customFormat="false" ht="15.6" hidden="false" customHeight="false" outlineLevel="0" collapsed="false">
      <c r="A68" s="10" t="str">
        <f aca="false">IF('CSs and Loads'!A215=1,"yes","no")</f>
        <v>no</v>
      </c>
      <c r="B68" s="32" t="s">
        <v>33</v>
      </c>
      <c r="C68" s="33" t="n">
        <f aca="false">((G68+H68+I68+J68)+SQRT(G68^2+H68^2+I68^2+J68^2))/2</f>
        <v>0.005</v>
      </c>
      <c r="D68" s="34" t="n">
        <f aca="false">L68+M68+N68+O68</f>
        <v>0</v>
      </c>
      <c r="E68" s="34" t="n">
        <f aca="false">Q68+R68+S68+T68</f>
        <v>0</v>
      </c>
      <c r="F68" s="32" t="s">
        <v>33</v>
      </c>
      <c r="G68" s="35" t="n">
        <f aca="false">'CSs and Loads'!T213</f>
        <v>0.005</v>
      </c>
      <c r="H68" s="35" t="n">
        <f aca="false">'CSs and Loads'!U213</f>
        <v>0</v>
      </c>
      <c r="I68" s="35" t="n">
        <f aca="false">'CSs and Loads'!V213</f>
        <v>0</v>
      </c>
      <c r="J68" s="35" t="n">
        <f aca="false">'CSs and Loads'!W213</f>
        <v>0</v>
      </c>
      <c r="K68" s="32" t="s">
        <v>33</v>
      </c>
      <c r="L68" s="35" t="n">
        <f aca="false">'CSs and Loads'!T220</f>
        <v>0</v>
      </c>
      <c r="M68" s="35" t="n">
        <f aca="false">'CSs and Loads'!U220</f>
        <v>0</v>
      </c>
      <c r="N68" s="35" t="n">
        <f aca="false">'CSs and Loads'!V220</f>
        <v>0</v>
      </c>
      <c r="O68" s="35" t="n">
        <f aca="false">'CSs and Loads'!W220</f>
        <v>0</v>
      </c>
      <c r="P68" s="32" t="s">
        <v>33</v>
      </c>
      <c r="Q68" s="35" t="n">
        <f aca="false">'CSs and Loads'!Y220</f>
        <v>0</v>
      </c>
      <c r="R68" s="35" t="n">
        <f aca="false">'CSs and Loads'!Z220</f>
        <v>0</v>
      </c>
      <c r="S68" s="35" t="n">
        <f aca="false">'CSs and Loads'!AA220</f>
        <v>0</v>
      </c>
      <c r="T68" s="35" t="n">
        <f aca="false">'CSs and Loads'!AB220</f>
        <v>0</v>
      </c>
    </row>
    <row r="69" customFormat="false" ht="15.6" hidden="false" customHeight="false" outlineLevel="0" collapsed="false">
      <c r="A69" s="10" t="n">
        <f aca="false">'CSs and Loads'!A215</f>
        <v>0</v>
      </c>
      <c r="B69" s="32" t="s">
        <v>34</v>
      </c>
      <c r="C69" s="33" t="n">
        <f aca="false">((G69+H69+I69+J69)+SQRT(G69^2+H69^2+I69^2+J69^2))/2</f>
        <v>0.005</v>
      </c>
      <c r="D69" s="34" t="n">
        <f aca="false">L69+M69+N69+O69</f>
        <v>0</v>
      </c>
      <c r="E69" s="34" t="n">
        <f aca="false">Q69+R69+S69+T69</f>
        <v>0</v>
      </c>
      <c r="F69" s="32" t="s">
        <v>34</v>
      </c>
      <c r="G69" s="35" t="n">
        <f aca="false">'CSs and Loads'!T214</f>
        <v>0.005</v>
      </c>
      <c r="H69" s="35" t="n">
        <f aca="false">'CSs and Loads'!U214</f>
        <v>0</v>
      </c>
      <c r="I69" s="35" t="n">
        <f aca="false">'CSs and Loads'!V214</f>
        <v>0</v>
      </c>
      <c r="J69" s="35" t="n">
        <f aca="false">'CSs and Loads'!W214</f>
        <v>0</v>
      </c>
      <c r="K69" s="32" t="s">
        <v>34</v>
      </c>
      <c r="L69" s="35" t="n">
        <f aca="false">'CSs and Loads'!T221</f>
        <v>0</v>
      </c>
      <c r="M69" s="35" t="n">
        <f aca="false">'CSs and Loads'!U221</f>
        <v>0</v>
      </c>
      <c r="N69" s="35" t="n">
        <f aca="false">'CSs and Loads'!V221</f>
        <v>0</v>
      </c>
      <c r="O69" s="35" t="n">
        <f aca="false">'CSs and Loads'!W221</f>
        <v>0</v>
      </c>
      <c r="P69" s="32" t="s">
        <v>34</v>
      </c>
      <c r="Q69" s="35" t="n">
        <f aca="false">'CSs and Loads'!Y221</f>
        <v>0</v>
      </c>
      <c r="R69" s="35" t="n">
        <f aca="false">'CSs and Loads'!Z221</f>
        <v>0</v>
      </c>
      <c r="S69" s="35" t="n">
        <f aca="false">'CSs and Loads'!AA221</f>
        <v>0</v>
      </c>
      <c r="T69" s="35" t="n">
        <f aca="false">'CSs and Loads'!AB221</f>
        <v>0</v>
      </c>
    </row>
    <row r="70" s="36" customFormat="true" ht="16.2" hidden="false" customHeight="false" outlineLevel="0" collapsed="false">
      <c r="B70" s="37" t="s">
        <v>35</v>
      </c>
      <c r="C70" s="38" t="n">
        <f aca="false">((G70+H70+I70+J70)+SQRT(G70^2+H70^2+I70^2+J70^2))/2</f>
        <v>0.005</v>
      </c>
      <c r="D70" s="39" t="n">
        <f aca="false">L70+M70+N70+O70</f>
        <v>0</v>
      </c>
      <c r="E70" s="39" t="n">
        <f aca="false">Q70+R70+S70+T70</f>
        <v>-0.000203901620587877</v>
      </c>
      <c r="F70" s="37" t="s">
        <v>35</v>
      </c>
      <c r="G70" s="40" t="n">
        <f aca="false">'CSs and Loads'!T215</f>
        <v>0.005</v>
      </c>
      <c r="H70" s="40" t="n">
        <f aca="false">'CSs and Loads'!U215</f>
        <v>0</v>
      </c>
      <c r="I70" s="40" t="n">
        <f aca="false">'CSs and Loads'!V215</f>
        <v>0</v>
      </c>
      <c r="J70" s="40" t="n">
        <f aca="false">'CSs and Loads'!W215</f>
        <v>0</v>
      </c>
      <c r="K70" s="37" t="s">
        <v>35</v>
      </c>
      <c r="L70" s="40" t="n">
        <f aca="false">'CSs and Loads'!T222</f>
        <v>0</v>
      </c>
      <c r="M70" s="40" t="n">
        <f aca="false">'CSs and Loads'!U222</f>
        <v>0</v>
      </c>
      <c r="N70" s="40" t="n">
        <f aca="false">'CSs and Loads'!V222</f>
        <v>0</v>
      </c>
      <c r="O70" s="40" t="n">
        <f aca="false">'CSs and Loads'!W222</f>
        <v>0</v>
      </c>
      <c r="P70" s="37" t="s">
        <v>35</v>
      </c>
      <c r="Q70" s="40" t="n">
        <f aca="false">'CSs and Loads'!Y222</f>
        <v>-0.000203901620587877</v>
      </c>
      <c r="R70" s="40" t="n">
        <f aca="false">'CSs and Loads'!Z222</f>
        <v>0</v>
      </c>
      <c r="S70" s="40" t="n">
        <f aca="false">'CSs and Loads'!AA222</f>
        <v>0</v>
      </c>
      <c r="T70" s="40" t="n">
        <f aca="false">'CSs and Loads'!AB222</f>
        <v>0</v>
      </c>
    </row>
    <row r="72" customFormat="false" ht="15.6" hidden="false" customHeight="false" outlineLevel="0" collapsed="false">
      <c r="A72" s="3" t="s">
        <v>17</v>
      </c>
      <c r="B72" s="43" t="str">
        <f aca="false">'CSs and Loads'!A253</f>
        <v>Thing 8</v>
      </c>
      <c r="C72" s="1" t="s">
        <v>37</v>
      </c>
      <c r="D72" s="1"/>
      <c r="E72" s="29" t="s">
        <v>27</v>
      </c>
    </row>
    <row r="73" customFormat="false" ht="15.6" hidden="false" customHeight="false" outlineLevel="0" collapsed="false">
      <c r="A73" s="10" t="n">
        <f aca="false">A66+1</f>
        <v>8</v>
      </c>
      <c r="C73" s="17" t="s">
        <v>28</v>
      </c>
      <c r="D73" s="17" t="s">
        <v>29</v>
      </c>
      <c r="E73" s="29"/>
      <c r="F73" s="11" t="s">
        <v>38</v>
      </c>
      <c r="K73" s="11" t="s">
        <v>39</v>
      </c>
      <c r="P73" s="11" t="s">
        <v>40</v>
      </c>
    </row>
    <row r="74" customFormat="false" ht="15.6" hidden="false" customHeight="false" outlineLevel="0" collapsed="false">
      <c r="A74" s="3" t="s">
        <v>41</v>
      </c>
      <c r="C74" s="30" t="s">
        <v>32</v>
      </c>
      <c r="D74" s="17" t="s">
        <v>30</v>
      </c>
      <c r="E74" s="17" t="s">
        <v>30</v>
      </c>
      <c r="G74" s="0" t="s">
        <v>42</v>
      </c>
      <c r="H74" s="31" t="s">
        <v>43</v>
      </c>
      <c r="I74" s="17" t="s">
        <v>44</v>
      </c>
      <c r="J74" s="17" t="s">
        <v>45</v>
      </c>
      <c r="L74" s="0" t="s">
        <v>42</v>
      </c>
      <c r="M74" s="31" t="s">
        <v>43</v>
      </c>
      <c r="N74" s="17" t="s">
        <v>44</v>
      </c>
      <c r="O74" s="17" t="s">
        <v>45</v>
      </c>
      <c r="Q74" s="0" t="s">
        <v>42</v>
      </c>
      <c r="R74" s="31" t="s">
        <v>43</v>
      </c>
      <c r="S74" s="17" t="s">
        <v>44</v>
      </c>
      <c r="T74" s="17" t="s">
        <v>45</v>
      </c>
    </row>
    <row r="75" customFormat="false" ht="15.6" hidden="false" customHeight="false" outlineLevel="0" collapsed="false">
      <c r="A75" s="10" t="str">
        <f aca="false">IF('CSs and Loads'!A248=1,"yes","no")</f>
        <v>no</v>
      </c>
      <c r="B75" s="32" t="s">
        <v>33</v>
      </c>
      <c r="C75" s="33" t="n">
        <f aca="false">((G75+H75+I75+J75)+SQRT(G75^2+H75^2+I75^2+J75^2))/2</f>
        <v>0.005</v>
      </c>
      <c r="D75" s="34" t="n">
        <f aca="false">L75+M75+N75+O75</f>
        <v>0</v>
      </c>
      <c r="E75" s="34" t="n">
        <f aca="false">Q75+R75+S75+T75</f>
        <v>0</v>
      </c>
      <c r="F75" s="32" t="s">
        <v>33</v>
      </c>
      <c r="G75" s="35" t="n">
        <f aca="false">'CSs and Loads'!T246</f>
        <v>0.005</v>
      </c>
      <c r="H75" s="35" t="n">
        <f aca="false">'CSs and Loads'!U246</f>
        <v>0</v>
      </c>
      <c r="I75" s="35" t="n">
        <f aca="false">'CSs and Loads'!V246</f>
        <v>0</v>
      </c>
      <c r="J75" s="35" t="n">
        <f aca="false">'CSs and Loads'!W246</f>
        <v>0</v>
      </c>
      <c r="K75" s="32" t="s">
        <v>33</v>
      </c>
      <c r="L75" s="35" t="n">
        <f aca="false">'CSs and Loads'!T253</f>
        <v>0</v>
      </c>
      <c r="M75" s="35" t="n">
        <f aca="false">'CSs and Loads'!U253</f>
        <v>0</v>
      </c>
      <c r="N75" s="35" t="n">
        <f aca="false">'CSs and Loads'!V253</f>
        <v>0</v>
      </c>
      <c r="O75" s="35" t="n">
        <f aca="false">'CSs and Loads'!W253</f>
        <v>0</v>
      </c>
      <c r="P75" s="32" t="s">
        <v>33</v>
      </c>
      <c r="Q75" s="35" t="n">
        <f aca="false">'CSs and Loads'!Y253</f>
        <v>0</v>
      </c>
      <c r="R75" s="35" t="n">
        <f aca="false">'CSs and Loads'!Z253</f>
        <v>0</v>
      </c>
      <c r="S75" s="35" t="n">
        <f aca="false">'CSs and Loads'!AA253</f>
        <v>0</v>
      </c>
      <c r="T75" s="35" t="n">
        <f aca="false">'CSs and Loads'!AB253</f>
        <v>0</v>
      </c>
    </row>
    <row r="76" customFormat="false" ht="15.6" hidden="false" customHeight="false" outlineLevel="0" collapsed="false">
      <c r="A76" s="10" t="n">
        <f aca="false">'CSs and Loads'!A248</f>
        <v>0</v>
      </c>
      <c r="B76" s="32" t="s">
        <v>34</v>
      </c>
      <c r="C76" s="33" t="n">
        <f aca="false">((G76+H76+I76+J76)+SQRT(G76^2+H76^2+I76^2+J76^2))/2</f>
        <v>0.005</v>
      </c>
      <c r="D76" s="34" t="n">
        <f aca="false">L76+M76+N76+O76</f>
        <v>0</v>
      </c>
      <c r="E76" s="34" t="n">
        <f aca="false">Q76+R76+S76+T76</f>
        <v>0</v>
      </c>
      <c r="F76" s="32" t="s">
        <v>34</v>
      </c>
      <c r="G76" s="35" t="n">
        <f aca="false">'CSs and Loads'!T247</f>
        <v>0.005</v>
      </c>
      <c r="H76" s="35" t="n">
        <f aca="false">'CSs and Loads'!U247</f>
        <v>0</v>
      </c>
      <c r="I76" s="35" t="n">
        <f aca="false">'CSs and Loads'!V247</f>
        <v>0</v>
      </c>
      <c r="J76" s="35" t="n">
        <f aca="false">'CSs and Loads'!W247</f>
        <v>0</v>
      </c>
      <c r="K76" s="32" t="s">
        <v>34</v>
      </c>
      <c r="L76" s="35" t="n">
        <f aca="false">'CSs and Loads'!T254</f>
        <v>0</v>
      </c>
      <c r="M76" s="35" t="n">
        <f aca="false">'CSs and Loads'!U254</f>
        <v>0</v>
      </c>
      <c r="N76" s="35" t="n">
        <f aca="false">'CSs and Loads'!V254</f>
        <v>0</v>
      </c>
      <c r="O76" s="35" t="n">
        <f aca="false">'CSs and Loads'!W254</f>
        <v>0</v>
      </c>
      <c r="P76" s="32" t="s">
        <v>34</v>
      </c>
      <c r="Q76" s="35" t="n">
        <f aca="false">'CSs and Loads'!Y254</f>
        <v>0</v>
      </c>
      <c r="R76" s="35" t="n">
        <f aca="false">'CSs and Loads'!Z254</f>
        <v>0</v>
      </c>
      <c r="S76" s="35" t="n">
        <f aca="false">'CSs and Loads'!AA254</f>
        <v>0</v>
      </c>
      <c r="T76" s="35" t="n">
        <f aca="false">'CSs and Loads'!AB254</f>
        <v>0</v>
      </c>
    </row>
    <row r="77" s="36" customFormat="true" ht="16.2" hidden="false" customHeight="false" outlineLevel="0" collapsed="false">
      <c r="B77" s="37" t="s">
        <v>35</v>
      </c>
      <c r="C77" s="38" t="n">
        <f aca="false">((G77+H77+I77+J77)+SQRT(G77^2+H77^2+I77^2+J77^2))/2</f>
        <v>0.005</v>
      </c>
      <c r="D77" s="39" t="n">
        <f aca="false">L77+M77+N77+O77</f>
        <v>0</v>
      </c>
      <c r="E77" s="39" t="n">
        <f aca="false">Q77+R77+S77+T77</f>
        <v>-7.57341576506955E-005</v>
      </c>
      <c r="F77" s="37" t="s">
        <v>35</v>
      </c>
      <c r="G77" s="40" t="n">
        <f aca="false">'CSs and Loads'!T248</f>
        <v>0.005</v>
      </c>
      <c r="H77" s="40" t="n">
        <f aca="false">'CSs and Loads'!U248</f>
        <v>0</v>
      </c>
      <c r="I77" s="40" t="n">
        <f aca="false">'CSs and Loads'!V248</f>
        <v>0</v>
      </c>
      <c r="J77" s="40" t="n">
        <f aca="false">'CSs and Loads'!W248</f>
        <v>0</v>
      </c>
      <c r="K77" s="37" t="s">
        <v>35</v>
      </c>
      <c r="L77" s="40" t="n">
        <f aca="false">'CSs and Loads'!T255</f>
        <v>0</v>
      </c>
      <c r="M77" s="40" t="n">
        <f aca="false">'CSs and Loads'!U255</f>
        <v>0</v>
      </c>
      <c r="N77" s="40" t="n">
        <f aca="false">'CSs and Loads'!V255</f>
        <v>0</v>
      </c>
      <c r="O77" s="40" t="n">
        <f aca="false">'CSs and Loads'!W255</f>
        <v>0</v>
      </c>
      <c r="P77" s="37" t="s">
        <v>35</v>
      </c>
      <c r="Q77" s="40" t="n">
        <f aca="false">'CSs and Loads'!Y255</f>
        <v>-7.57341576506955E-005</v>
      </c>
      <c r="R77" s="40" t="n">
        <f aca="false">'CSs and Loads'!Z255</f>
        <v>0</v>
      </c>
      <c r="S77" s="40" t="n">
        <f aca="false">'CSs and Loads'!AA255</f>
        <v>0</v>
      </c>
      <c r="T77" s="40" t="n">
        <f aca="false">'CSs and Loads'!AB255</f>
        <v>0</v>
      </c>
    </row>
    <row r="79" customFormat="false" ht="15.6" hidden="false" customHeight="false" outlineLevel="0" collapsed="false">
      <c r="A79" s="3" t="s">
        <v>17</v>
      </c>
      <c r="B79" s="43" t="str">
        <f aca="false">'CSs and Loads'!A286</f>
        <v>Thing 9</v>
      </c>
      <c r="C79" s="1" t="s">
        <v>37</v>
      </c>
      <c r="D79" s="1"/>
      <c r="E79" s="29" t="s">
        <v>27</v>
      </c>
    </row>
    <row r="80" customFormat="false" ht="15.6" hidden="false" customHeight="false" outlineLevel="0" collapsed="false">
      <c r="A80" s="10" t="n">
        <f aca="false">A73+1</f>
        <v>9</v>
      </c>
      <c r="C80" s="17" t="s">
        <v>28</v>
      </c>
      <c r="D80" s="17" t="s">
        <v>29</v>
      </c>
      <c r="E80" s="29"/>
      <c r="F80" s="11" t="s">
        <v>38</v>
      </c>
      <c r="K80" s="11" t="s">
        <v>39</v>
      </c>
      <c r="P80" s="11" t="s">
        <v>40</v>
      </c>
    </row>
    <row r="81" customFormat="false" ht="15.6" hidden="false" customHeight="false" outlineLevel="0" collapsed="false">
      <c r="A81" s="3" t="s">
        <v>41</v>
      </c>
      <c r="C81" s="30" t="s">
        <v>32</v>
      </c>
      <c r="D81" s="17" t="s">
        <v>30</v>
      </c>
      <c r="E81" s="17" t="s">
        <v>30</v>
      </c>
      <c r="G81" s="0" t="s">
        <v>42</v>
      </c>
      <c r="H81" s="31" t="s">
        <v>43</v>
      </c>
      <c r="I81" s="17" t="s">
        <v>44</v>
      </c>
      <c r="J81" s="17" t="s">
        <v>45</v>
      </c>
      <c r="L81" s="0" t="s">
        <v>42</v>
      </c>
      <c r="M81" s="31" t="s">
        <v>43</v>
      </c>
      <c r="N81" s="17" t="s">
        <v>44</v>
      </c>
      <c r="O81" s="17" t="s">
        <v>45</v>
      </c>
      <c r="Q81" s="0" t="s">
        <v>42</v>
      </c>
      <c r="R81" s="31" t="s">
        <v>43</v>
      </c>
      <c r="S81" s="17" t="s">
        <v>44</v>
      </c>
      <c r="T81" s="17" t="s">
        <v>45</v>
      </c>
    </row>
    <row r="82" customFormat="false" ht="15.6" hidden="false" customHeight="false" outlineLevel="0" collapsed="false">
      <c r="A82" s="10" t="str">
        <f aca="false">IF('CSs and Loads'!A281=1,"yes","no")</f>
        <v>no</v>
      </c>
      <c r="B82" s="32" t="s">
        <v>33</v>
      </c>
      <c r="C82" s="33" t="n">
        <f aca="false">((G82+H82+I82+J82)+SQRT(G82^2+H82^2+I82^2+J82^2))/2</f>
        <v>0.00500050002495573</v>
      </c>
      <c r="D82" s="34" t="n">
        <f aca="false">L82+M82+N82+O82</f>
        <v>0</v>
      </c>
      <c r="E82" s="34" t="n">
        <f aca="false">Q82+R82+S82+T82</f>
        <v>-1.48377112799758E-009</v>
      </c>
      <c r="F82" s="32" t="s">
        <v>33</v>
      </c>
      <c r="G82" s="35" t="n">
        <f aca="false">'CSs and Loads'!T279</f>
        <v>0.005</v>
      </c>
      <c r="H82" s="35" t="n">
        <f aca="false">'CSs and Loads'!U279</f>
        <v>0</v>
      </c>
      <c r="I82" s="35" t="n">
        <f aca="false">'CSs and Loads'!V279</f>
        <v>4.99999953236686E-007</v>
      </c>
      <c r="J82" s="35" t="n">
        <f aca="false">'CSs and Loads'!W279</f>
        <v>4.99999958236686E-007</v>
      </c>
      <c r="K82" s="32" t="s">
        <v>33</v>
      </c>
      <c r="L82" s="35" t="n">
        <f aca="false">'CSs and Loads'!T286</f>
        <v>0</v>
      </c>
      <c r="M82" s="35" t="n">
        <f aca="false">'CSs and Loads'!U286</f>
        <v>0</v>
      </c>
      <c r="N82" s="35" t="n">
        <f aca="false">'CSs and Loads'!V286</f>
        <v>0</v>
      </c>
      <c r="O82" s="35" t="n">
        <f aca="false">'CSs and Loads'!W286</f>
        <v>0</v>
      </c>
      <c r="P82" s="32" t="s">
        <v>33</v>
      </c>
      <c r="Q82" s="35" t="n">
        <f aca="false">'CSs and Loads'!Y286</f>
        <v>0</v>
      </c>
      <c r="R82" s="35" t="n">
        <f aca="false">'CSs and Loads'!Z286</f>
        <v>0</v>
      </c>
      <c r="S82" s="35" t="n">
        <f aca="false">'CSs and Loads'!AA286</f>
        <v>-1.48377112799758E-009</v>
      </c>
      <c r="T82" s="35" t="n">
        <f aca="false">'CSs and Loads'!AB286</f>
        <v>0</v>
      </c>
    </row>
    <row r="83" customFormat="false" ht="15.6" hidden="false" customHeight="false" outlineLevel="0" collapsed="false">
      <c r="A83" s="10" t="n">
        <f aca="false">'CSs and Loads'!A281</f>
        <v>0</v>
      </c>
      <c r="B83" s="32" t="s">
        <v>34</v>
      </c>
      <c r="C83" s="33" t="n">
        <f aca="false">((G83+H83+I83+J83)+SQRT(G83^2+H83^2+I83^2+J83^2))/2</f>
        <v>0.00554950965712005</v>
      </c>
      <c r="D83" s="34" t="n">
        <f aca="false">L83+M83+N83+O83</f>
        <v>0</v>
      </c>
      <c r="E83" s="34" t="n">
        <f aca="false">Q83+R83+S83+T83</f>
        <v>0</v>
      </c>
      <c r="F83" s="32" t="s">
        <v>34</v>
      </c>
      <c r="G83" s="35" t="n">
        <f aca="false">'CSs and Loads'!T280</f>
        <v>0.005</v>
      </c>
      <c r="H83" s="35" t="n">
        <f aca="false">'CSs and Loads'!U280</f>
        <v>0</v>
      </c>
      <c r="I83" s="35" t="n">
        <f aca="false">'CSs and Loads'!V280</f>
        <v>0</v>
      </c>
      <c r="J83" s="35" t="n">
        <f aca="false">'CSs and Loads'!W280</f>
        <v>0.000999999833333342</v>
      </c>
      <c r="K83" s="32" t="s">
        <v>34</v>
      </c>
      <c r="L83" s="35" t="n">
        <f aca="false">'CSs and Loads'!T287</f>
        <v>0</v>
      </c>
      <c r="M83" s="35" t="n">
        <f aca="false">'CSs and Loads'!U287</f>
        <v>0</v>
      </c>
      <c r="N83" s="35" t="n">
        <f aca="false">'CSs and Loads'!V287</f>
        <v>0</v>
      </c>
      <c r="O83" s="35" t="n">
        <f aca="false">'CSs and Loads'!W287</f>
        <v>0</v>
      </c>
      <c r="P83" s="32" t="s">
        <v>34</v>
      </c>
      <c r="Q83" s="35" t="n">
        <f aca="false">'CSs and Loads'!Y287</f>
        <v>0</v>
      </c>
      <c r="R83" s="35" t="n">
        <f aca="false">'CSs and Loads'!Z287</f>
        <v>0</v>
      </c>
      <c r="S83" s="35" t="n">
        <f aca="false">'CSs and Loads'!AA287</f>
        <v>0</v>
      </c>
      <c r="T83" s="35" t="n">
        <f aca="false">'CSs and Loads'!AB287</f>
        <v>0</v>
      </c>
    </row>
    <row r="84" s="36" customFormat="true" ht="16.2" hidden="false" customHeight="false" outlineLevel="0" collapsed="false">
      <c r="B84" s="37" t="s">
        <v>35</v>
      </c>
      <c r="C84" s="38" t="n">
        <f aca="false">((G84+H84+I84+J84)+SQRT(G84^2+H84^2+I84^2+J84^2))/2</f>
        <v>0.00554950965113948</v>
      </c>
      <c r="D84" s="39" t="n">
        <f aca="false">L84+M84+N84+O84</f>
        <v>0</v>
      </c>
      <c r="E84" s="39" t="n">
        <f aca="false">Q84+R84+S84+T84</f>
        <v>-7.87016996599691E-005</v>
      </c>
      <c r="F84" s="37" t="s">
        <v>35</v>
      </c>
      <c r="G84" s="40" t="n">
        <f aca="false">'CSs and Loads'!T281</f>
        <v>0.005</v>
      </c>
      <c r="H84" s="40" t="n">
        <f aca="false">'CSs and Loads'!U281</f>
        <v>0</v>
      </c>
      <c r="I84" s="40" t="n">
        <f aca="false">'CSs and Loads'!V281</f>
        <v>0.000999999823333345</v>
      </c>
      <c r="J84" s="40" t="n">
        <f aca="false">'CSs and Loads'!W281</f>
        <v>0</v>
      </c>
      <c r="K84" s="37" t="s">
        <v>35</v>
      </c>
      <c r="L84" s="40" t="n">
        <f aca="false">'CSs and Loads'!T288</f>
        <v>0</v>
      </c>
      <c r="M84" s="40" t="n">
        <f aca="false">'CSs and Loads'!U288</f>
        <v>0</v>
      </c>
      <c r="N84" s="40" t="n">
        <f aca="false">'CSs and Loads'!V288</f>
        <v>0</v>
      </c>
      <c r="O84" s="40" t="n">
        <f aca="false">'CSs and Loads'!W288</f>
        <v>0</v>
      </c>
      <c r="P84" s="37" t="s">
        <v>35</v>
      </c>
      <c r="Q84" s="40" t="n">
        <f aca="false">'CSs and Loads'!Y288</f>
        <v>-7.57341576506955E-005</v>
      </c>
      <c r="R84" s="40" t="n">
        <f aca="false">'CSs and Loads'!Z288</f>
        <v>0</v>
      </c>
      <c r="S84" s="40" t="n">
        <f aca="false">'CSs and Loads'!AA288</f>
        <v>-2.9675420092736E-006</v>
      </c>
      <c r="T84" s="40" t="n">
        <f aca="false">'CSs and Loads'!AB288</f>
        <v>0</v>
      </c>
    </row>
    <row r="86" customFormat="false" ht="15.6" hidden="false" customHeight="false" outlineLevel="0" collapsed="false">
      <c r="A86" s="3" t="s">
        <v>17</v>
      </c>
      <c r="B86" s="43" t="str">
        <f aca="false">'CSs and Loads'!A319</f>
        <v>Thing 10</v>
      </c>
      <c r="C86" s="1" t="s">
        <v>37</v>
      </c>
      <c r="D86" s="1"/>
      <c r="E86" s="29" t="s">
        <v>27</v>
      </c>
    </row>
    <row r="87" customFormat="false" ht="15.6" hidden="false" customHeight="false" outlineLevel="0" collapsed="false">
      <c r="A87" s="10" t="n">
        <f aca="false">A80+1</f>
        <v>10</v>
      </c>
      <c r="C87" s="17" t="s">
        <v>28</v>
      </c>
      <c r="D87" s="17" t="s">
        <v>29</v>
      </c>
      <c r="E87" s="29"/>
      <c r="F87" s="11" t="s">
        <v>38</v>
      </c>
      <c r="K87" s="11" t="s">
        <v>39</v>
      </c>
      <c r="P87" s="11" t="s">
        <v>40</v>
      </c>
    </row>
    <row r="88" customFormat="false" ht="15.6" hidden="false" customHeight="false" outlineLevel="0" collapsed="false">
      <c r="A88" s="3" t="s">
        <v>41</v>
      </c>
      <c r="C88" s="30" t="s">
        <v>32</v>
      </c>
      <c r="D88" s="17" t="s">
        <v>30</v>
      </c>
      <c r="E88" s="17" t="s">
        <v>30</v>
      </c>
      <c r="G88" s="0" t="s">
        <v>42</v>
      </c>
      <c r="H88" s="31" t="s">
        <v>43</v>
      </c>
      <c r="I88" s="17" t="s">
        <v>44</v>
      </c>
      <c r="J88" s="17" t="s">
        <v>45</v>
      </c>
      <c r="L88" s="0" t="s">
        <v>42</v>
      </c>
      <c r="M88" s="31" t="s">
        <v>43</v>
      </c>
      <c r="N88" s="17" t="s">
        <v>44</v>
      </c>
      <c r="O88" s="17" t="s">
        <v>45</v>
      </c>
      <c r="Q88" s="0" t="s">
        <v>42</v>
      </c>
      <c r="R88" s="31" t="s">
        <v>43</v>
      </c>
      <c r="S88" s="17" t="s">
        <v>44</v>
      </c>
      <c r="T88" s="17" t="s">
        <v>45</v>
      </c>
    </row>
    <row r="89" customFormat="false" ht="15.6" hidden="false" customHeight="false" outlineLevel="0" collapsed="false">
      <c r="A89" s="10" t="str">
        <f aca="false">IF('CSs and Loads'!A314=1,"yes","no")</f>
        <v>no</v>
      </c>
      <c r="B89" s="32" t="s">
        <v>33</v>
      </c>
      <c r="C89" s="33" t="n">
        <f aca="false">((G89+H89+I89+J89)+SQRT(G89^2+H89^2+I89^2+J89^2))/2</f>
        <v>0.00500100009991145</v>
      </c>
      <c r="D89" s="34" t="n">
        <f aca="false">L89+M89+N89+O89</f>
        <v>0</v>
      </c>
      <c r="E89" s="34" t="n">
        <f aca="false">Q89+R89+S89+T89</f>
        <v>-5.93508451199033E-009</v>
      </c>
      <c r="F89" s="32" t="s">
        <v>33</v>
      </c>
      <c r="G89" s="35" t="n">
        <f aca="false">'CSs and Loads'!T312</f>
        <v>0.005</v>
      </c>
      <c r="H89" s="35" t="n">
        <f aca="false">'CSs and Loads'!U312</f>
        <v>0</v>
      </c>
      <c r="I89" s="35" t="n">
        <f aca="false">'CSs and Loads'!V312</f>
        <v>9.99999906473373E-007</v>
      </c>
      <c r="J89" s="35" t="n">
        <f aca="false">'CSs and Loads'!W312</f>
        <v>9.99999916473372E-007</v>
      </c>
      <c r="K89" s="32" t="s">
        <v>33</v>
      </c>
      <c r="L89" s="35" t="n">
        <f aca="false">'CSs and Loads'!T319</f>
        <v>0</v>
      </c>
      <c r="M89" s="35" t="n">
        <f aca="false">'CSs and Loads'!U319</f>
        <v>0</v>
      </c>
      <c r="N89" s="35" t="n">
        <f aca="false">'CSs and Loads'!V319</f>
        <v>0</v>
      </c>
      <c r="O89" s="35" t="n">
        <f aca="false">'CSs and Loads'!W319</f>
        <v>0</v>
      </c>
      <c r="P89" s="32" t="s">
        <v>33</v>
      </c>
      <c r="Q89" s="35" t="n">
        <f aca="false">'CSs and Loads'!Y319</f>
        <v>0</v>
      </c>
      <c r="R89" s="35" t="n">
        <f aca="false">'CSs and Loads'!Z319</f>
        <v>0</v>
      </c>
      <c r="S89" s="35" t="n">
        <f aca="false">'CSs and Loads'!AA319</f>
        <v>-5.93508451199033E-009</v>
      </c>
      <c r="T89" s="35" t="n">
        <f aca="false">'CSs and Loads'!AB319</f>
        <v>0</v>
      </c>
    </row>
    <row r="90" customFormat="false" ht="15.6" hidden="false" customHeight="false" outlineLevel="0" collapsed="false">
      <c r="A90" s="10" t="n">
        <f aca="false">'CSs and Loads'!A314</f>
        <v>0</v>
      </c>
      <c r="B90" s="32" t="s">
        <v>34</v>
      </c>
      <c r="C90" s="33" t="n">
        <f aca="false">((G90+H90+I90+J90)+SQRT(G90^2+H90^2+I90^2+J90^2))/2</f>
        <v>0.00619258217500216</v>
      </c>
      <c r="D90" s="34" t="n">
        <f aca="false">L90+M90+N90+O90</f>
        <v>0</v>
      </c>
      <c r="E90" s="34" t="n">
        <f aca="false">Q90+R90+S90+T90</f>
        <v>0</v>
      </c>
      <c r="F90" s="32" t="s">
        <v>34</v>
      </c>
      <c r="G90" s="35" t="n">
        <f aca="false">'CSs and Loads'!T313</f>
        <v>0.005</v>
      </c>
      <c r="H90" s="35" t="n">
        <f aca="false">'CSs and Loads'!U313</f>
        <v>0</v>
      </c>
      <c r="I90" s="35" t="n">
        <f aca="false">'CSs and Loads'!V313</f>
        <v>0</v>
      </c>
      <c r="J90" s="35" t="n">
        <f aca="false">'CSs and Loads'!W313</f>
        <v>0.00199999966666669</v>
      </c>
      <c r="K90" s="32" t="s">
        <v>34</v>
      </c>
      <c r="L90" s="35" t="n">
        <f aca="false">'CSs and Loads'!T320</f>
        <v>0</v>
      </c>
      <c r="M90" s="35" t="n">
        <f aca="false">'CSs and Loads'!U320</f>
        <v>0</v>
      </c>
      <c r="N90" s="35" t="n">
        <f aca="false">'CSs and Loads'!V320</f>
        <v>0</v>
      </c>
      <c r="O90" s="35" t="n">
        <f aca="false">'CSs and Loads'!W320</f>
        <v>0</v>
      </c>
      <c r="P90" s="32" t="s">
        <v>34</v>
      </c>
      <c r="Q90" s="35" t="n">
        <f aca="false">'CSs and Loads'!Y320</f>
        <v>0</v>
      </c>
      <c r="R90" s="35" t="n">
        <f aca="false">'CSs and Loads'!Z320</f>
        <v>0</v>
      </c>
      <c r="S90" s="35" t="n">
        <f aca="false">'CSs and Loads'!AA320</f>
        <v>0</v>
      </c>
      <c r="T90" s="35" t="n">
        <f aca="false">'CSs and Loads'!AB320</f>
        <v>0</v>
      </c>
    </row>
    <row r="91" s="36" customFormat="true" ht="16.2" hidden="false" customHeight="false" outlineLevel="0" collapsed="false">
      <c r="B91" s="37" t="s">
        <v>35</v>
      </c>
      <c r="C91" s="38" t="n">
        <f aca="false">((G91+H91+I91+J91)+SQRT(G91^2+H91^2+I91^2+J91^2))/2</f>
        <v>0.00619258216128825</v>
      </c>
      <c r="D91" s="39" t="n">
        <f aca="false">L91+M91+N91+O91</f>
        <v>0</v>
      </c>
      <c r="E91" s="39" t="n">
        <f aca="false">Q91+R91+S91+T91</f>
        <v>-8.76043256877899E-005</v>
      </c>
      <c r="F91" s="37" t="s">
        <v>35</v>
      </c>
      <c r="G91" s="40" t="n">
        <f aca="false">'CSs and Loads'!T314</f>
        <v>0.005</v>
      </c>
      <c r="H91" s="40" t="n">
        <f aca="false">'CSs and Loads'!U314</f>
        <v>0</v>
      </c>
      <c r="I91" s="40" t="n">
        <f aca="false">'CSs and Loads'!V314</f>
        <v>0.00199999964666669</v>
      </c>
      <c r="J91" s="40" t="n">
        <f aca="false">'CSs and Loads'!W314</f>
        <v>0</v>
      </c>
      <c r="K91" s="37" t="s">
        <v>35</v>
      </c>
      <c r="L91" s="40" t="n">
        <f aca="false">'CSs and Loads'!T321</f>
        <v>0</v>
      </c>
      <c r="M91" s="40" t="n">
        <f aca="false">'CSs and Loads'!U321</f>
        <v>0</v>
      </c>
      <c r="N91" s="40" t="n">
        <f aca="false">'CSs and Loads'!V321</f>
        <v>0</v>
      </c>
      <c r="O91" s="40" t="n">
        <f aca="false">'CSs and Loads'!W321</f>
        <v>0</v>
      </c>
      <c r="P91" s="37" t="s">
        <v>35</v>
      </c>
      <c r="Q91" s="40" t="n">
        <f aca="false">'CSs and Loads'!Y321</f>
        <v>-7.57341576506955E-005</v>
      </c>
      <c r="R91" s="40" t="n">
        <f aca="false">'CSs and Loads'!Z321</f>
        <v>0</v>
      </c>
      <c r="S91" s="40" t="n">
        <f aca="false">'CSs and Loads'!AA321</f>
        <v>-1.18701680370944E-005</v>
      </c>
      <c r="T91" s="40" t="n">
        <f aca="false">'CSs and Loads'!AB321</f>
        <v>0</v>
      </c>
    </row>
  </sheetData>
  <mergeCells count="34">
    <mergeCell ref="A1:G1"/>
    <mergeCell ref="A2:G2"/>
    <mergeCell ref="A3:G3"/>
    <mergeCell ref="I3:O6"/>
    <mergeCell ref="E5:G5"/>
    <mergeCell ref="A6:B6"/>
    <mergeCell ref="A7:B7"/>
    <mergeCell ref="M8:O8"/>
    <mergeCell ref="N11:O14"/>
    <mergeCell ref="A12:A19"/>
    <mergeCell ref="B12:G12"/>
    <mergeCell ref="C13:F13"/>
    <mergeCell ref="G13:G14"/>
    <mergeCell ref="C14:E14"/>
    <mergeCell ref="C23:D23"/>
    <mergeCell ref="E23:E24"/>
    <mergeCell ref="C30:D30"/>
    <mergeCell ref="E30:E31"/>
    <mergeCell ref="C37:D37"/>
    <mergeCell ref="E37:E38"/>
    <mergeCell ref="C44:D44"/>
    <mergeCell ref="E44:E45"/>
    <mergeCell ref="C51:D51"/>
    <mergeCell ref="E51:E52"/>
    <mergeCell ref="C58:D58"/>
    <mergeCell ref="E58:E59"/>
    <mergeCell ref="C65:D65"/>
    <mergeCell ref="E65:E66"/>
    <mergeCell ref="C72:D72"/>
    <mergeCell ref="E72:E73"/>
    <mergeCell ref="C79:D79"/>
    <mergeCell ref="E79:E80"/>
    <mergeCell ref="C86:D86"/>
    <mergeCell ref="E86:E87"/>
  </mergeCells>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D37"/>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21" activeCellId="0" sqref="F21"/>
    </sheetView>
  </sheetViews>
  <sheetFormatPr defaultRowHeight="15.6"/>
  <cols>
    <col collapsed="false" hidden="false" max="3" min="1" style="0" width="11.2703703703704"/>
    <col collapsed="false" hidden="false" max="4" min="4" style="0" width="41.7444444444445"/>
    <col collapsed="false" hidden="false" max="1025" min="5" style="0" width="11.2703703703704"/>
  </cols>
  <sheetData>
    <row r="1" customFormat="false" ht="15.6" hidden="false" customHeight="false" outlineLevel="0" collapsed="false">
      <c r="A1" s="9" t="s">
        <v>46</v>
      </c>
    </row>
    <row r="5" s="9" customFormat="true" ht="15.6" hidden="false" customHeight="false" outlineLevel="0" collapsed="false">
      <c r="A5" s="9" t="s">
        <v>47</v>
      </c>
      <c r="B5" s="9" t="s">
        <v>48</v>
      </c>
      <c r="C5" s="9" t="s">
        <v>6</v>
      </c>
      <c r="D5" s="9" t="s">
        <v>49</v>
      </c>
    </row>
    <row r="6" customFormat="false" ht="15.6" hidden="false" customHeight="false" outlineLevel="0" collapsed="false">
      <c r="A6" s="0" t="n">
        <v>1</v>
      </c>
      <c r="B6" s="0" t="s">
        <v>50</v>
      </c>
      <c r="C6" s="0" t="s">
        <v>51</v>
      </c>
      <c r="D6" s="0" t="s">
        <v>52</v>
      </c>
    </row>
    <row r="7" customFormat="false" ht="15.6" hidden="false" customHeight="false" outlineLevel="0" collapsed="false">
      <c r="A7" s="0" t="n">
        <f aca="false">A6+1</f>
        <v>2</v>
      </c>
      <c r="B7" s="0" t="s">
        <v>53</v>
      </c>
      <c r="C7" s="0" t="s">
        <v>51</v>
      </c>
      <c r="D7" s="0" t="s">
        <v>54</v>
      </c>
    </row>
    <row r="8" customFormat="false" ht="15.6" hidden="false" customHeight="false" outlineLevel="0" collapsed="false">
      <c r="A8" s="0" t="n">
        <f aca="false">A7+1</f>
        <v>3</v>
      </c>
      <c r="B8" s="0" t="s">
        <v>55</v>
      </c>
      <c r="C8" s="0" t="s">
        <v>51</v>
      </c>
      <c r="D8" s="0" t="s">
        <v>56</v>
      </c>
    </row>
    <row r="9" customFormat="false" ht="15.6" hidden="false" customHeight="false" outlineLevel="0" collapsed="false">
      <c r="A9" s="0" t="n">
        <f aca="false">A8+1</f>
        <v>4</v>
      </c>
      <c r="B9" s="0" t="s">
        <v>57</v>
      </c>
      <c r="C9" s="0" t="s">
        <v>51</v>
      </c>
      <c r="D9" s="0" t="s">
        <v>58</v>
      </c>
    </row>
    <row r="10" customFormat="false" ht="15.6" hidden="false" customHeight="false" outlineLevel="0" collapsed="false">
      <c r="A10" s="0" t="n">
        <f aca="false">A9+1</f>
        <v>5</v>
      </c>
      <c r="B10" s="0" t="s">
        <v>59</v>
      </c>
      <c r="C10" s="0" t="s">
        <v>51</v>
      </c>
      <c r="D10" s="44" t="s">
        <v>60</v>
      </c>
    </row>
    <row r="11" customFormat="false" ht="15.6" hidden="false" customHeight="false" outlineLevel="0" collapsed="false">
      <c r="A11" s="0" t="n">
        <f aca="false">A10+1</f>
        <v>6</v>
      </c>
      <c r="B11" s="0" t="s">
        <v>61</v>
      </c>
      <c r="C11" s="0" t="s">
        <v>51</v>
      </c>
      <c r="D11" s="0" t="s">
        <v>62</v>
      </c>
    </row>
    <row r="12" customFormat="false" ht="15.6" hidden="false" customHeight="false" outlineLevel="0" collapsed="false">
      <c r="A12" s="0" t="n">
        <f aca="false">A11+1</f>
        <v>7</v>
      </c>
      <c r="B12" s="0" t="s">
        <v>5</v>
      </c>
      <c r="C12" s="0" t="s">
        <v>51</v>
      </c>
      <c r="D12" s="0" t="s">
        <v>63</v>
      </c>
    </row>
    <row r="13" customFormat="false" ht="15.6" hidden="false" customHeight="false" outlineLevel="0" collapsed="false">
      <c r="A13" s="0" t="n">
        <f aca="false">A12+1</f>
        <v>8</v>
      </c>
      <c r="B13" s="0" t="s">
        <v>64</v>
      </c>
      <c r="C13" s="0" t="s">
        <v>51</v>
      </c>
      <c r="D13" s="0" t="s">
        <v>65</v>
      </c>
    </row>
    <row r="14" customFormat="false" ht="15.6" hidden="false" customHeight="false" outlineLevel="0" collapsed="false">
      <c r="A14" s="0" t="n">
        <f aca="false">A13+1</f>
        <v>9</v>
      </c>
      <c r="B14" s="0" t="s">
        <v>66</v>
      </c>
      <c r="C14" s="0" t="s">
        <v>51</v>
      </c>
      <c r="D14" s="0" t="s">
        <v>67</v>
      </c>
    </row>
    <row r="15" customFormat="false" ht="15.6" hidden="false" customHeight="false" outlineLevel="0" collapsed="false">
      <c r="A15" s="0" t="n">
        <f aca="false">A14+1</f>
        <v>10</v>
      </c>
      <c r="B15" s="0" t="s">
        <v>68</v>
      </c>
      <c r="C15" s="0" t="s">
        <v>51</v>
      </c>
      <c r="D15" s="0" t="s">
        <v>69</v>
      </c>
    </row>
    <row r="16" customFormat="false" ht="15.6" hidden="false" customHeight="false" outlineLevel="0" collapsed="false">
      <c r="A16" s="0" t="n">
        <f aca="false">A15+1</f>
        <v>11</v>
      </c>
      <c r="B16" s="0" t="s">
        <v>70</v>
      </c>
      <c r="C16" s="0" t="s">
        <v>51</v>
      </c>
      <c r="D16" s="0" t="s">
        <v>71</v>
      </c>
    </row>
    <row r="17" customFormat="false" ht="15.6" hidden="false" customHeight="false" outlineLevel="0" collapsed="false">
      <c r="A17" s="0" t="n">
        <f aca="false">A16+1</f>
        <v>12</v>
      </c>
      <c r="B17" s="0" t="s">
        <v>70</v>
      </c>
      <c r="C17" s="0" t="s">
        <v>51</v>
      </c>
      <c r="D17" s="0" t="s">
        <v>72</v>
      </c>
    </row>
    <row r="18" customFormat="false" ht="15.6" hidden="false" customHeight="false" outlineLevel="0" collapsed="false">
      <c r="A18" s="0" t="n">
        <f aca="false">A17+1</f>
        <v>13</v>
      </c>
      <c r="B18" s="0" t="s">
        <v>73</v>
      </c>
      <c r="C18" s="0" t="s">
        <v>51</v>
      </c>
      <c r="D18" s="0" t="s">
        <v>74</v>
      </c>
    </row>
    <row r="19" customFormat="false" ht="15.6" hidden="false" customHeight="false" outlineLevel="0" collapsed="false">
      <c r="A19" s="0" t="n">
        <f aca="false">A18+1</f>
        <v>14</v>
      </c>
      <c r="B19" s="0" t="s">
        <v>75</v>
      </c>
      <c r="C19" s="0" t="s">
        <v>51</v>
      </c>
      <c r="D19" s="0" t="s">
        <v>76</v>
      </c>
    </row>
    <row r="20" customFormat="false" ht="15.6" hidden="false" customHeight="false" outlineLevel="0" collapsed="false">
      <c r="A20" s="0" t="n">
        <f aca="false">A19+1</f>
        <v>15</v>
      </c>
      <c r="B20" s="0" t="s">
        <v>75</v>
      </c>
      <c r="C20" s="0" t="s">
        <v>51</v>
      </c>
      <c r="D20" s="0" t="s">
        <v>77</v>
      </c>
    </row>
    <row r="21" customFormat="false" ht="15.6" hidden="false" customHeight="false" outlineLevel="0" collapsed="false">
      <c r="A21" s="0" t="n">
        <f aca="false">A20+1</f>
        <v>16</v>
      </c>
      <c r="B21" s="0" t="s">
        <v>75</v>
      </c>
      <c r="C21" s="0" t="s">
        <v>51</v>
      </c>
      <c r="D21" s="0" t="s">
        <v>78</v>
      </c>
    </row>
    <row r="22" customFormat="false" ht="15.6" hidden="false" customHeight="false" outlineLevel="0" collapsed="false">
      <c r="A22" s="0" t="n">
        <f aca="false">A21+1</f>
        <v>17</v>
      </c>
    </row>
    <row r="23" customFormat="false" ht="15.6" hidden="false" customHeight="false" outlineLevel="0" collapsed="false">
      <c r="A23" s="0" t="n">
        <f aca="false">A22+1</f>
        <v>18</v>
      </c>
    </row>
    <row r="24" customFormat="false" ht="15.6" hidden="false" customHeight="false" outlineLevel="0" collapsed="false">
      <c r="A24" s="0" t="n">
        <f aca="false">A23+1</f>
        <v>19</v>
      </c>
    </row>
    <row r="25" customFormat="false" ht="15.6" hidden="false" customHeight="false" outlineLevel="0" collapsed="false">
      <c r="A25" s="0" t="n">
        <f aca="false">A24+1</f>
        <v>20</v>
      </c>
    </row>
    <row r="26" customFormat="false" ht="15.6" hidden="false" customHeight="false" outlineLevel="0" collapsed="false">
      <c r="A26" s="0" t="n">
        <f aca="false">A25+1</f>
        <v>21</v>
      </c>
    </row>
    <row r="27" customFormat="false" ht="15.6" hidden="false" customHeight="false" outlineLevel="0" collapsed="false">
      <c r="A27" s="0" t="n">
        <f aca="false">A26+1</f>
        <v>22</v>
      </c>
    </row>
    <row r="28" customFormat="false" ht="15.6" hidden="false" customHeight="false" outlineLevel="0" collapsed="false">
      <c r="A28" s="0" t="n">
        <f aca="false">A27+1</f>
        <v>23</v>
      </c>
    </row>
    <row r="29" customFormat="false" ht="15.6" hidden="false" customHeight="false" outlineLevel="0" collapsed="false">
      <c r="A29" s="0" t="n">
        <f aca="false">A28+1</f>
        <v>24</v>
      </c>
    </row>
    <row r="30" customFormat="false" ht="15.6" hidden="false" customHeight="false" outlineLevel="0" collapsed="false">
      <c r="A30" s="0" t="n">
        <f aca="false">A29+1</f>
        <v>25</v>
      </c>
    </row>
    <row r="31" customFormat="false" ht="15.6" hidden="false" customHeight="false" outlineLevel="0" collapsed="false">
      <c r="A31" s="0" t="n">
        <f aca="false">A30+1</f>
        <v>26</v>
      </c>
    </row>
    <row r="32" customFormat="false" ht="15.6" hidden="false" customHeight="false" outlineLevel="0" collapsed="false">
      <c r="A32" s="0" t="n">
        <f aca="false">A31+1</f>
        <v>27</v>
      </c>
    </row>
    <row r="33" customFormat="false" ht="15.6" hidden="false" customHeight="false" outlineLevel="0" collapsed="false">
      <c r="A33" s="0" t="n">
        <f aca="false">A32+1</f>
        <v>28</v>
      </c>
    </row>
    <row r="34" customFormat="false" ht="15.6" hidden="false" customHeight="false" outlineLevel="0" collapsed="false">
      <c r="A34" s="0" t="n">
        <f aca="false">A33+1</f>
        <v>29</v>
      </c>
    </row>
    <row r="35" customFormat="false" ht="15.6" hidden="false" customHeight="false" outlineLevel="0" collapsed="false">
      <c r="A35" s="0" t="n">
        <f aca="false">A34+1</f>
        <v>30</v>
      </c>
    </row>
    <row r="36" customFormat="false" ht="15.6" hidden="false" customHeight="false" outlineLevel="0" collapsed="false">
      <c r="A36" s="0" t="n">
        <f aca="false">A35+1</f>
        <v>31</v>
      </c>
    </row>
    <row r="37" customFormat="false" ht="15.6" hidden="false" customHeight="false" outlineLevel="0" collapsed="false">
      <c r="A37" s="0" t="n">
        <f aca="false">A36+1</f>
        <v>32</v>
      </c>
    </row>
  </sheetData>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BS366"/>
  <sheetViews>
    <sheetView windowProtection="false" showFormulas="false" showGridLines="true" showRowColHeaders="true" showZeros="true" rightToLeft="false" tabSelected="true" showOutlineSymbols="true" defaultGridColor="true" view="normal" topLeftCell="A94" colorId="64" zoomScale="90" zoomScaleNormal="90" zoomScalePageLayoutView="100" workbookViewId="0">
      <selection pane="topLeft" activeCell="D117" activeCellId="0" sqref="D117"/>
    </sheetView>
  </sheetViews>
  <sheetFormatPr defaultRowHeight="15.6"/>
  <cols>
    <col collapsed="false" hidden="false" max="1" min="1" style="0" width="11.2703703703704"/>
    <col collapsed="false" hidden="false" max="2" min="2" style="0" width="54.0925925925926"/>
    <col collapsed="false" hidden="false" max="4" min="3" style="0" width="12.4444444444444"/>
    <col collapsed="false" hidden="false" max="5" min="5" style="0" width="16.3666666666667"/>
    <col collapsed="false" hidden="false" max="6" min="6" style="0" width="22.8333333333333"/>
    <col collapsed="false" hidden="false" max="7" min="7" style="0" width="15.8740740740741"/>
    <col collapsed="false" hidden="false" max="8" min="8" style="0" width="17.1481481481481"/>
    <col collapsed="false" hidden="false" max="9" min="9" style="0" width="14.7962962962963"/>
    <col collapsed="false" hidden="false" max="10" min="10" style="0" width="11.2703703703704"/>
    <col collapsed="false" hidden="false" max="11" min="11" style="0" width="16.3666666666667"/>
    <col collapsed="false" hidden="false" max="12" min="12" style="0" width="24.3037037037037"/>
    <col collapsed="false" hidden="false" max="13" min="13" style="0" width="15.6777777777778"/>
    <col collapsed="false" hidden="false" max="14" min="14" style="0" width="11.2703703703704"/>
    <col collapsed="false" hidden="false" max="15" min="15" style="0" width="15.3851851851852"/>
    <col collapsed="false" hidden="false" max="16" min="16" style="0" width="12.937037037037"/>
    <col collapsed="false" hidden="false" max="17" min="17" style="0" width="13.6222222222222"/>
    <col collapsed="false" hidden="false" max="18" min="18" style="0" width="11.2703703703704"/>
    <col collapsed="false" hidden="false" max="19" min="19" style="0" width="13.6222222222222"/>
    <col collapsed="false" hidden="false" max="20" min="20" style="0" width="14.1111111111111"/>
    <col collapsed="false" hidden="false" max="21" min="21" style="0" width="12.4444444444444"/>
    <col collapsed="false" hidden="false" max="22" min="22" style="0" width="12.937037037037"/>
    <col collapsed="false" hidden="false" max="23" min="23" style="0" width="11.2703703703704"/>
    <col collapsed="false" hidden="false" max="24" min="24" style="0" width="16.0703703703704"/>
    <col collapsed="false" hidden="false" max="27" min="25" style="0" width="11.2703703703704"/>
    <col collapsed="false" hidden="false" max="28" min="28" style="0" width="11.4666666666667"/>
    <col collapsed="false" hidden="false" max="30" min="29" style="0" width="11.2703703703704"/>
    <col collapsed="false" hidden="false" max="31" min="31" style="0" width="13.8185185185185"/>
    <col collapsed="false" hidden="false" max="32" min="32" style="0" width="11.2703703703704"/>
    <col collapsed="false" hidden="false" max="33" min="33" style="0" width="12.5444444444444"/>
    <col collapsed="false" hidden="false" max="34" min="34" style="0" width="11.7592592592593"/>
    <col collapsed="false" hidden="false" max="35" min="35" style="0" width="11.2703703703704"/>
    <col collapsed="false" hidden="false" max="36" min="36" style="0" width="13.6222222222222"/>
    <col collapsed="false" hidden="false" max="40" min="37" style="0" width="11.2703703703704"/>
    <col collapsed="false" hidden="false" max="41" min="41" style="0" width="13.8185185185185"/>
    <col collapsed="false" hidden="false" max="46" min="42" style="0" width="11.2703703703704"/>
    <col collapsed="false" hidden="false" max="47" min="47" style="0" width="14.5037037037037"/>
    <col collapsed="false" hidden="false" max="48" min="48" style="0" width="11.2703703703704"/>
    <col collapsed="false" hidden="false" max="49" min="49" style="0" width="15.6777777777778"/>
    <col collapsed="false" hidden="false" max="51" min="50" style="0" width="11.2703703703704"/>
    <col collapsed="false" hidden="false" max="52" min="52" style="0" width="14.5037037037037"/>
    <col collapsed="false" hidden="false" max="53" min="53" style="0" width="11.2703703703704"/>
    <col collapsed="false" hidden="false" max="54" min="54" style="0" width="17.0518518518519"/>
    <col collapsed="false" hidden="false" max="56" min="55" style="0" width="11.2703703703704"/>
    <col collapsed="false" hidden="false" max="57" min="57" style="0" width="19.2074074074074"/>
    <col collapsed="false" hidden="false" max="58" min="58" style="0" width="11.2703703703704"/>
    <col collapsed="false" hidden="false" max="59" min="59" style="0" width="17.1481481481481"/>
    <col collapsed="false" hidden="false" max="1025" min="60" style="0" width="11.2703703703704"/>
  </cols>
  <sheetData>
    <row r="1" customFormat="false" ht="15.6" hidden="false" customHeight="false" outlineLevel="0" collapsed="false">
      <c r="A1" s="1" t="s">
        <v>79</v>
      </c>
      <c r="B1" s="1"/>
      <c r="C1" s="1"/>
      <c r="D1" s="1"/>
      <c r="E1" s="1"/>
      <c r="F1" s="1"/>
      <c r="G1" s="1"/>
    </row>
    <row r="2" customFormat="false" ht="15" hidden="false" customHeight="true" outlineLevel="0" collapsed="false">
      <c r="A2" s="1" t="s">
        <v>80</v>
      </c>
      <c r="B2" s="1"/>
      <c r="C2" s="1"/>
      <c r="D2" s="1"/>
      <c r="E2" s="1"/>
      <c r="F2" s="1"/>
      <c r="G2" s="1"/>
      <c r="H2" s="45"/>
    </row>
    <row r="3" customFormat="false" ht="15" hidden="false" customHeight="true" outlineLevel="0" collapsed="false">
      <c r="A3" s="1" t="s">
        <v>81</v>
      </c>
      <c r="B3" s="1"/>
      <c r="C3" s="1"/>
      <c r="D3" s="1"/>
      <c r="E3" s="1"/>
      <c r="F3" s="1"/>
      <c r="G3" s="1"/>
      <c r="H3" s="45"/>
    </row>
    <row r="4" customFormat="false" ht="15" hidden="false" customHeight="true" outlineLevel="0" collapsed="false">
      <c r="A4" s="7" t="s">
        <v>9</v>
      </c>
      <c r="B4" s="7"/>
      <c r="C4" s="8" t="s">
        <v>10</v>
      </c>
      <c r="D4" s="9"/>
      <c r="E4" s="45"/>
      <c r="F4" s="45"/>
      <c r="G4" s="45"/>
      <c r="H4" s="45"/>
    </row>
    <row r="5" customFormat="false" ht="15" hidden="false" customHeight="true" outlineLevel="0" collapsed="false">
      <c r="A5" s="7" t="s">
        <v>12</v>
      </c>
      <c r="B5" s="7"/>
      <c r="C5" s="10" t="s">
        <v>13</v>
      </c>
      <c r="E5" s="45"/>
      <c r="F5" s="45"/>
      <c r="G5" s="45"/>
      <c r="H5" s="45"/>
    </row>
    <row r="6" customFormat="false" ht="15" hidden="false" customHeight="true" outlineLevel="0" collapsed="false">
      <c r="A6" s="11" t="s">
        <v>15</v>
      </c>
      <c r="B6" s="11"/>
      <c r="C6" s="12"/>
      <c r="E6" s="45"/>
      <c r="F6" s="45"/>
      <c r="G6" s="45"/>
      <c r="H6" s="45"/>
    </row>
    <row r="7" customFormat="false" ht="15" hidden="false" customHeight="true" outlineLevel="0" collapsed="false">
      <c r="A7" s="11" t="s">
        <v>15</v>
      </c>
      <c r="B7" s="11"/>
      <c r="C7" s="12"/>
      <c r="E7" s="45"/>
      <c r="F7" s="45"/>
      <c r="G7" s="45"/>
      <c r="H7" s="45"/>
    </row>
    <row r="8" customFormat="false" ht="15" hidden="false" customHeight="true" outlineLevel="0" collapsed="false">
      <c r="B8" s="45"/>
      <c r="C8" s="45"/>
      <c r="D8" s="45"/>
      <c r="E8" s="45"/>
      <c r="F8" s="45"/>
      <c r="G8" s="45"/>
      <c r="H8" s="45"/>
    </row>
    <row r="10" customFormat="false" ht="15.6" hidden="false" customHeight="false" outlineLevel="0" collapsed="false">
      <c r="A10" s="46" t="s">
        <v>82</v>
      </c>
      <c r="B10" s="46"/>
      <c r="C10" s="47" t="n">
        <v>3</v>
      </c>
      <c r="D10" s="48" t="s">
        <v>83</v>
      </c>
      <c r="E10" s="48"/>
      <c r="F10" s="48"/>
      <c r="G10" s="48"/>
      <c r="H10" s="48"/>
    </row>
    <row r="11" s="36" customFormat="true" ht="16.2" hidden="false" customHeight="false" outlineLevel="0" collapsed="false">
      <c r="A11" s="49"/>
      <c r="B11" s="36" t="s">
        <v>84</v>
      </c>
    </row>
    <row r="12" customFormat="false" ht="15" hidden="false" customHeight="true" outlineLevel="0" collapsed="false">
      <c r="A12" s="50" t="s">
        <v>85</v>
      </c>
      <c r="B12" s="51" t="s">
        <v>86</v>
      </c>
      <c r="E12" s="9" t="s">
        <v>87</v>
      </c>
    </row>
    <row r="13" customFormat="false" ht="15.6" hidden="false" customHeight="false" outlineLevel="0" collapsed="false">
      <c r="A13" s="50"/>
      <c r="B13" s="52" t="s">
        <v>88</v>
      </c>
      <c r="C13" s="53" t="n">
        <v>0</v>
      </c>
      <c r="E13" s="1" t="s">
        <v>89</v>
      </c>
      <c r="F13" s="1"/>
      <c r="G13" s="1" t="s">
        <v>90</v>
      </c>
      <c r="H13" s="1"/>
      <c r="N13" s="11" t="s">
        <v>91</v>
      </c>
      <c r="O13" s="9"/>
      <c r="P13" s="54"/>
      <c r="Q13" s="9"/>
      <c r="R13" s="9"/>
      <c r="S13" s="11" t="s">
        <v>38</v>
      </c>
      <c r="Y13" s="11" t="s">
        <v>92</v>
      </c>
    </row>
    <row r="14" customFormat="false" ht="15.6" hidden="false" customHeight="false" outlineLevel="0" collapsed="false">
      <c r="A14" s="50"/>
      <c r="B14" s="52" t="s">
        <v>93</v>
      </c>
      <c r="C14" s="53" t="n">
        <v>500</v>
      </c>
      <c r="E14" s="55" t="s">
        <v>33</v>
      </c>
      <c r="F14" s="34" t="n">
        <f aca="false">'CS_1 Y carriage and table'!B45</f>
        <v>0.005</v>
      </c>
      <c r="G14" s="55" t="s">
        <v>33</v>
      </c>
      <c r="H14" s="34" t="n">
        <f aca="false">'CS_1 Y carriage and table'!B52</f>
        <v>0</v>
      </c>
      <c r="O14" s="0" t="s">
        <v>42</v>
      </c>
      <c r="P14" s="31" t="s">
        <v>43</v>
      </c>
      <c r="Q14" s="17" t="s">
        <v>44</v>
      </c>
      <c r="R14" s="17" t="s">
        <v>45</v>
      </c>
      <c r="T14" s="0" t="s">
        <v>42</v>
      </c>
      <c r="U14" s="31" t="s">
        <v>43</v>
      </c>
      <c r="V14" s="17" t="s">
        <v>44</v>
      </c>
      <c r="W14" s="17" t="s">
        <v>45</v>
      </c>
      <c r="Y14" s="0" t="s">
        <v>42</v>
      </c>
      <c r="Z14" s="31" t="s">
        <v>43</v>
      </c>
      <c r="AA14" s="17" t="s">
        <v>44</v>
      </c>
      <c r="AB14" s="17" t="s">
        <v>45</v>
      </c>
    </row>
    <row r="15" customFormat="false" ht="15.6" hidden="false" customHeight="false" outlineLevel="0" collapsed="false">
      <c r="A15" s="50"/>
      <c r="B15" s="52" t="s">
        <v>94</v>
      </c>
      <c r="C15" s="53" t="n">
        <v>0</v>
      </c>
      <c r="E15" s="55" t="s">
        <v>34</v>
      </c>
      <c r="F15" s="34" t="n">
        <f aca="false">'CS_1 Y carriage and table'!B46</f>
        <v>0.005</v>
      </c>
      <c r="G15" s="55" t="s">
        <v>34</v>
      </c>
      <c r="H15" s="34" t="n">
        <f aca="false">'CS_1 Y carriage and table'!B53</f>
        <v>0</v>
      </c>
      <c r="N15" s="55" t="s">
        <v>33</v>
      </c>
      <c r="O15" s="56" t="n">
        <f aca="false">ABS(F14)</f>
        <v>0.005</v>
      </c>
      <c r="P15" s="56" t="n">
        <f aca="false">ABS(F17*O29)</f>
        <v>0</v>
      </c>
      <c r="Q15" s="56" t="n">
        <f aca="false">ABS(F18*P29)</f>
        <v>0</v>
      </c>
      <c r="R15" s="56" t="n">
        <f aca="false">ABS(F19*Q29)</f>
        <v>0.0666666555555562</v>
      </c>
      <c r="S15" s="55" t="s">
        <v>33</v>
      </c>
      <c r="T15" s="35" t="n">
        <f aca="false" t="array" ref="T15:W18">ABS(MMULT(T33:W36,O15:R18))</f>
        <v>0.005</v>
      </c>
      <c r="U15" s="35" t="n">
        <v>0</v>
      </c>
      <c r="V15" s="35" t="n">
        <v>0</v>
      </c>
      <c r="W15" s="35" t="n">
        <v>0.0666666555555562</v>
      </c>
      <c r="X15" s="32" t="s">
        <v>33</v>
      </c>
      <c r="Y15" s="35" t="n">
        <f aca="false">F21+F28</f>
        <v>0</v>
      </c>
      <c r="Z15" s="57" t="n">
        <f aca="false">F24*O29</f>
        <v>-0</v>
      </c>
      <c r="AA15" s="57" t="n">
        <f aca="false">F25*P29</f>
        <v>0</v>
      </c>
      <c r="AB15" s="57" t="n">
        <f aca="false">F26*Q29</f>
        <v>-0</v>
      </c>
    </row>
    <row r="16" customFormat="false" ht="15" hidden="false" customHeight="true" outlineLevel="0" collapsed="false">
      <c r="A16" s="58" t="n">
        <v>1</v>
      </c>
      <c r="B16" s="9" t="s">
        <v>95</v>
      </c>
      <c r="C16" s="21"/>
      <c r="E16" s="55" t="s">
        <v>35</v>
      </c>
      <c r="F16" s="34" t="n">
        <f aca="false">'CS_1 Y carriage and table'!B47</f>
        <v>0.005</v>
      </c>
      <c r="G16" s="55" t="s">
        <v>35</v>
      </c>
      <c r="H16" s="34" t="n">
        <f aca="false">'CS_1 Y carriage and table'!B54</f>
        <v>0</v>
      </c>
      <c r="N16" s="55" t="s">
        <v>34</v>
      </c>
      <c r="O16" s="56" t="n">
        <f aca="false">ABS(F15)</f>
        <v>0.005</v>
      </c>
      <c r="P16" s="56" t="n">
        <f aca="false">ABS(F17*O30)</f>
        <v>1.66666652792931E-005</v>
      </c>
      <c r="Q16" s="56" t="n">
        <f aca="false">ABS(F18*P30)</f>
        <v>0</v>
      </c>
      <c r="R16" s="56" t="n">
        <f aca="false">ABS(F19*Q30)</f>
        <v>3.33333305585863E-005</v>
      </c>
      <c r="S16" s="55" t="s">
        <v>34</v>
      </c>
      <c r="T16" s="35" t="n">
        <v>0.005</v>
      </c>
      <c r="U16" s="35" t="n">
        <v>1.66666652792931E-005</v>
      </c>
      <c r="V16" s="35" t="n">
        <v>0</v>
      </c>
      <c r="W16" s="35" t="n">
        <v>3.33333305585863E-005</v>
      </c>
      <c r="X16" s="32" t="s">
        <v>34</v>
      </c>
      <c r="Y16" s="35" t="n">
        <f aca="false">F22+F29</f>
        <v>0</v>
      </c>
      <c r="Z16" s="57" t="n">
        <f aca="false">F24*O30</f>
        <v>0.000372717970771468</v>
      </c>
      <c r="AA16" s="57" t="n">
        <f aca="false">F25*P30</f>
        <v>0</v>
      </c>
      <c r="AB16" s="57" t="n">
        <f aca="false">F26*Q30</f>
        <v>-0</v>
      </c>
    </row>
    <row r="17" customFormat="false" ht="15" hidden="false" customHeight="true" outlineLevel="0" collapsed="false">
      <c r="A17" s="59" t="n">
        <f aca="false">IF(A16&gt;Naxes,0,1)</f>
        <v>1</v>
      </c>
      <c r="B17" s="60" t="s">
        <v>96</v>
      </c>
      <c r="C17" s="47" t="n">
        <v>0</v>
      </c>
      <c r="E17" s="55" t="s">
        <v>97</v>
      </c>
      <c r="F17" s="34" t="n">
        <f aca="false">'CS_1 Y carriage and table'!B48</f>
        <v>6.66666666666667E-005</v>
      </c>
      <c r="G17" s="55" t="s">
        <v>97</v>
      </c>
      <c r="H17" s="34" t="n">
        <f aca="false">'CS_1 Y carriage and table'!B55</f>
        <v>0</v>
      </c>
      <c r="N17" s="55" t="s">
        <v>35</v>
      </c>
      <c r="O17" s="56" t="n">
        <f aca="false">ABS(F16)</f>
        <v>0.005</v>
      </c>
      <c r="P17" s="56" t="n">
        <f aca="false">ABS(F17*O31)</f>
        <v>0.0333333277777781</v>
      </c>
      <c r="Q17" s="56" t="n">
        <f aca="false">ABS(F18*P31)</f>
        <v>0</v>
      </c>
      <c r="R17" s="56" t="n">
        <f aca="false">ABS(F19*Q31)</f>
        <v>0</v>
      </c>
      <c r="S17" s="55" t="s">
        <v>35</v>
      </c>
      <c r="T17" s="35" t="n">
        <v>0.005</v>
      </c>
      <c r="U17" s="35" t="n">
        <v>0.0333333277777781</v>
      </c>
      <c r="V17" s="35" t="n">
        <v>0</v>
      </c>
      <c r="W17" s="35" t="n">
        <v>0</v>
      </c>
      <c r="X17" s="32" t="s">
        <v>35</v>
      </c>
      <c r="Y17" s="35" t="n">
        <f aca="false">F23+F30</f>
        <v>-1.02638448626407</v>
      </c>
      <c r="Z17" s="57" t="n">
        <f aca="false">F24*O31</f>
        <v>-0.745435879355499</v>
      </c>
      <c r="AA17" s="57" t="n">
        <f aca="false">F25*P31</f>
        <v>0</v>
      </c>
      <c r="AB17" s="57" t="n">
        <f aca="false">F26*Q31</f>
        <v>0</v>
      </c>
    </row>
    <row r="18" customFormat="false" ht="15" hidden="false" customHeight="true" outlineLevel="0" collapsed="false">
      <c r="A18" s="61" t="s">
        <v>98</v>
      </c>
      <c r="B18" s="60" t="s">
        <v>99</v>
      </c>
      <c r="C18" s="47" t="n">
        <v>0</v>
      </c>
      <c r="E18" s="55" t="s">
        <v>100</v>
      </c>
      <c r="F18" s="34" t="n">
        <f aca="false">'CS_1 Y carriage and table'!B49</f>
        <v>6.66666666666667E-005</v>
      </c>
      <c r="G18" s="55" t="s">
        <v>100</v>
      </c>
      <c r="H18" s="34" t="n">
        <f aca="false">'CS_1 Y carriage and table'!B56</f>
        <v>0</v>
      </c>
      <c r="N18" s="41" t="s">
        <v>101</v>
      </c>
      <c r="O18" s="57" t="n">
        <v>1</v>
      </c>
      <c r="P18" s="57" t="n">
        <v>1</v>
      </c>
      <c r="Q18" s="57" t="n">
        <v>1</v>
      </c>
      <c r="R18" s="57" t="n">
        <v>1</v>
      </c>
      <c r="S18" s="41" t="s">
        <v>101</v>
      </c>
      <c r="T18" s="35" t="n">
        <v>1</v>
      </c>
      <c r="U18" s="35" t="n">
        <v>1</v>
      </c>
      <c r="V18" s="35" t="n">
        <v>1</v>
      </c>
      <c r="W18" s="35" t="n">
        <v>1</v>
      </c>
      <c r="X18" s="41" t="s">
        <v>101</v>
      </c>
      <c r="Y18" s="57" t="n">
        <v>1</v>
      </c>
      <c r="Z18" s="57" t="n">
        <v>1</v>
      </c>
      <c r="AA18" s="57" t="n">
        <v>1</v>
      </c>
      <c r="AB18" s="57" t="n">
        <v>1</v>
      </c>
      <c r="AE18" s="62" t="n">
        <v>1</v>
      </c>
      <c r="AF18" s="35" t="n">
        <v>0</v>
      </c>
      <c r="AG18" s="35" t="n">
        <v>0</v>
      </c>
      <c r="AH18" s="63" t="n">
        <v>0</v>
      </c>
      <c r="AJ18" s="35" t="n">
        <v>0.999999500000042</v>
      </c>
      <c r="AK18" s="35" t="n">
        <v>0</v>
      </c>
      <c r="AL18" s="35" t="n">
        <v>0.000999999833333342</v>
      </c>
      <c r="AM18" s="35" t="n">
        <v>0</v>
      </c>
      <c r="AO18" s="35" t="n">
        <v>0.999999500000042</v>
      </c>
      <c r="AP18" s="35" t="n">
        <v>-0.000999999833333342</v>
      </c>
      <c r="AQ18" s="35" t="n">
        <v>0</v>
      </c>
      <c r="AR18" s="35" t="n">
        <v>0</v>
      </c>
    </row>
    <row r="19" customFormat="false" ht="15" hidden="false" customHeight="true" outlineLevel="0" collapsed="false">
      <c r="A19" s="61"/>
      <c r="B19" s="60" t="s">
        <v>102</v>
      </c>
      <c r="C19" s="47" t="n">
        <v>0</v>
      </c>
      <c r="D19" s="64" t="s">
        <v>103</v>
      </c>
      <c r="E19" s="55" t="s">
        <v>104</v>
      </c>
      <c r="F19" s="34" t="n">
        <f aca="false">'CS_1 Y carriage and table'!B50</f>
        <v>0.000133333333333333</v>
      </c>
      <c r="G19" s="55" t="s">
        <v>104</v>
      </c>
      <c r="H19" s="34" t="n">
        <f aca="false">'CS_1 Y carriage and table'!B57</f>
        <v>0</v>
      </c>
      <c r="X19" s="41"/>
      <c r="AE19" s="62" t="n">
        <v>0</v>
      </c>
      <c r="AF19" s="35" t="n">
        <v>0.999999500000042</v>
      </c>
      <c r="AG19" s="35" t="n">
        <v>-0.000999999833333342</v>
      </c>
      <c r="AH19" s="63" t="n">
        <v>0</v>
      </c>
      <c r="AJ19" s="35" t="n">
        <v>0</v>
      </c>
      <c r="AK19" s="35" t="n">
        <v>0.999999500000042</v>
      </c>
      <c r="AL19" s="35" t="n">
        <v>0</v>
      </c>
      <c r="AM19" s="35" t="n">
        <v>0</v>
      </c>
      <c r="AO19" s="35" t="n">
        <v>0.000999999833333342</v>
      </c>
      <c r="AP19" s="35" t="n">
        <v>0.999999500000042</v>
      </c>
      <c r="AQ19" s="35" t="n">
        <v>0</v>
      </c>
      <c r="AR19" s="35" t="n">
        <v>0</v>
      </c>
    </row>
    <row r="20" customFormat="false" ht="30" hidden="false" customHeight="true" outlineLevel="0" collapsed="false">
      <c r="A20" s="61"/>
      <c r="B20" s="60" t="s">
        <v>105</v>
      </c>
      <c r="C20" s="65" t="n">
        <v>0</v>
      </c>
      <c r="D20" s="64"/>
      <c r="E20" s="18" t="s">
        <v>106</v>
      </c>
      <c r="F20" s="18"/>
      <c r="G20" s="1" t="s">
        <v>107</v>
      </c>
      <c r="H20" s="1"/>
      <c r="I20" s="18" t="s">
        <v>108</v>
      </c>
      <c r="J20" s="18"/>
      <c r="K20" s="18" t="s">
        <v>109</v>
      </c>
      <c r="L20" s="18"/>
      <c r="M20" s="54"/>
      <c r="N20" s="11" t="s">
        <v>110</v>
      </c>
      <c r="O20" s="9"/>
      <c r="P20" s="54"/>
      <c r="Q20" s="9"/>
      <c r="R20" s="9"/>
      <c r="S20" s="11" t="s">
        <v>39</v>
      </c>
      <c r="X20" s="41"/>
      <c r="Y20" s="11" t="s">
        <v>111</v>
      </c>
      <c r="AE20" s="62" t="n">
        <v>0</v>
      </c>
      <c r="AF20" s="35" t="n">
        <v>0.000999999833333342</v>
      </c>
      <c r="AG20" s="35" t="n">
        <v>0.999999500000042</v>
      </c>
      <c r="AH20" s="63" t="n">
        <v>0</v>
      </c>
      <c r="AJ20" s="35" t="n">
        <v>-0.000999999833333342</v>
      </c>
      <c r="AK20" s="35" t="n">
        <v>0</v>
      </c>
      <c r="AL20" s="35" t="n">
        <v>1</v>
      </c>
      <c r="AM20" s="35" t="n">
        <v>0</v>
      </c>
      <c r="AO20" s="35" t="n">
        <v>0</v>
      </c>
      <c r="AP20" s="35" t="n">
        <v>0</v>
      </c>
      <c r="AQ20" s="35" t="n">
        <v>1</v>
      </c>
      <c r="AR20" s="35" t="n">
        <v>0</v>
      </c>
    </row>
    <row r="21" customFormat="false" ht="15" hidden="false" customHeight="true" outlineLevel="0" collapsed="false">
      <c r="A21" s="61"/>
      <c r="B21" s="60" t="s">
        <v>112</v>
      </c>
      <c r="C21" s="66" t="n">
        <v>0</v>
      </c>
      <c r="D21" s="64"/>
      <c r="E21" s="55" t="s">
        <v>33</v>
      </c>
      <c r="F21" s="35" t="n">
        <f aca="false">E37/IF(H21=0,1000000000000,H21)</f>
        <v>0</v>
      </c>
      <c r="G21" s="55" t="s">
        <v>113</v>
      </c>
      <c r="H21" s="67" t="n">
        <f aca="false">'CS_1 Y carriage and table'!B25</f>
        <v>2312800</v>
      </c>
      <c r="I21" s="55" t="s">
        <v>97</v>
      </c>
      <c r="J21" s="35" t="n">
        <f aca="false">A50*F64</f>
        <v>-0.000763824093742977</v>
      </c>
      <c r="K21" s="55" t="s">
        <v>97</v>
      </c>
      <c r="L21" s="68" t="n">
        <f aca="false" t="array" ref="L21:L24">MMULT(MINVERSE(O33:R36),J21:J24)</f>
        <v>-0.000763824093742977</v>
      </c>
      <c r="O21" s="0" t="s">
        <v>42</v>
      </c>
      <c r="P21" s="31" t="s">
        <v>43</v>
      </c>
      <c r="Q21" s="17" t="s">
        <v>44</v>
      </c>
      <c r="R21" s="17" t="s">
        <v>45</v>
      </c>
      <c r="T21" s="0" t="s">
        <v>42</v>
      </c>
      <c r="U21" s="31" t="s">
        <v>43</v>
      </c>
      <c r="V21" s="17" t="s">
        <v>44</v>
      </c>
      <c r="W21" s="17" t="s">
        <v>45</v>
      </c>
      <c r="X21" s="41"/>
      <c r="Y21" s="0" t="s">
        <v>42</v>
      </c>
      <c r="Z21" s="31" t="s">
        <v>43</v>
      </c>
      <c r="AA21" s="17" t="s">
        <v>44</v>
      </c>
      <c r="AB21" s="17" t="s">
        <v>45</v>
      </c>
      <c r="AE21" s="62" t="n">
        <v>0</v>
      </c>
      <c r="AF21" s="35" t="n">
        <v>0</v>
      </c>
      <c r="AG21" s="35" t="n">
        <v>0</v>
      </c>
      <c r="AH21" s="63" t="n">
        <v>1</v>
      </c>
      <c r="AJ21" s="35" t="n">
        <v>0</v>
      </c>
      <c r="AK21" s="35" t="n">
        <v>0</v>
      </c>
      <c r="AL21" s="35" t="n">
        <v>0</v>
      </c>
      <c r="AM21" s="35" t="n">
        <v>1</v>
      </c>
      <c r="AO21" s="35" t="n">
        <v>0</v>
      </c>
      <c r="AP21" s="35" t="n">
        <v>0</v>
      </c>
      <c r="AQ21" s="35" t="n">
        <v>0</v>
      </c>
      <c r="AR21" s="35" t="n">
        <v>1</v>
      </c>
    </row>
    <row r="22" customFormat="false" ht="15" hidden="false" customHeight="true" outlineLevel="0" collapsed="false">
      <c r="A22" s="69" t="s">
        <v>114</v>
      </c>
      <c r="B22" s="60" t="s">
        <v>115</v>
      </c>
      <c r="C22" s="70" t="n">
        <f aca="false">Summary!K9+Summary!L9+Summary!M9</f>
        <v>500</v>
      </c>
      <c r="D22" s="64"/>
      <c r="E22" s="55" t="s">
        <v>34</v>
      </c>
      <c r="F22" s="35" t="n">
        <f aca="false">E38/IF(H22=0,1000000000000,H22)</f>
        <v>0</v>
      </c>
      <c r="G22" s="55" t="s">
        <v>116</v>
      </c>
      <c r="H22" s="57" t="n">
        <f aca="false">'CS_1 Y carriage and table'!B26</f>
        <v>0</v>
      </c>
      <c r="I22" s="55" t="s">
        <v>100</v>
      </c>
      <c r="J22" s="35" t="n">
        <f aca="false">A50*F65</f>
        <v>0</v>
      </c>
      <c r="K22" s="55" t="s">
        <v>100</v>
      </c>
      <c r="L22" s="68" t="n">
        <v>0</v>
      </c>
      <c r="N22" s="55" t="s">
        <v>33</v>
      </c>
      <c r="O22" s="56" t="n">
        <f aca="false">H14</f>
        <v>0</v>
      </c>
      <c r="P22" s="56" t="n">
        <f aca="false">H17*O29</f>
        <v>0</v>
      </c>
      <c r="Q22" s="56" t="n">
        <f aca="false">H18*P29</f>
        <v>0</v>
      </c>
      <c r="R22" s="56" t="n">
        <f aca="false">H19*Q29</f>
        <v>0</v>
      </c>
      <c r="S22" s="55" t="s">
        <v>33</v>
      </c>
      <c r="T22" s="56" t="n">
        <f aca="false" t="array" ref="T22:T25">MMULT(T33:W36,O22:O25)</f>
        <v>0</v>
      </c>
      <c r="U22" s="56" t="n">
        <f aca="false" t="array" ref="U22:U25">MMULT(T33:W36,P22:P25)</f>
        <v>0</v>
      </c>
      <c r="V22" s="56" t="n">
        <f aca="false" t="array" ref="V22:V25">MMULT(T33:W36,Q22:Q25)</f>
        <v>0</v>
      </c>
      <c r="W22" s="56" t="n">
        <f aca="false" t="array" ref="W22:W25">MMULT(T33:W36,R22:R25)</f>
        <v>0</v>
      </c>
      <c r="X22" s="32" t="s">
        <v>33</v>
      </c>
      <c r="Y22" s="57" t="n">
        <f aca="false" t="array" ref="Y22:Y25">MMULT(T33:W36,Y15:Y18)</f>
        <v>0</v>
      </c>
      <c r="Z22" s="57" t="n">
        <f aca="false" t="array" ref="Z22:Z25">MMULT(T33:W36,Z15:Z18)</f>
        <v>0</v>
      </c>
      <c r="AA22" s="57" t="n">
        <f aca="false" t="array" ref="AA22:AA25">MMULT(T33:W36,AA15:AA18)</f>
        <v>0</v>
      </c>
      <c r="AB22" s="57" t="n">
        <f aca="false" t="array" ref="AB22:AB25">MMULT(T33:W36,AB15:AB18)</f>
        <v>0</v>
      </c>
    </row>
    <row r="23" customFormat="false" ht="15" hidden="false" customHeight="true" outlineLevel="0" collapsed="false">
      <c r="A23" s="69"/>
      <c r="B23" s="11" t="s">
        <v>117</v>
      </c>
      <c r="E23" s="55" t="s">
        <v>35</v>
      </c>
      <c r="F23" s="35" t="n">
        <f aca="false">E39/IF(H23=0,1000000000000,H23)</f>
        <v>-8.47457627118644E-005</v>
      </c>
      <c r="G23" s="55" t="s">
        <v>118</v>
      </c>
      <c r="H23" s="57" t="n">
        <f aca="false">'CS_1 Y carriage and table'!B27</f>
        <v>2312800</v>
      </c>
      <c r="I23" s="55" t="s">
        <v>104</v>
      </c>
      <c r="J23" s="35" t="n">
        <f aca="false">A50*F66</f>
        <v>0</v>
      </c>
      <c r="K23" s="55" t="s">
        <v>104</v>
      </c>
      <c r="L23" s="68" t="n">
        <v>0</v>
      </c>
      <c r="N23" s="55" t="s">
        <v>34</v>
      </c>
      <c r="O23" s="56" t="n">
        <f aca="false">H15</f>
        <v>0</v>
      </c>
      <c r="P23" s="56" t="n">
        <f aca="false">H17*O30</f>
        <v>0</v>
      </c>
      <c r="Q23" s="56" t="n">
        <f aca="false">H18*P30</f>
        <v>0</v>
      </c>
      <c r="R23" s="56" t="n">
        <f aca="false">H19*Q30</f>
        <v>0</v>
      </c>
      <c r="S23" s="55" t="s">
        <v>34</v>
      </c>
      <c r="T23" s="56" t="n">
        <v>0</v>
      </c>
      <c r="U23" s="56" t="n">
        <v>0</v>
      </c>
      <c r="V23" s="56" t="n">
        <v>0</v>
      </c>
      <c r="W23" s="56" t="n">
        <v>0</v>
      </c>
      <c r="X23" s="32" t="s">
        <v>34</v>
      </c>
      <c r="Y23" s="57" t="n">
        <v>0</v>
      </c>
      <c r="Z23" s="57" t="n">
        <v>0.000372717970771468</v>
      </c>
      <c r="AA23" s="57" t="n">
        <v>0</v>
      </c>
      <c r="AB23" s="57" t="n">
        <v>0</v>
      </c>
    </row>
    <row r="24" customFormat="false" ht="15" hidden="false" customHeight="true" outlineLevel="0" collapsed="false">
      <c r="A24" s="69"/>
      <c r="B24" s="52" t="s">
        <v>119</v>
      </c>
      <c r="C24" s="71" t="n">
        <f aca="false">AC33+C20</f>
        <v>0</v>
      </c>
      <c r="E24" s="55" t="s">
        <v>97</v>
      </c>
      <c r="F24" s="35" t="n">
        <f aca="false">E41/IF(H24=0,1000000000000,H24)+L21</f>
        <v>-0.00149087200718965</v>
      </c>
      <c r="G24" s="55" t="s">
        <v>120</v>
      </c>
      <c r="H24" s="57" t="n">
        <f aca="false">'CS_1 Y carriage and table'!B29</f>
        <v>134791666.666667</v>
      </c>
      <c r="I24" s="55" t="s">
        <v>121</v>
      </c>
      <c r="J24" s="57" t="n">
        <v>1</v>
      </c>
      <c r="K24" s="55" t="s">
        <v>121</v>
      </c>
      <c r="L24" s="68" t="n">
        <v>1</v>
      </c>
      <c r="N24" s="55" t="s">
        <v>35</v>
      </c>
      <c r="O24" s="56" t="n">
        <f aca="false">H16</f>
        <v>0</v>
      </c>
      <c r="P24" s="56" t="n">
        <f aca="false">H17*O31</f>
        <v>0</v>
      </c>
      <c r="Q24" s="56" t="n">
        <f aca="false">H18*P31</f>
        <v>0</v>
      </c>
      <c r="R24" s="56" t="n">
        <f aca="false">H19*Q31</f>
        <v>0</v>
      </c>
      <c r="S24" s="55" t="s">
        <v>35</v>
      </c>
      <c r="T24" s="56" t="n">
        <v>0</v>
      </c>
      <c r="U24" s="56" t="n">
        <v>0</v>
      </c>
      <c r="V24" s="56" t="n">
        <v>0</v>
      </c>
      <c r="W24" s="56" t="n">
        <v>0</v>
      </c>
      <c r="X24" s="32" t="s">
        <v>35</v>
      </c>
      <c r="Y24" s="57" t="n">
        <v>-1.02638448626407</v>
      </c>
      <c r="Z24" s="57" t="n">
        <v>-0.745435879355499</v>
      </c>
      <c r="AA24" s="57" t="n">
        <v>0</v>
      </c>
      <c r="AB24" s="57" t="n">
        <v>0</v>
      </c>
    </row>
    <row r="25" customFormat="false" ht="15" hidden="false" customHeight="true" outlineLevel="0" collapsed="false">
      <c r="A25" s="69"/>
      <c r="B25" s="52" t="s">
        <v>122</v>
      </c>
      <c r="C25" s="71" t="n">
        <f aca="false">AC34+C21</f>
        <v>500</v>
      </c>
      <c r="E25" s="55" t="s">
        <v>100</v>
      </c>
      <c r="F25" s="35" t="n">
        <f aca="false">E42/IF(H25=0,1000000000000,H25)+L22</f>
        <v>0</v>
      </c>
      <c r="G25" s="55" t="s">
        <v>123</v>
      </c>
      <c r="H25" s="57" t="n">
        <f aca="false">'CS_1 Y carriage and table'!B30</f>
        <v>16666250000</v>
      </c>
      <c r="K25" s="55"/>
      <c r="L25" s="55"/>
      <c r="N25" s="41" t="s">
        <v>101</v>
      </c>
      <c r="O25" s="57" t="n">
        <v>1</v>
      </c>
      <c r="P25" s="57" t="n">
        <v>1</v>
      </c>
      <c r="Q25" s="57" t="n">
        <v>1</v>
      </c>
      <c r="R25" s="57" t="n">
        <v>1</v>
      </c>
      <c r="S25" s="41" t="s">
        <v>101</v>
      </c>
      <c r="T25" s="57" t="n">
        <v>1</v>
      </c>
      <c r="U25" s="57" t="n">
        <v>1</v>
      </c>
      <c r="V25" s="57" t="n">
        <v>1</v>
      </c>
      <c r="W25" s="57" t="n">
        <v>1</v>
      </c>
      <c r="X25" s="41" t="s">
        <v>101</v>
      </c>
      <c r="Y25" s="57" t="n">
        <v>1</v>
      </c>
      <c r="Z25" s="57" t="n">
        <v>1</v>
      </c>
      <c r="AA25" s="57" t="n">
        <v>1</v>
      </c>
      <c r="AB25" s="57" t="n">
        <v>1</v>
      </c>
    </row>
    <row r="26" customFormat="false" ht="15.6" hidden="false" customHeight="false" outlineLevel="0" collapsed="false">
      <c r="A26" s="69"/>
      <c r="B26" s="52" t="s">
        <v>124</v>
      </c>
      <c r="C26" s="71" t="n">
        <f aca="false">AC35+C22</f>
        <v>500</v>
      </c>
      <c r="E26" s="55" t="s">
        <v>104</v>
      </c>
      <c r="F26" s="35" t="n">
        <f aca="false">E43/IF(H26=0,1000000000000,H26)+L23</f>
        <v>0</v>
      </c>
      <c r="G26" s="55" t="s">
        <v>125</v>
      </c>
      <c r="H26" s="57" t="n">
        <f aca="false">'CS_1 Y carriage and table'!B31</f>
        <v>134791666.666667</v>
      </c>
      <c r="K26" s="55"/>
      <c r="L26" s="55"/>
      <c r="S26" s="72"/>
      <c r="V26" s="73"/>
      <c r="AA26" s="73"/>
      <c r="AG26" s="73"/>
      <c r="AU26" s="73" t="s">
        <v>126</v>
      </c>
      <c r="AZ26" s="73" t="s">
        <v>127</v>
      </c>
      <c r="BE26" s="73" t="s">
        <v>128</v>
      </c>
    </row>
    <row r="27" customFormat="false" ht="15.6" hidden="false" customHeight="false" outlineLevel="0" collapsed="false">
      <c r="A27" s="69"/>
      <c r="B27" s="74" t="s">
        <v>129</v>
      </c>
      <c r="E27" s="11" t="s">
        <v>130</v>
      </c>
      <c r="G27" s="75" t="s">
        <v>131</v>
      </c>
      <c r="H27" s="75"/>
      <c r="I27" s="75"/>
      <c r="J27" s="75"/>
      <c r="K27" s="75"/>
      <c r="L27" s="75"/>
      <c r="M27" s="3" t="s">
        <v>132</v>
      </c>
      <c r="N27" s="76" t="s">
        <v>133</v>
      </c>
      <c r="O27" s="77"/>
      <c r="P27" s="77"/>
      <c r="Q27" s="77"/>
      <c r="R27" s="77"/>
      <c r="S27" s="77"/>
      <c r="AA27" s="78"/>
      <c r="AE27" s="44" t="s">
        <v>134</v>
      </c>
      <c r="AF27" s="79" t="n">
        <v>0.001</v>
      </c>
      <c r="AG27" s="44"/>
      <c r="AH27" s="44"/>
      <c r="AI27" s="44"/>
      <c r="AJ27" s="44" t="s">
        <v>135</v>
      </c>
      <c r="AK27" s="80" t="n">
        <v>0.001</v>
      </c>
      <c r="AL27" s="31"/>
      <c r="AM27" s="31"/>
      <c r="AN27" s="44"/>
      <c r="AO27" s="44" t="s">
        <v>136</v>
      </c>
      <c r="AP27" s="79" t="n">
        <v>0.001</v>
      </c>
      <c r="AU27" s="31" t="s">
        <v>18</v>
      </c>
      <c r="AV27" s="31" t="s">
        <v>137</v>
      </c>
      <c r="AW27" s="31" t="s">
        <v>138</v>
      </c>
      <c r="AZ27" s="31" t="s">
        <v>18</v>
      </c>
      <c r="BA27" s="31" t="s">
        <v>137</v>
      </c>
      <c r="BB27" s="31" t="s">
        <v>138</v>
      </c>
      <c r="BE27" s="31" t="s">
        <v>18</v>
      </c>
      <c r="BF27" s="31" t="s">
        <v>137</v>
      </c>
      <c r="BG27" s="31" t="s">
        <v>138</v>
      </c>
    </row>
    <row r="28" customFormat="false" ht="16.95" hidden="false" customHeight="true" outlineLevel="0" collapsed="false">
      <c r="A28" s="69"/>
      <c r="B28" s="81" t="s">
        <v>139</v>
      </c>
      <c r="C28" s="82" t="n">
        <v>0</v>
      </c>
      <c r="E28" s="55" t="s">
        <v>33</v>
      </c>
      <c r="F28" s="35" t="n">
        <f aca="false" t="array" ref="F28:F33">MMULT(G28:L33,M28:M33)</f>
        <v>0</v>
      </c>
      <c r="G28" s="83" t="n">
        <f aca="false">'CS_1 Y carriage and table'!G5</f>
        <v>5.12512512512513E-006</v>
      </c>
      <c r="H28" s="83" t="n">
        <f aca="false">'CS_1 Y carriage and table'!H5</f>
        <v>0</v>
      </c>
      <c r="I28" s="83" t="n">
        <f aca="false">'CS_1 Y carriage and table'!I5</f>
        <v>0</v>
      </c>
      <c r="J28" s="83" t="n">
        <f aca="false">'CS_1 Y carriage and table'!J5</f>
        <v>0</v>
      </c>
      <c r="K28" s="83" t="n">
        <f aca="false">'CS_1 Y carriage and table'!K5</f>
        <v>0</v>
      </c>
      <c r="L28" s="83" t="n">
        <f aca="false">'CS_1 Y carriage and table'!L5</f>
        <v>1.53753753753754E-008</v>
      </c>
      <c r="M28" s="57" t="n">
        <f aca="false">C28</f>
        <v>0</v>
      </c>
      <c r="N28" s="77"/>
      <c r="O28" s="84" t="s">
        <v>140</v>
      </c>
      <c r="P28" s="85" t="s">
        <v>141</v>
      </c>
      <c r="Q28" s="85" t="s">
        <v>142</v>
      </c>
      <c r="R28" s="85"/>
      <c r="S28" s="85"/>
      <c r="T28" s="17"/>
      <c r="U28" s="17"/>
      <c r="V28" s="17"/>
      <c r="W28" s="17"/>
      <c r="X28" s="17"/>
      <c r="Y28" s="17"/>
      <c r="Z28" s="17"/>
      <c r="AA28" s="17"/>
      <c r="AB28" s="0" t="s">
        <v>143</v>
      </c>
      <c r="AC28" s="57" t="n">
        <f aca="false">C13</f>
        <v>0</v>
      </c>
      <c r="AD28" s="57"/>
      <c r="AE28" s="62" t="n">
        <v>1</v>
      </c>
      <c r="AF28" s="35" t="n">
        <v>0</v>
      </c>
      <c r="AG28" s="35" t="n">
        <v>0</v>
      </c>
      <c r="AH28" s="63" t="n">
        <v>0</v>
      </c>
      <c r="AI28" s="86"/>
      <c r="AJ28" s="35" t="n">
        <f aca="false">COS(AK27)</f>
        <v>0.999999500000042</v>
      </c>
      <c r="AK28" s="35" t="n">
        <v>0</v>
      </c>
      <c r="AL28" s="35" t="n">
        <f aca="false">-AJ30</f>
        <v>0.000999999833333342</v>
      </c>
      <c r="AM28" s="35" t="n">
        <v>0</v>
      </c>
      <c r="AN28" s="86"/>
      <c r="AO28" s="35" t="n">
        <f aca="false">COS(AP27)</f>
        <v>0.999999500000042</v>
      </c>
      <c r="AP28" s="35" t="n">
        <f aca="false">-AO29</f>
        <v>-0.000999999833333342</v>
      </c>
      <c r="AQ28" s="35" t="n">
        <v>0</v>
      </c>
      <c r="AR28" s="35" t="n">
        <v>0</v>
      </c>
      <c r="AS28" s="86"/>
      <c r="AT28" s="57" t="s">
        <v>144</v>
      </c>
      <c r="AU28" s="35" t="n">
        <f aca="false" t="array" ref="AU28:AU31">MMULT(AE28:AH31,$AC28:$AC31)</f>
        <v>0</v>
      </c>
      <c r="AV28" s="35" t="n">
        <f aca="false">AU28-$AC28</f>
        <v>0</v>
      </c>
      <c r="AW28" s="35" t="n">
        <f aca="false">AV28/AF27</f>
        <v>0</v>
      </c>
      <c r="AX28" s="86"/>
      <c r="AY28" s="57" t="s">
        <v>144</v>
      </c>
      <c r="AZ28" s="35" t="n">
        <f aca="false" t="array" ref="AZ28:AZ31">MMULT(AJ28:AM31,$AC28:$AC31)</f>
        <v>0</v>
      </c>
      <c r="BA28" s="35" t="n">
        <f aca="false">AZ28-$AC28</f>
        <v>0</v>
      </c>
      <c r="BB28" s="35" t="n">
        <f aca="false">BA28/AK27</f>
        <v>0</v>
      </c>
      <c r="BC28" s="86"/>
      <c r="BD28" s="57" t="s">
        <v>144</v>
      </c>
      <c r="BE28" s="35" t="n">
        <f aca="false" t="array" ref="BE28:BE31">MMULT(AO28:AR31,$AC28:$AC31)</f>
        <v>-0.499999916666671</v>
      </c>
      <c r="BF28" s="35" t="n">
        <f aca="false">BE28-$AC28</f>
        <v>-0.499999916666671</v>
      </c>
      <c r="BG28" s="35" t="n">
        <f aca="false">BF28/AP27</f>
        <v>-499.999916666671</v>
      </c>
    </row>
    <row r="29" customFormat="false" ht="15.6" hidden="false" customHeight="false" outlineLevel="0" collapsed="false">
      <c r="A29" s="69"/>
      <c r="B29" s="81" t="s">
        <v>145</v>
      </c>
      <c r="C29" s="82" t="n">
        <v>0</v>
      </c>
      <c r="E29" s="55" t="s">
        <v>34</v>
      </c>
      <c r="F29" s="35" t="n">
        <v>0</v>
      </c>
      <c r="G29" s="83" t="n">
        <f aca="false">'CS_1 Y carriage and table'!G6</f>
        <v>0</v>
      </c>
      <c r="H29" s="83" t="n">
        <f aca="false">'CS_1 Y carriage and table'!H6</f>
        <v>2.88288288288288E-006</v>
      </c>
      <c r="I29" s="83" t="n">
        <f aca="false">'CS_1 Y carriage and table'!I6</f>
        <v>0</v>
      </c>
      <c r="J29" s="83" t="n">
        <f aca="false">'CS_1 Y carriage and table'!J6</f>
        <v>0</v>
      </c>
      <c r="K29" s="83" t="n">
        <f aca="false">'CS_1 Y carriage and table'!K6</f>
        <v>0</v>
      </c>
      <c r="L29" s="83" t="n">
        <f aca="false">'CS_1 Y carriage and table'!L6</f>
        <v>0</v>
      </c>
      <c r="M29" s="57" t="n">
        <f aca="false">C29</f>
        <v>0</v>
      </c>
      <c r="N29" s="87" t="s">
        <v>33</v>
      </c>
      <c r="O29" s="88" t="n">
        <f aca="false">AW28</f>
        <v>0</v>
      </c>
      <c r="P29" s="88" t="n">
        <f aca="false">BB28</f>
        <v>0</v>
      </c>
      <c r="Q29" s="88" t="n">
        <f aca="false">BG28</f>
        <v>-499.999916666671</v>
      </c>
      <c r="R29" s="77"/>
      <c r="S29" s="77"/>
      <c r="AB29" s="0" t="s">
        <v>146</v>
      </c>
      <c r="AC29" s="57" t="n">
        <f aca="false">C14</f>
        <v>500</v>
      </c>
      <c r="AD29" s="57"/>
      <c r="AE29" s="62" t="n">
        <v>0</v>
      </c>
      <c r="AF29" s="35" t="n">
        <f aca="false">COS(AF27)</f>
        <v>0.999999500000042</v>
      </c>
      <c r="AG29" s="35" t="n">
        <f aca="false">-SIN(AF27)</f>
        <v>-0.000999999833333342</v>
      </c>
      <c r="AH29" s="63" t="n">
        <v>0</v>
      </c>
      <c r="AI29" s="86"/>
      <c r="AJ29" s="35" t="n">
        <v>0</v>
      </c>
      <c r="AK29" s="35" t="n">
        <v>1</v>
      </c>
      <c r="AL29" s="35" t="n">
        <v>0</v>
      </c>
      <c r="AM29" s="35" t="n">
        <v>0</v>
      </c>
      <c r="AN29" s="86"/>
      <c r="AO29" s="35" t="n">
        <f aca="false">SIN(AP27)</f>
        <v>0.000999999833333342</v>
      </c>
      <c r="AP29" s="35" t="n">
        <f aca="false">AO28</f>
        <v>0.999999500000042</v>
      </c>
      <c r="AQ29" s="35" t="n">
        <v>0</v>
      </c>
      <c r="AR29" s="35" t="n">
        <v>0</v>
      </c>
      <c r="AS29" s="86"/>
      <c r="AT29" s="57" t="s">
        <v>147</v>
      </c>
      <c r="AU29" s="35" t="n">
        <v>499.999750000021</v>
      </c>
      <c r="AV29" s="35" t="n">
        <f aca="false">AU29-$AC29</f>
        <v>-0.000249999979189397</v>
      </c>
      <c r="AW29" s="35" t="n">
        <f aca="false">AV29/AF27</f>
        <v>-0.249999979189397</v>
      </c>
      <c r="AX29" s="86"/>
      <c r="AY29" s="57" t="s">
        <v>147</v>
      </c>
      <c r="AZ29" s="35" t="n">
        <v>500</v>
      </c>
      <c r="BA29" s="35" t="n">
        <f aca="false">AZ29-$AC29</f>
        <v>0</v>
      </c>
      <c r="BB29" s="35" t="n">
        <f aca="false">BA29/AK27</f>
        <v>0</v>
      </c>
      <c r="BC29" s="86"/>
      <c r="BD29" s="57" t="s">
        <v>147</v>
      </c>
      <c r="BE29" s="35" t="n">
        <v>499.999750000021</v>
      </c>
      <c r="BF29" s="35" t="n">
        <f aca="false">BE29-$AC29</f>
        <v>-0.000249999979189397</v>
      </c>
      <c r="BG29" s="35" t="n">
        <f aca="false">BF29/AP27</f>
        <v>-0.249999979189397</v>
      </c>
    </row>
    <row r="30" customFormat="false" ht="15.6" hidden="false" customHeight="false" outlineLevel="0" collapsed="false">
      <c r="A30" s="69"/>
      <c r="B30" s="81" t="s">
        <v>148</v>
      </c>
      <c r="C30" s="82" t="n">
        <v>-196</v>
      </c>
      <c r="E30" s="55" t="s">
        <v>35</v>
      </c>
      <c r="F30" s="35" t="n">
        <v>-1.02629974050135</v>
      </c>
      <c r="G30" s="83" t="n">
        <f aca="false">'CS_1 Y carriage and table'!G7</f>
        <v>0</v>
      </c>
      <c r="H30" s="83" t="n">
        <f aca="false">'CS_1 Y carriage and table'!H7</f>
        <v>0</v>
      </c>
      <c r="I30" s="83" t="n">
        <f aca="false">'CS_1 Y carriage and table'!I7</f>
        <v>0.00523622316582324</v>
      </c>
      <c r="J30" s="83" t="n">
        <f aca="false">'CS_1 Y carriage and table'!J7</f>
        <v>1.57086694974697E-005</v>
      </c>
      <c r="K30" s="83" t="n">
        <f aca="false">'CS_1 Y carriage and table'!K7</f>
        <v>0</v>
      </c>
      <c r="L30" s="83" t="n">
        <f aca="false">'CS_1 Y carriage and table'!L7</f>
        <v>0</v>
      </c>
      <c r="M30" s="57" t="n">
        <f aca="false">C30</f>
        <v>-196</v>
      </c>
      <c r="N30" s="87" t="s">
        <v>34</v>
      </c>
      <c r="O30" s="88" t="n">
        <f aca="false">AW29</f>
        <v>-0.249999979189397</v>
      </c>
      <c r="P30" s="88" t="n">
        <f aca="false">BB29</f>
        <v>0</v>
      </c>
      <c r="Q30" s="88" t="n">
        <f aca="false">BG29</f>
        <v>-0.249999979189397</v>
      </c>
      <c r="R30" s="77"/>
      <c r="S30" s="77"/>
      <c r="AB30" s="0" t="s">
        <v>149</v>
      </c>
      <c r="AC30" s="57" t="n">
        <f aca="false">C15</f>
        <v>0</v>
      </c>
      <c r="AD30" s="57"/>
      <c r="AE30" s="62" t="n">
        <v>0</v>
      </c>
      <c r="AF30" s="35" t="n">
        <f aca="false">-AG29</f>
        <v>0.000999999833333342</v>
      </c>
      <c r="AG30" s="35" t="n">
        <f aca="false">AF29</f>
        <v>0.999999500000042</v>
      </c>
      <c r="AH30" s="63" t="n">
        <v>0</v>
      </c>
      <c r="AI30" s="86"/>
      <c r="AJ30" s="35" t="n">
        <f aca="false">-SIN(AK27)</f>
        <v>-0.000999999833333342</v>
      </c>
      <c r="AK30" s="35" t="n">
        <v>0</v>
      </c>
      <c r="AL30" s="35" t="n">
        <f aca="false">COS(AK27)</f>
        <v>0.999999500000042</v>
      </c>
      <c r="AM30" s="35" t="n">
        <v>0</v>
      </c>
      <c r="AN30" s="86"/>
      <c r="AO30" s="35" t="n">
        <v>0</v>
      </c>
      <c r="AP30" s="35" t="n">
        <v>0</v>
      </c>
      <c r="AQ30" s="35" t="n">
        <v>1</v>
      </c>
      <c r="AR30" s="35" t="n">
        <v>0</v>
      </c>
      <c r="AS30" s="86"/>
      <c r="AT30" s="57" t="s">
        <v>150</v>
      </c>
      <c r="AU30" s="35" t="n">
        <v>0.499999916666671</v>
      </c>
      <c r="AV30" s="35" t="n">
        <f aca="false">AU30-$AC30</f>
        <v>0.499999916666671</v>
      </c>
      <c r="AW30" s="35" t="n">
        <f aca="false">AV30/AF27</f>
        <v>499.999916666671</v>
      </c>
      <c r="AX30" s="86"/>
      <c r="AY30" s="57" t="s">
        <v>150</v>
      </c>
      <c r="AZ30" s="35" t="n">
        <v>0</v>
      </c>
      <c r="BA30" s="35" t="n">
        <f aca="false">AZ30-$AC30</f>
        <v>0</v>
      </c>
      <c r="BB30" s="35" t="n">
        <f aca="false">BA30/AK27</f>
        <v>0</v>
      </c>
      <c r="BC30" s="86"/>
      <c r="BD30" s="57" t="s">
        <v>150</v>
      </c>
      <c r="BE30" s="35" t="n">
        <v>0</v>
      </c>
      <c r="BF30" s="35" t="n">
        <f aca="false">BE30-$AC30</f>
        <v>0</v>
      </c>
      <c r="BG30" s="35" t="n">
        <f aca="false">BF30/AP27</f>
        <v>0</v>
      </c>
    </row>
    <row r="31" customFormat="false" ht="15" hidden="false" customHeight="true" outlineLevel="0" collapsed="false">
      <c r="A31" s="69"/>
      <c r="B31" s="81" t="s">
        <v>101</v>
      </c>
      <c r="C31" s="59" t="n">
        <v>1</v>
      </c>
      <c r="E31" s="55" t="s">
        <v>97</v>
      </c>
      <c r="F31" s="35" t="n">
        <v>-0.00307889922150406</v>
      </c>
      <c r="G31" s="83" t="n">
        <f aca="false">'CS_1 Y carriage and table'!G8</f>
        <v>0</v>
      </c>
      <c r="H31" s="83" t="n">
        <f aca="false">'CS_1 Y carriage and table'!H8</f>
        <v>0</v>
      </c>
      <c r="I31" s="83" t="n">
        <f aca="false">'CS_1 Y carriage and table'!I8</f>
        <v>1.57086694974697E-005</v>
      </c>
      <c r="J31" s="83" t="n">
        <f aca="false">'CS_1 Y carriage and table'!J8</f>
        <v>6.28346779898788E-008</v>
      </c>
      <c r="K31" s="83" t="n">
        <f aca="false">'CS_1 Y carriage and table'!K8</f>
        <v>0</v>
      </c>
      <c r="L31" s="83" t="n">
        <f aca="false">'CS_1 Y carriage and table'!L8</f>
        <v>0</v>
      </c>
      <c r="M31" s="57" t="n">
        <f aca="false">C32</f>
        <v>0</v>
      </c>
      <c r="N31" s="87" t="s">
        <v>35</v>
      </c>
      <c r="O31" s="88" t="n">
        <f aca="false">AW30</f>
        <v>499.999916666671</v>
      </c>
      <c r="P31" s="88" t="n">
        <f aca="false">BB30</f>
        <v>0</v>
      </c>
      <c r="Q31" s="88" t="n">
        <f aca="false">BG30</f>
        <v>0</v>
      </c>
      <c r="R31" s="77"/>
      <c r="S31" s="77"/>
      <c r="AC31" s="57" t="n">
        <v>1</v>
      </c>
      <c r="AD31" s="57"/>
      <c r="AE31" s="62" t="n">
        <v>0</v>
      </c>
      <c r="AF31" s="35" t="n">
        <v>0</v>
      </c>
      <c r="AG31" s="35" t="n">
        <v>0</v>
      </c>
      <c r="AH31" s="63" t="n">
        <v>1</v>
      </c>
      <c r="AI31" s="86"/>
      <c r="AJ31" s="35" t="n">
        <v>0</v>
      </c>
      <c r="AK31" s="35" t="n">
        <v>0</v>
      </c>
      <c r="AL31" s="35" t="n">
        <v>0</v>
      </c>
      <c r="AM31" s="35" t="n">
        <v>1</v>
      </c>
      <c r="AN31" s="86"/>
      <c r="AO31" s="35" t="n">
        <v>0</v>
      </c>
      <c r="AP31" s="35" t="n">
        <v>0</v>
      </c>
      <c r="AQ31" s="35" t="n">
        <v>0</v>
      </c>
      <c r="AR31" s="35" t="n">
        <v>1</v>
      </c>
      <c r="AS31" s="86"/>
      <c r="AT31" s="57"/>
      <c r="AU31" s="35" t="n">
        <v>1</v>
      </c>
      <c r="AV31" s="35"/>
      <c r="AW31" s="35"/>
      <c r="AX31" s="86"/>
      <c r="AY31" s="57"/>
      <c r="AZ31" s="35" t="n">
        <v>1</v>
      </c>
      <c r="BA31" s="35"/>
      <c r="BB31" s="35"/>
      <c r="BC31" s="86"/>
      <c r="BD31" s="57"/>
      <c r="BE31" s="35" t="n">
        <v>1</v>
      </c>
      <c r="BF31" s="35"/>
      <c r="BG31" s="35"/>
    </row>
    <row r="32" customFormat="false" ht="15" hidden="false" customHeight="true" outlineLevel="0" collapsed="false">
      <c r="A32" s="69"/>
      <c r="B32" s="81" t="s">
        <v>151</v>
      </c>
      <c r="C32" s="82" t="n">
        <v>0</v>
      </c>
      <c r="E32" s="55" t="s">
        <v>100</v>
      </c>
      <c r="F32" s="35" t="n">
        <v>0</v>
      </c>
      <c r="G32" s="83" t="n">
        <f aca="false">'CS_1 Y carriage and table'!G9</f>
        <v>0</v>
      </c>
      <c r="H32" s="83" t="n">
        <f aca="false">'CS_1 Y carriage and table'!H9</f>
        <v>0</v>
      </c>
      <c r="I32" s="83" t="n">
        <f aca="false">'CS_1 Y carriage and table'!I9</f>
        <v>0</v>
      </c>
      <c r="J32" s="83" t="n">
        <f aca="false">'CS_1 Y carriage and table'!J9</f>
        <v>0</v>
      </c>
      <c r="K32" s="83" t="n">
        <f aca="false">'CS_1 Y carriage and table'!K9</f>
        <v>1.53583105858356E-010</v>
      </c>
      <c r="L32" s="83" t="n">
        <f aca="false">'CS_1 Y carriage and table'!L9</f>
        <v>0</v>
      </c>
      <c r="M32" s="57" t="n">
        <f aca="false">C33</f>
        <v>0</v>
      </c>
      <c r="O32" s="89" t="s">
        <v>152</v>
      </c>
      <c r="T32" s="89" t="s">
        <v>153</v>
      </c>
      <c r="AE32" s="0" t="s">
        <v>154</v>
      </c>
      <c r="AJ32" s="0" t="s">
        <v>155</v>
      </c>
      <c r="AO32" s="0" t="s">
        <v>156</v>
      </c>
    </row>
    <row r="33" customFormat="false" ht="15" hidden="false" customHeight="true" outlineLevel="0" collapsed="false">
      <c r="A33" s="69"/>
      <c r="B33" s="81" t="s">
        <v>157</v>
      </c>
      <c r="C33" s="82" t="n">
        <v>0</v>
      </c>
      <c r="E33" s="55" t="s">
        <v>104</v>
      </c>
      <c r="F33" s="35" t="n">
        <v>0</v>
      </c>
      <c r="G33" s="83" t="n">
        <f aca="false">'CS_1 Y carriage and table'!G10</f>
        <v>1.53753753753754E-008</v>
      </c>
      <c r="H33" s="83" t="n">
        <f aca="false">'CS_1 Y carriage and table'!H10</f>
        <v>0</v>
      </c>
      <c r="I33" s="83" t="n">
        <f aca="false">'CS_1 Y carriage and table'!I10</f>
        <v>0</v>
      </c>
      <c r="J33" s="83" t="n">
        <f aca="false">'CS_1 Y carriage and table'!J10</f>
        <v>0</v>
      </c>
      <c r="K33" s="83" t="n">
        <f aca="false">'CS_1 Y carriage and table'!K10</f>
        <v>0</v>
      </c>
      <c r="L33" s="83" t="n">
        <f aca="false">'CS_1 Y carriage and table'!L10</f>
        <v>6.15015015015015E-011</v>
      </c>
      <c r="M33" s="57" t="n">
        <f aca="false">C34</f>
        <v>0</v>
      </c>
      <c r="O33" s="71" t="n">
        <f aca="false" t="array" ref="O33:R36">MMULT(AO33:AR36,MMULT(AJ33:AM36,AE33:AH36))</f>
        <v>1</v>
      </c>
      <c r="P33" s="71" t="n">
        <v>0</v>
      </c>
      <c r="Q33" s="71" t="n">
        <v>0</v>
      </c>
      <c r="R33" s="71" t="n">
        <v>0</v>
      </c>
      <c r="S33" s="90"/>
      <c r="T33" s="71" t="n">
        <f aca="false" t="array" ref="T33:W36">MMULT(T66:W69,O33:R36)</f>
        <v>1</v>
      </c>
      <c r="U33" s="71" t="n">
        <v>0</v>
      </c>
      <c r="V33" s="71" t="n">
        <v>0</v>
      </c>
      <c r="W33" s="71" t="n">
        <v>0</v>
      </c>
      <c r="X33" s="71"/>
      <c r="Y33" s="71"/>
      <c r="Z33" s="71"/>
      <c r="AA33" s="71"/>
      <c r="AB33" s="0" t="s">
        <v>158</v>
      </c>
      <c r="AC33" s="57" t="n">
        <f aca="false" t="array" ref="AC33:AC36">MMULT(O33:R36,AC28:AC31)</f>
        <v>0</v>
      </c>
      <c r="AD33" s="57"/>
      <c r="AE33" s="91" t="n">
        <v>1</v>
      </c>
      <c r="AF33" s="57" t="n">
        <v>0</v>
      </c>
      <c r="AG33" s="57" t="n">
        <v>0</v>
      </c>
      <c r="AH33" s="92" t="n">
        <v>0</v>
      </c>
      <c r="AJ33" s="91" t="n">
        <f aca="false">COS(PI()*C18/180)</f>
        <v>1</v>
      </c>
      <c r="AK33" s="57" t="n">
        <v>0</v>
      </c>
      <c r="AL33" s="57" t="n">
        <f aca="false">SIN(PI()*C18/180)</f>
        <v>0</v>
      </c>
      <c r="AM33" s="92" t="n">
        <v>0</v>
      </c>
      <c r="AO33" s="91" t="n">
        <f aca="false">COS(PI()*C19/180)</f>
        <v>1</v>
      </c>
      <c r="AP33" s="57" t="n">
        <f aca="false">-SIN(PI()*C19/180)</f>
        <v>0</v>
      </c>
      <c r="AQ33" s="57" t="n">
        <v>0</v>
      </c>
      <c r="AR33" s="92" t="n">
        <v>0</v>
      </c>
    </row>
    <row r="34" customFormat="false" ht="15" hidden="false" customHeight="true" outlineLevel="0" collapsed="false">
      <c r="A34" s="69"/>
      <c r="B34" s="81" t="s">
        <v>159</v>
      </c>
      <c r="C34" s="82" t="n">
        <v>0</v>
      </c>
      <c r="J34" s="93"/>
      <c r="K34" s="93"/>
      <c r="L34" s="93"/>
      <c r="M34" s="78"/>
      <c r="O34" s="71" t="n">
        <v>0</v>
      </c>
      <c r="P34" s="71" t="n">
        <v>1</v>
      </c>
      <c r="Q34" s="71" t="n">
        <v>0</v>
      </c>
      <c r="R34" s="71" t="n">
        <v>0</v>
      </c>
      <c r="S34" s="90"/>
      <c r="T34" s="71" t="n">
        <v>0</v>
      </c>
      <c r="U34" s="71" t="n">
        <v>1</v>
      </c>
      <c r="V34" s="71" t="n">
        <v>0</v>
      </c>
      <c r="W34" s="71" t="n">
        <v>0</v>
      </c>
      <c r="X34" s="71"/>
      <c r="Y34" s="71"/>
      <c r="Z34" s="71"/>
      <c r="AA34" s="71"/>
      <c r="AB34" s="0" t="s">
        <v>160</v>
      </c>
      <c r="AC34" s="57" t="n">
        <v>500</v>
      </c>
      <c r="AD34" s="57"/>
      <c r="AE34" s="91" t="n">
        <v>0</v>
      </c>
      <c r="AF34" s="57" t="n">
        <f aca="false">COS(PI()*C17/180)</f>
        <v>1</v>
      </c>
      <c r="AG34" s="57" t="n">
        <f aca="false">-SIN(PI()*C17/180)</f>
        <v>0</v>
      </c>
      <c r="AH34" s="92" t="n">
        <v>0</v>
      </c>
      <c r="AJ34" s="91" t="n">
        <v>0</v>
      </c>
      <c r="AK34" s="57" t="n">
        <v>1</v>
      </c>
      <c r="AL34" s="57" t="n">
        <v>0</v>
      </c>
      <c r="AM34" s="92" t="n">
        <v>0</v>
      </c>
      <c r="AO34" s="91" t="n">
        <f aca="false">SIN(PI()*C19/180)</f>
        <v>0</v>
      </c>
      <c r="AP34" s="57" t="n">
        <f aca="false">AO33</f>
        <v>1</v>
      </c>
      <c r="AQ34" s="57" t="n">
        <v>0</v>
      </c>
      <c r="AR34" s="92" t="n">
        <v>0</v>
      </c>
    </row>
    <row r="35" customFormat="false" ht="15" hidden="false" customHeight="true" outlineLevel="0" collapsed="false">
      <c r="A35" s="69"/>
      <c r="B35" s="81" t="s">
        <v>101</v>
      </c>
      <c r="C35" s="59" t="n">
        <v>1</v>
      </c>
      <c r="J35" s="93"/>
      <c r="K35" s="93"/>
      <c r="L35" s="93"/>
      <c r="M35" s="93"/>
      <c r="O35" s="71" t="n">
        <v>0</v>
      </c>
      <c r="P35" s="71" t="n">
        <v>0</v>
      </c>
      <c r="Q35" s="71" t="n">
        <v>1</v>
      </c>
      <c r="R35" s="71" t="n">
        <v>0</v>
      </c>
      <c r="S35" s="90"/>
      <c r="T35" s="71" t="n">
        <v>0</v>
      </c>
      <c r="U35" s="71" t="n">
        <v>0</v>
      </c>
      <c r="V35" s="71" t="n">
        <v>1</v>
      </c>
      <c r="W35" s="71" t="n">
        <v>0</v>
      </c>
      <c r="X35" s="71"/>
      <c r="Y35" s="71"/>
      <c r="Z35" s="71"/>
      <c r="AA35" s="71"/>
      <c r="AB35" s="0" t="s">
        <v>161</v>
      </c>
      <c r="AC35" s="57" t="n">
        <v>0</v>
      </c>
      <c r="AD35" s="57"/>
      <c r="AE35" s="91" t="n">
        <v>0</v>
      </c>
      <c r="AF35" s="57" t="n">
        <f aca="false">SIN(PI()*C17/180)</f>
        <v>0</v>
      </c>
      <c r="AG35" s="57" t="n">
        <f aca="false">AF34</f>
        <v>1</v>
      </c>
      <c r="AH35" s="92" t="n">
        <v>0</v>
      </c>
      <c r="AJ35" s="91" t="n">
        <f aca="false">-SIN(PI()*C18/180)</f>
        <v>0</v>
      </c>
      <c r="AK35" s="57" t="n">
        <v>0</v>
      </c>
      <c r="AL35" s="57" t="n">
        <f aca="false">AJ33</f>
        <v>1</v>
      </c>
      <c r="AM35" s="92" t="n">
        <v>0</v>
      </c>
      <c r="AO35" s="91" t="n">
        <v>0</v>
      </c>
      <c r="AP35" s="57" t="n">
        <v>0</v>
      </c>
      <c r="AQ35" s="57" t="n">
        <v>1</v>
      </c>
      <c r="AR35" s="92" t="n">
        <v>0</v>
      </c>
    </row>
    <row r="36" s="96" customFormat="true" ht="16.05" hidden="false" customHeight="true" outlineLevel="0" collapsed="false">
      <c r="A36" s="69"/>
      <c r="B36" s="94" t="s">
        <v>162</v>
      </c>
      <c r="C36" s="95"/>
      <c r="D36" s="11" t="s">
        <v>163</v>
      </c>
      <c r="E36" s="95"/>
      <c r="H36" s="97"/>
      <c r="I36" s="97"/>
      <c r="J36" s="97"/>
      <c r="K36" s="97"/>
      <c r="L36" s="97"/>
      <c r="M36" s="97"/>
      <c r="O36" s="98" t="n">
        <v>0</v>
      </c>
      <c r="P36" s="98" t="n">
        <v>0</v>
      </c>
      <c r="Q36" s="98" t="n">
        <v>0</v>
      </c>
      <c r="R36" s="98" t="n">
        <v>1</v>
      </c>
      <c r="S36" s="99"/>
      <c r="T36" s="98" t="n">
        <v>0</v>
      </c>
      <c r="U36" s="98" t="n">
        <v>0</v>
      </c>
      <c r="V36" s="98" t="n">
        <v>0</v>
      </c>
      <c r="W36" s="98" t="n">
        <v>1</v>
      </c>
      <c r="X36" s="98"/>
      <c r="Y36" s="98"/>
      <c r="Z36" s="98"/>
      <c r="AA36" s="98"/>
      <c r="AC36" s="100" t="n">
        <v>1</v>
      </c>
      <c r="AD36" s="100"/>
      <c r="AE36" s="100" t="n">
        <v>0</v>
      </c>
      <c r="AF36" s="100" t="n">
        <v>0</v>
      </c>
      <c r="AG36" s="100" t="n">
        <v>0</v>
      </c>
      <c r="AH36" s="100" t="n">
        <v>1</v>
      </c>
      <c r="AJ36" s="100" t="n">
        <v>0</v>
      </c>
      <c r="AK36" s="100" t="n">
        <v>0</v>
      </c>
      <c r="AL36" s="100" t="n">
        <v>0</v>
      </c>
      <c r="AM36" s="100" t="n">
        <v>1</v>
      </c>
      <c r="AO36" s="100" t="n">
        <v>0</v>
      </c>
      <c r="AP36" s="100" t="n">
        <v>0</v>
      </c>
      <c r="AQ36" s="100" t="n">
        <v>0</v>
      </c>
      <c r="AR36" s="100" t="n">
        <v>1</v>
      </c>
    </row>
    <row r="37" customFormat="false" ht="16.05" hidden="false" customHeight="true" outlineLevel="0" collapsed="false">
      <c r="A37" s="69"/>
      <c r="B37" s="81" t="s">
        <v>139</v>
      </c>
      <c r="C37" s="82" t="n">
        <v>0</v>
      </c>
      <c r="D37" s="81" t="s">
        <v>139</v>
      </c>
      <c r="E37" s="59" t="n">
        <f aca="false">C28+C37</f>
        <v>0</v>
      </c>
      <c r="H37" s="97"/>
      <c r="I37" s="97"/>
      <c r="J37" s="97"/>
      <c r="K37" s="97"/>
      <c r="L37" s="97"/>
      <c r="M37" s="97"/>
      <c r="O37" s="101"/>
      <c r="P37" s="101"/>
      <c r="Q37" s="101"/>
      <c r="R37" s="101"/>
      <c r="S37" s="99"/>
      <c r="T37" s="101"/>
      <c r="U37" s="101"/>
      <c r="V37" s="101"/>
      <c r="W37" s="101"/>
      <c r="X37" s="101"/>
      <c r="Y37" s="101"/>
      <c r="Z37" s="101"/>
      <c r="AA37" s="101"/>
      <c r="AB37" s="102"/>
      <c r="AC37" s="99"/>
      <c r="AD37" s="99"/>
      <c r="AE37" s="99"/>
      <c r="AF37" s="99"/>
      <c r="AG37" s="99"/>
      <c r="AH37" s="99"/>
      <c r="AI37" s="102"/>
      <c r="AJ37" s="99"/>
      <c r="AK37" s="99"/>
      <c r="AL37" s="99"/>
      <c r="AM37" s="99"/>
      <c r="AN37" s="102"/>
      <c r="AO37" s="99"/>
      <c r="AP37" s="99"/>
      <c r="AQ37" s="99"/>
      <c r="AR37" s="99"/>
      <c r="AS37" s="102"/>
      <c r="AT37" s="102"/>
      <c r="AU37" s="102"/>
      <c r="AV37" s="102"/>
      <c r="AW37" s="102"/>
      <c r="AX37" s="102"/>
      <c r="AY37" s="102"/>
      <c r="AZ37" s="102"/>
      <c r="BA37" s="102"/>
      <c r="BB37" s="102"/>
      <c r="BC37" s="102"/>
      <c r="BD37" s="102"/>
      <c r="BE37" s="102"/>
      <c r="BF37" s="102"/>
      <c r="BG37" s="102"/>
      <c r="BH37" s="102"/>
      <c r="BI37" s="102"/>
      <c r="BJ37" s="102"/>
      <c r="BK37" s="102"/>
      <c r="BL37" s="102"/>
      <c r="BM37" s="102"/>
      <c r="BN37" s="102"/>
      <c r="BO37" s="102"/>
      <c r="BP37" s="102"/>
      <c r="BQ37" s="102"/>
      <c r="BR37" s="102"/>
      <c r="BS37" s="102"/>
    </row>
    <row r="38" customFormat="false" ht="16.05" hidden="false" customHeight="true" outlineLevel="0" collapsed="false">
      <c r="A38" s="69"/>
      <c r="B38" s="81" t="s">
        <v>145</v>
      </c>
      <c r="C38" s="82" t="n">
        <v>0</v>
      </c>
      <c r="D38" s="81" t="s">
        <v>145</v>
      </c>
      <c r="E38" s="59" t="n">
        <f aca="false">C29+C38</f>
        <v>0</v>
      </c>
      <c r="H38" s="97"/>
      <c r="I38" s="97"/>
      <c r="J38" s="97"/>
      <c r="K38" s="97"/>
      <c r="L38" s="97"/>
      <c r="M38" s="97"/>
      <c r="O38" s="101"/>
      <c r="P38" s="101"/>
      <c r="Q38" s="101"/>
      <c r="R38" s="101"/>
      <c r="S38" s="99"/>
      <c r="T38" s="101"/>
      <c r="U38" s="101"/>
      <c r="V38" s="101"/>
      <c r="W38" s="101"/>
      <c r="X38" s="101"/>
      <c r="Y38" s="101"/>
      <c r="Z38" s="101"/>
      <c r="AA38" s="101"/>
      <c r="AB38" s="102"/>
      <c r="AC38" s="99"/>
      <c r="AD38" s="99"/>
      <c r="AE38" s="99"/>
      <c r="AF38" s="99"/>
      <c r="AG38" s="99"/>
      <c r="AH38" s="99"/>
      <c r="AI38" s="102"/>
      <c r="AJ38" s="99"/>
      <c r="AK38" s="99"/>
      <c r="AL38" s="99"/>
      <c r="AM38" s="99"/>
      <c r="AN38" s="102"/>
      <c r="AO38" s="99"/>
      <c r="AP38" s="99"/>
      <c r="AQ38" s="99"/>
      <c r="AR38" s="99"/>
      <c r="AS38" s="102"/>
      <c r="AT38" s="102"/>
      <c r="AU38" s="102"/>
      <c r="AV38" s="102"/>
      <c r="AW38" s="102"/>
      <c r="AX38" s="102"/>
      <c r="AY38" s="102"/>
      <c r="AZ38" s="102"/>
      <c r="BA38" s="102"/>
      <c r="BB38" s="102"/>
      <c r="BC38" s="102"/>
      <c r="BD38" s="102"/>
      <c r="BE38" s="102"/>
      <c r="BF38" s="102"/>
      <c r="BG38" s="102"/>
      <c r="BH38" s="102"/>
      <c r="BI38" s="102"/>
      <c r="BJ38" s="102"/>
      <c r="BK38" s="102"/>
      <c r="BL38" s="102"/>
      <c r="BM38" s="102"/>
      <c r="BN38" s="102"/>
      <c r="BO38" s="102"/>
      <c r="BP38" s="102"/>
      <c r="BQ38" s="102"/>
      <c r="BR38" s="102"/>
      <c r="BS38" s="102"/>
    </row>
    <row r="39" customFormat="false" ht="16.05" hidden="false" customHeight="true" outlineLevel="0" collapsed="false">
      <c r="A39" s="69"/>
      <c r="B39" s="81" t="s">
        <v>148</v>
      </c>
      <c r="C39" s="82" t="n">
        <v>0</v>
      </c>
      <c r="D39" s="81" t="s">
        <v>148</v>
      </c>
      <c r="E39" s="59" t="n">
        <f aca="false">C30+C39</f>
        <v>-196</v>
      </c>
      <c r="H39" s="97"/>
      <c r="I39" s="97"/>
      <c r="J39" s="97"/>
      <c r="K39" s="97"/>
      <c r="L39" s="97"/>
      <c r="M39" s="97"/>
      <c r="O39" s="101"/>
      <c r="P39" s="101"/>
      <c r="Q39" s="101"/>
      <c r="R39" s="101"/>
      <c r="S39" s="99"/>
      <c r="T39" s="101"/>
      <c r="U39" s="101"/>
      <c r="V39" s="101"/>
      <c r="W39" s="101"/>
      <c r="X39" s="101"/>
      <c r="Y39" s="101"/>
      <c r="Z39" s="101"/>
      <c r="AA39" s="101"/>
      <c r="AB39" s="102"/>
      <c r="AC39" s="99"/>
      <c r="AD39" s="99"/>
      <c r="AE39" s="99"/>
      <c r="AF39" s="99"/>
      <c r="AG39" s="99"/>
      <c r="AH39" s="99"/>
      <c r="AI39" s="102"/>
      <c r="AJ39" s="99"/>
      <c r="AK39" s="99"/>
      <c r="AL39" s="99"/>
      <c r="AM39" s="99"/>
      <c r="AN39" s="102"/>
      <c r="AO39" s="99"/>
      <c r="AP39" s="99"/>
      <c r="AQ39" s="99"/>
      <c r="AR39" s="99"/>
      <c r="AS39" s="102"/>
      <c r="AT39" s="102"/>
      <c r="AU39" s="102"/>
      <c r="AV39" s="102"/>
      <c r="AW39" s="102"/>
      <c r="AX39" s="102"/>
      <c r="AY39" s="102"/>
      <c r="AZ39" s="102"/>
      <c r="BA39" s="102"/>
      <c r="BB39" s="102"/>
      <c r="BC39" s="102"/>
      <c r="BD39" s="102"/>
      <c r="BE39" s="102"/>
      <c r="BF39" s="102"/>
      <c r="BG39" s="102"/>
      <c r="BH39" s="102"/>
      <c r="BI39" s="102"/>
      <c r="BJ39" s="102"/>
      <c r="BK39" s="102"/>
      <c r="BL39" s="102"/>
      <c r="BM39" s="102"/>
      <c r="BN39" s="102"/>
      <c r="BO39" s="102"/>
      <c r="BP39" s="102"/>
      <c r="BQ39" s="102"/>
      <c r="BR39" s="102"/>
      <c r="BS39" s="102"/>
    </row>
    <row r="40" customFormat="false" ht="16.05" hidden="false" customHeight="true" outlineLevel="0" collapsed="false">
      <c r="A40" s="69"/>
      <c r="B40" s="81" t="s">
        <v>101</v>
      </c>
      <c r="C40" s="59" t="n">
        <v>1</v>
      </c>
      <c r="D40" s="81" t="s">
        <v>101</v>
      </c>
      <c r="E40" s="59" t="n">
        <v>1</v>
      </c>
      <c r="H40" s="97"/>
      <c r="I40" s="97"/>
      <c r="J40" s="97"/>
      <c r="K40" s="97"/>
      <c r="L40" s="97"/>
      <c r="M40" s="97"/>
      <c r="O40" s="101"/>
      <c r="P40" s="101"/>
      <c r="Q40" s="101"/>
      <c r="R40" s="101"/>
      <c r="S40" s="99"/>
      <c r="T40" s="101"/>
      <c r="U40" s="101"/>
      <c r="V40" s="101"/>
      <c r="W40" s="101"/>
      <c r="X40" s="101"/>
      <c r="Y40" s="101"/>
      <c r="Z40" s="101"/>
      <c r="AA40" s="101"/>
      <c r="AB40" s="102"/>
      <c r="AC40" s="99"/>
      <c r="AD40" s="99"/>
      <c r="AE40" s="99"/>
      <c r="AF40" s="99"/>
      <c r="AG40" s="99"/>
      <c r="AH40" s="99"/>
      <c r="AI40" s="102"/>
      <c r="AJ40" s="99"/>
      <c r="AK40" s="99"/>
      <c r="AL40" s="99"/>
      <c r="AM40" s="99"/>
      <c r="AN40" s="102"/>
      <c r="AO40" s="99"/>
      <c r="AP40" s="99"/>
      <c r="AQ40" s="99"/>
      <c r="AR40" s="99"/>
      <c r="AS40" s="102"/>
      <c r="AT40" s="102"/>
      <c r="AU40" s="102"/>
      <c r="AV40" s="102"/>
      <c r="AW40" s="102"/>
      <c r="AX40" s="102"/>
      <c r="AY40" s="102"/>
      <c r="AZ40" s="102"/>
      <c r="BA40" s="102"/>
      <c r="BB40" s="102"/>
      <c r="BC40" s="102"/>
      <c r="BD40" s="102"/>
      <c r="BE40" s="102"/>
      <c r="BF40" s="102"/>
      <c r="BG40" s="102"/>
      <c r="BH40" s="102"/>
      <c r="BI40" s="102"/>
      <c r="BJ40" s="102"/>
      <c r="BK40" s="102"/>
      <c r="BL40" s="102"/>
      <c r="BM40" s="102"/>
      <c r="BN40" s="102"/>
      <c r="BO40" s="102"/>
      <c r="BP40" s="102"/>
      <c r="BQ40" s="102"/>
      <c r="BR40" s="102"/>
      <c r="BS40" s="102"/>
    </row>
    <row r="41" customFormat="false" ht="16.05" hidden="false" customHeight="true" outlineLevel="0" collapsed="false">
      <c r="A41" s="69"/>
      <c r="B41" s="81" t="s">
        <v>151</v>
      </c>
      <c r="C41" s="82" t="n">
        <v>0</v>
      </c>
      <c r="D41" s="81" t="s">
        <v>151</v>
      </c>
      <c r="E41" s="59" t="n">
        <f aca="false">C32+C41+C30*C14-C29*C15</f>
        <v>-98000</v>
      </c>
      <c r="F41" s="81"/>
      <c r="G41" s="93"/>
      <c r="H41" s="97"/>
      <c r="I41" s="97"/>
      <c r="J41" s="97"/>
      <c r="K41" s="97"/>
      <c r="L41" s="97"/>
      <c r="M41" s="97"/>
      <c r="O41" s="101"/>
      <c r="P41" s="101"/>
      <c r="Q41" s="101"/>
      <c r="R41" s="101"/>
      <c r="S41" s="99"/>
      <c r="T41" s="101"/>
      <c r="U41" s="101"/>
      <c r="V41" s="101"/>
      <c r="W41" s="101"/>
      <c r="X41" s="101"/>
      <c r="Y41" s="101"/>
      <c r="Z41" s="101"/>
      <c r="AA41" s="101"/>
      <c r="AB41" s="102"/>
      <c r="AC41" s="99"/>
      <c r="AD41" s="99"/>
      <c r="AE41" s="99"/>
      <c r="AF41" s="99"/>
      <c r="AG41" s="99"/>
      <c r="AH41" s="99"/>
      <c r="AI41" s="102"/>
      <c r="AJ41" s="99"/>
      <c r="AK41" s="99"/>
      <c r="AL41" s="99"/>
      <c r="AM41" s="99"/>
      <c r="AN41" s="102"/>
      <c r="AO41" s="99"/>
      <c r="AP41" s="99"/>
      <c r="AQ41" s="99"/>
      <c r="AR41" s="99"/>
      <c r="AS41" s="102"/>
      <c r="AT41" s="102"/>
      <c r="AU41" s="102"/>
      <c r="AV41" s="102"/>
      <c r="AW41" s="102"/>
      <c r="AX41" s="102"/>
      <c r="AY41" s="102"/>
      <c r="AZ41" s="102"/>
      <c r="BA41" s="102"/>
      <c r="BB41" s="102"/>
      <c r="BC41" s="102"/>
      <c r="BD41" s="102"/>
      <c r="BE41" s="102"/>
      <c r="BF41" s="102"/>
      <c r="BG41" s="102"/>
      <c r="BH41" s="102"/>
      <c r="BI41" s="102"/>
      <c r="BJ41" s="102"/>
      <c r="BK41" s="102"/>
      <c r="BL41" s="102"/>
      <c r="BM41" s="102"/>
      <c r="BN41" s="102"/>
      <c r="BO41" s="102"/>
      <c r="BP41" s="102"/>
      <c r="BQ41" s="102"/>
      <c r="BR41" s="102"/>
      <c r="BS41" s="102"/>
    </row>
    <row r="42" customFormat="false" ht="16.05" hidden="false" customHeight="true" outlineLevel="0" collapsed="false">
      <c r="A42" s="69"/>
      <c r="B42" s="81" t="s">
        <v>157</v>
      </c>
      <c r="C42" s="82" t="n">
        <v>0</v>
      </c>
      <c r="D42" s="81" t="s">
        <v>157</v>
      </c>
      <c r="E42" s="59" t="n">
        <f aca="false">C33+C42+C28*C15-C30*C13</f>
        <v>0</v>
      </c>
      <c r="F42" s="81"/>
      <c r="G42" s="93"/>
      <c r="H42" s="97"/>
      <c r="I42" s="97"/>
      <c r="J42" s="97"/>
      <c r="K42" s="97"/>
      <c r="L42" s="97"/>
      <c r="M42" s="97"/>
      <c r="O42" s="101"/>
      <c r="P42" s="101"/>
      <c r="Q42" s="101"/>
      <c r="R42" s="101"/>
      <c r="S42" s="99"/>
      <c r="T42" s="101"/>
      <c r="U42" s="101"/>
      <c r="V42" s="101"/>
      <c r="W42" s="101"/>
      <c r="X42" s="101"/>
      <c r="Y42" s="101"/>
      <c r="Z42" s="101"/>
      <c r="AA42" s="101"/>
      <c r="AB42" s="102"/>
      <c r="AC42" s="99"/>
      <c r="AD42" s="99"/>
      <c r="AE42" s="99"/>
      <c r="AF42" s="99"/>
      <c r="AG42" s="99"/>
      <c r="AH42" s="99"/>
      <c r="AI42" s="102"/>
      <c r="AJ42" s="99"/>
      <c r="AK42" s="99"/>
      <c r="AL42" s="99"/>
      <c r="AM42" s="99"/>
      <c r="AN42" s="102"/>
      <c r="AO42" s="99"/>
      <c r="AP42" s="99"/>
      <c r="AQ42" s="99"/>
      <c r="AR42" s="99"/>
      <c r="AS42" s="102"/>
      <c r="AT42" s="102"/>
      <c r="AU42" s="102"/>
      <c r="AV42" s="102"/>
      <c r="AW42" s="102"/>
      <c r="AX42" s="102"/>
      <c r="AY42" s="102"/>
      <c r="AZ42" s="102"/>
      <c r="BA42" s="102"/>
      <c r="BB42" s="102"/>
      <c r="BC42" s="102"/>
      <c r="BD42" s="102"/>
      <c r="BE42" s="102"/>
      <c r="BF42" s="102"/>
      <c r="BG42" s="102"/>
      <c r="BH42" s="102"/>
      <c r="BI42" s="102"/>
      <c r="BJ42" s="102"/>
      <c r="BK42" s="102"/>
      <c r="BL42" s="102"/>
      <c r="BM42" s="102"/>
      <c r="BN42" s="102"/>
      <c r="BO42" s="102"/>
      <c r="BP42" s="102"/>
      <c r="BQ42" s="102"/>
      <c r="BR42" s="102"/>
      <c r="BS42" s="102"/>
    </row>
    <row r="43" customFormat="false" ht="16.05" hidden="false" customHeight="true" outlineLevel="0" collapsed="false">
      <c r="A43" s="69"/>
      <c r="B43" s="103" t="s">
        <v>159</v>
      </c>
      <c r="C43" s="104" t="n">
        <v>0</v>
      </c>
      <c r="D43" s="81" t="s">
        <v>159</v>
      </c>
      <c r="E43" s="59" t="n">
        <f aca="false">C34+C43+C29*C13-C28*C14</f>
        <v>0</v>
      </c>
      <c r="F43" s="97"/>
      <c r="G43" s="97"/>
      <c r="H43" s="97"/>
      <c r="I43" s="97"/>
      <c r="J43" s="97"/>
      <c r="K43" s="97"/>
      <c r="L43" s="97"/>
      <c r="M43" s="97"/>
      <c r="O43" s="101"/>
      <c r="P43" s="101"/>
      <c r="Q43" s="101"/>
      <c r="R43" s="101"/>
      <c r="S43" s="99"/>
      <c r="T43" s="101"/>
      <c r="U43" s="101"/>
      <c r="V43" s="101"/>
      <c r="W43" s="101"/>
      <c r="X43" s="101"/>
      <c r="Y43" s="101"/>
      <c r="Z43" s="101"/>
      <c r="AA43" s="101"/>
      <c r="AB43" s="102"/>
      <c r="AC43" s="99"/>
      <c r="AD43" s="99"/>
      <c r="AE43" s="99"/>
      <c r="AF43" s="99"/>
      <c r="AG43" s="99"/>
      <c r="AH43" s="99"/>
      <c r="AI43" s="102"/>
      <c r="AJ43" s="99"/>
      <c r="AK43" s="99"/>
      <c r="AL43" s="99"/>
      <c r="AM43" s="99"/>
      <c r="AN43" s="102"/>
      <c r="AO43" s="99"/>
      <c r="AP43" s="99"/>
      <c r="AQ43" s="99"/>
      <c r="AR43" s="99"/>
      <c r="AS43" s="102"/>
      <c r="AT43" s="102"/>
      <c r="AU43" s="102"/>
      <c r="AV43" s="102"/>
      <c r="AW43" s="102"/>
      <c r="AX43" s="102"/>
      <c r="AY43" s="102"/>
      <c r="AZ43" s="102"/>
      <c r="BA43" s="102"/>
      <c r="BB43" s="102"/>
      <c r="BC43" s="102"/>
      <c r="BD43" s="102"/>
      <c r="BE43" s="102"/>
      <c r="BF43" s="102"/>
      <c r="BG43" s="102"/>
      <c r="BH43" s="102"/>
      <c r="BI43" s="102"/>
      <c r="BJ43" s="102"/>
      <c r="BK43" s="102"/>
      <c r="BL43" s="102"/>
      <c r="BM43" s="102"/>
      <c r="BN43" s="102"/>
      <c r="BO43" s="102"/>
      <c r="BP43" s="102"/>
      <c r="BQ43" s="102"/>
      <c r="BR43" s="102"/>
      <c r="BS43" s="102"/>
    </row>
    <row r="44" s="36" customFormat="true" ht="16.05" hidden="false" customHeight="true" outlineLevel="0" collapsed="false">
      <c r="A44" s="69"/>
      <c r="B44" s="105" t="s">
        <v>101</v>
      </c>
      <c r="C44" s="106" t="n">
        <v>1</v>
      </c>
      <c r="D44" s="105" t="s">
        <v>101</v>
      </c>
      <c r="E44" s="106" t="n">
        <v>1</v>
      </c>
      <c r="F44" s="107"/>
      <c r="G44" s="107"/>
      <c r="H44" s="107"/>
      <c r="I44" s="107"/>
      <c r="J44" s="107"/>
      <c r="K44" s="107"/>
      <c r="L44" s="107"/>
      <c r="M44" s="107"/>
      <c r="O44" s="108"/>
      <c r="P44" s="108"/>
      <c r="Q44" s="108"/>
      <c r="R44" s="108"/>
      <c r="S44" s="109"/>
      <c r="T44" s="108"/>
      <c r="U44" s="108"/>
      <c r="V44" s="108"/>
      <c r="W44" s="108"/>
      <c r="X44" s="108"/>
      <c r="Y44" s="108"/>
      <c r="Z44" s="108"/>
      <c r="AA44" s="108"/>
      <c r="AB44" s="110"/>
      <c r="AC44" s="109"/>
      <c r="AD44" s="109"/>
      <c r="AE44" s="109"/>
      <c r="AF44" s="109"/>
      <c r="AG44" s="109"/>
      <c r="AH44" s="109"/>
      <c r="AI44" s="110"/>
      <c r="AJ44" s="109"/>
      <c r="AK44" s="109"/>
      <c r="AL44" s="109"/>
      <c r="AM44" s="109"/>
      <c r="AN44" s="110"/>
      <c r="AO44" s="109"/>
      <c r="AP44" s="109"/>
      <c r="AQ44" s="109"/>
      <c r="AR44" s="109"/>
      <c r="AS44" s="110"/>
      <c r="AT44" s="110"/>
      <c r="AU44" s="110"/>
      <c r="AV44" s="110"/>
      <c r="AW44" s="110"/>
      <c r="AX44" s="110"/>
      <c r="AY44" s="110"/>
      <c r="AZ44" s="110"/>
      <c r="BA44" s="110"/>
      <c r="BB44" s="110"/>
      <c r="BC44" s="110"/>
      <c r="BD44" s="110"/>
      <c r="BE44" s="110"/>
      <c r="BF44" s="110"/>
      <c r="BG44" s="110"/>
      <c r="BH44" s="110"/>
      <c r="BI44" s="110"/>
      <c r="BJ44" s="110"/>
      <c r="BK44" s="110"/>
      <c r="BL44" s="110"/>
      <c r="BM44" s="110"/>
      <c r="BN44" s="110"/>
      <c r="BO44" s="110"/>
      <c r="BP44" s="110"/>
      <c r="BQ44" s="110"/>
      <c r="BR44" s="110"/>
      <c r="BS44" s="110"/>
    </row>
    <row r="45" customFormat="false" ht="15" hidden="false" customHeight="true" outlineLevel="0" collapsed="false">
      <c r="A45" s="50" t="s">
        <v>164</v>
      </c>
      <c r="B45" s="51" t="s">
        <v>165</v>
      </c>
      <c r="E45" s="9" t="s">
        <v>166</v>
      </c>
    </row>
    <row r="46" customFormat="false" ht="15" hidden="false" customHeight="true" outlineLevel="0" collapsed="false">
      <c r="A46" s="50"/>
      <c r="B46" s="52" t="s">
        <v>88</v>
      </c>
      <c r="C46" s="111" t="n">
        <f aca="false">C24</f>
        <v>0</v>
      </c>
      <c r="E46" s="1" t="s">
        <v>89</v>
      </c>
      <c r="F46" s="1"/>
      <c r="G46" s="1" t="s">
        <v>90</v>
      </c>
      <c r="H46" s="1"/>
      <c r="N46" s="11" t="s">
        <v>91</v>
      </c>
      <c r="O46" s="9"/>
      <c r="P46" s="54"/>
      <c r="Q46" s="9"/>
      <c r="R46" s="9"/>
      <c r="S46" s="11" t="s">
        <v>38</v>
      </c>
      <c r="Y46" s="11" t="s">
        <v>92</v>
      </c>
    </row>
    <row r="47" customFormat="false" ht="15" hidden="false" customHeight="true" outlineLevel="0" collapsed="false">
      <c r="A47" s="50"/>
      <c r="B47" s="52" t="s">
        <v>93</v>
      </c>
      <c r="C47" s="111" t="n">
        <f aca="false">C25</f>
        <v>500</v>
      </c>
      <c r="E47" s="55" t="s">
        <v>33</v>
      </c>
      <c r="F47" s="34" t="n">
        <f aca="false">'CS_2_vertical column'!B45</f>
        <v>0.005</v>
      </c>
      <c r="G47" s="55" t="s">
        <v>33</v>
      </c>
      <c r="H47" s="34" t="n">
        <f aca="false">'CS_2_vertical column'!B52</f>
        <v>0</v>
      </c>
      <c r="O47" s="0" t="s">
        <v>42</v>
      </c>
      <c r="P47" s="31" t="s">
        <v>43</v>
      </c>
      <c r="Q47" s="17" t="s">
        <v>44</v>
      </c>
      <c r="R47" s="17" t="s">
        <v>45</v>
      </c>
      <c r="T47" s="0" t="s">
        <v>42</v>
      </c>
      <c r="U47" s="31" t="s">
        <v>43</v>
      </c>
      <c r="V47" s="17" t="s">
        <v>44</v>
      </c>
      <c r="W47" s="17" t="s">
        <v>45</v>
      </c>
      <c r="Y47" s="0" t="s">
        <v>42</v>
      </c>
      <c r="Z47" s="31" t="s">
        <v>43</v>
      </c>
      <c r="AA47" s="17" t="s">
        <v>44</v>
      </c>
      <c r="AB47" s="17" t="s">
        <v>45</v>
      </c>
    </row>
    <row r="48" customFormat="false" ht="15" hidden="false" customHeight="true" outlineLevel="0" collapsed="false">
      <c r="A48" s="50"/>
      <c r="B48" s="52" t="s">
        <v>94</v>
      </c>
      <c r="C48" s="111" t="n">
        <f aca="false">C26</f>
        <v>500</v>
      </c>
      <c r="E48" s="55" t="s">
        <v>34</v>
      </c>
      <c r="F48" s="34" t="n">
        <f aca="false">'CS_2_vertical column'!B46</f>
        <v>0.005</v>
      </c>
      <c r="G48" s="55" t="s">
        <v>34</v>
      </c>
      <c r="H48" s="34" t="n">
        <f aca="false">'CS_2_vertical column'!B53</f>
        <v>0</v>
      </c>
      <c r="N48" s="55" t="s">
        <v>33</v>
      </c>
      <c r="O48" s="56" t="n">
        <f aca="false">ABS(F47)</f>
        <v>0.005</v>
      </c>
      <c r="P48" s="56" t="n">
        <f aca="false">ABS(F50*O62)</f>
        <v>0</v>
      </c>
      <c r="Q48" s="56" t="n">
        <f aca="false">ABS(F51*P62)</f>
        <v>0.0249999958333336</v>
      </c>
      <c r="R48" s="56" t="n">
        <f aca="false">ABS(F52*Q62)</f>
        <v>0.0249999958333336</v>
      </c>
      <c r="S48" s="55" t="s">
        <v>33</v>
      </c>
      <c r="T48" s="35" t="n">
        <f aca="false" t="array" ref="T48:W51">ABS(MMULT(T66:W69,O48:R51))</f>
        <v>0.005</v>
      </c>
      <c r="U48" s="35" t="n">
        <v>0</v>
      </c>
      <c r="V48" s="35" t="n">
        <v>0.0249999958333336</v>
      </c>
      <c r="W48" s="35" t="n">
        <v>0.0249999958333336</v>
      </c>
      <c r="X48" s="32" t="s">
        <v>33</v>
      </c>
      <c r="Y48" s="35" t="n">
        <f aca="false">F54+F61</f>
        <v>0</v>
      </c>
      <c r="Z48" s="57" t="n">
        <f aca="false">F57*O62</f>
        <v>-0</v>
      </c>
      <c r="AA48" s="57" t="n">
        <f aca="false">F58*P62</f>
        <v>0</v>
      </c>
      <c r="AB48" s="57" t="n">
        <f aca="false">F59*Q62</f>
        <v>-0</v>
      </c>
    </row>
    <row r="49" customFormat="false" ht="15" hidden="false" customHeight="true" outlineLevel="0" collapsed="false">
      <c r="A49" s="58" t="n">
        <v>2</v>
      </c>
      <c r="B49" s="9" t="s">
        <v>95</v>
      </c>
      <c r="E49" s="55" t="s">
        <v>35</v>
      </c>
      <c r="F49" s="34" t="n">
        <f aca="false">'CS_2_vertical column'!B47</f>
        <v>0.005</v>
      </c>
      <c r="G49" s="55" t="s">
        <v>35</v>
      </c>
      <c r="H49" s="34" t="n">
        <f aca="false">'CS_2_vertical column'!B54</f>
        <v>0</v>
      </c>
      <c r="N49" s="55" t="s">
        <v>34</v>
      </c>
      <c r="O49" s="56" t="n">
        <f aca="false">ABS(F48)</f>
        <v>0.005</v>
      </c>
      <c r="P49" s="56" t="n">
        <f aca="false">ABS(F50*O63)</f>
        <v>0.0250124957072318</v>
      </c>
      <c r="Q49" s="56" t="n">
        <f aca="false">ABS(F51*P63)</f>
        <v>0</v>
      </c>
      <c r="R49" s="56" t="n">
        <f aca="false">ABS(F52*Q63)</f>
        <v>1.24999989594699E-005</v>
      </c>
      <c r="S49" s="55" t="s">
        <v>34</v>
      </c>
      <c r="T49" s="35" t="n">
        <v>0.005</v>
      </c>
      <c r="U49" s="35" t="n">
        <v>0.0250124957072318</v>
      </c>
      <c r="V49" s="35" t="n">
        <v>0</v>
      </c>
      <c r="W49" s="35" t="n">
        <v>1.24999989594699E-005</v>
      </c>
      <c r="X49" s="32" t="s">
        <v>34</v>
      </c>
      <c r="Y49" s="35" t="n">
        <f aca="false">F55+F62</f>
        <v>-0.190956023435744</v>
      </c>
      <c r="Z49" s="57" t="n">
        <f aca="false">F57*O63</f>
        <v>1.00080060184302</v>
      </c>
      <c r="AA49" s="57" t="n">
        <f aca="false">F58*P63</f>
        <v>0</v>
      </c>
      <c r="AB49" s="57" t="n">
        <f aca="false">F59*Q63</f>
        <v>-0</v>
      </c>
    </row>
    <row r="50" customFormat="false" ht="15" hidden="false" customHeight="true" outlineLevel="0" collapsed="false">
      <c r="A50" s="59" t="n">
        <f aca="false">IF(A49&gt;Naxes,0,1)</f>
        <v>1</v>
      </c>
      <c r="B50" s="60" t="s">
        <v>96</v>
      </c>
      <c r="C50" s="47" t="n">
        <v>0</v>
      </c>
      <c r="E50" s="55" t="s">
        <v>97</v>
      </c>
      <c r="F50" s="34" t="n">
        <f aca="false">'CS_2_vertical column'!B48</f>
        <v>4.999999975E-005</v>
      </c>
      <c r="G50" s="55" t="s">
        <v>97</v>
      </c>
      <c r="H50" s="34" t="n">
        <f aca="false">'CS_2_vertical column'!B55</f>
        <v>0</v>
      </c>
      <c r="N50" s="55" t="s">
        <v>35</v>
      </c>
      <c r="O50" s="56" t="n">
        <f aca="false">ABS(F49)</f>
        <v>0.005</v>
      </c>
      <c r="P50" s="56" t="n">
        <f aca="false">ABS(F50*O64)</f>
        <v>0.0249874957094378</v>
      </c>
      <c r="Q50" s="56" t="n">
        <f aca="false">ABS(F51*P64)</f>
        <v>1.24999989594699E-005</v>
      </c>
      <c r="R50" s="56" t="n">
        <f aca="false">ABS(F52*Q64)</f>
        <v>0</v>
      </c>
      <c r="S50" s="55" t="s">
        <v>35</v>
      </c>
      <c r="T50" s="35" t="n">
        <v>0.005</v>
      </c>
      <c r="U50" s="35" t="n">
        <v>0.0249874957094378</v>
      </c>
      <c r="V50" s="35" t="n">
        <v>1.24999989594699E-005</v>
      </c>
      <c r="W50" s="35" t="n">
        <v>0</v>
      </c>
      <c r="X50" s="32" t="s">
        <v>35</v>
      </c>
      <c r="Y50" s="35" t="n">
        <f aca="false">F56+F63</f>
        <v>-0.000970738702116751</v>
      </c>
      <c r="Z50" s="57" t="n">
        <f aca="false">F57*O64</f>
        <v>-0.999800301307996</v>
      </c>
      <c r="AA50" s="57" t="n">
        <f aca="false">F58*P64</f>
        <v>-0</v>
      </c>
      <c r="AB50" s="57" t="n">
        <f aca="false">F59*Q64</f>
        <v>0</v>
      </c>
    </row>
    <row r="51" customFormat="false" ht="15" hidden="false" customHeight="true" outlineLevel="0" collapsed="false">
      <c r="A51" s="61" t="s">
        <v>98</v>
      </c>
      <c r="B51" s="60" t="s">
        <v>99</v>
      </c>
      <c r="C51" s="47" t="n">
        <v>0</v>
      </c>
      <c r="E51" s="55" t="s">
        <v>100</v>
      </c>
      <c r="F51" s="34" t="n">
        <f aca="false">'CS_2_vertical column'!B49</f>
        <v>5E-005</v>
      </c>
      <c r="G51" s="55" t="s">
        <v>100</v>
      </c>
      <c r="H51" s="34" t="n">
        <f aca="false">'CS_2_vertical column'!B56</f>
        <v>0</v>
      </c>
      <c r="N51" s="41" t="s">
        <v>101</v>
      </c>
      <c r="O51" s="57" t="n">
        <v>1</v>
      </c>
      <c r="P51" s="57" t="n">
        <v>1</v>
      </c>
      <c r="Q51" s="57" t="n">
        <v>1</v>
      </c>
      <c r="R51" s="57" t="n">
        <v>1</v>
      </c>
      <c r="S51" s="41" t="s">
        <v>101</v>
      </c>
      <c r="T51" s="35" t="n">
        <v>1</v>
      </c>
      <c r="U51" s="35" t="n">
        <v>1</v>
      </c>
      <c r="V51" s="35" t="n">
        <v>1</v>
      </c>
      <c r="W51" s="35" t="n">
        <v>1</v>
      </c>
      <c r="X51" s="41" t="s">
        <v>101</v>
      </c>
      <c r="Y51" s="57" t="n">
        <v>1</v>
      </c>
      <c r="Z51" s="57" t="n">
        <v>1</v>
      </c>
      <c r="AA51" s="57" t="n">
        <v>1</v>
      </c>
      <c r="AB51" s="57" t="n">
        <v>1</v>
      </c>
    </row>
    <row r="52" customFormat="false" ht="15" hidden="false" customHeight="true" outlineLevel="0" collapsed="false">
      <c r="A52" s="61"/>
      <c r="B52" s="60" t="s">
        <v>102</v>
      </c>
      <c r="C52" s="47" t="n">
        <v>0</v>
      </c>
      <c r="E52" s="55" t="s">
        <v>104</v>
      </c>
      <c r="F52" s="34" t="n">
        <f aca="false">'CS_2_vertical column'!B50</f>
        <v>5E-005</v>
      </c>
      <c r="G52" s="55" t="s">
        <v>104</v>
      </c>
      <c r="H52" s="34" t="n">
        <f aca="false">'CS_2_vertical column'!B57</f>
        <v>0</v>
      </c>
      <c r="X52" s="41"/>
    </row>
    <row r="53" customFormat="false" ht="30" hidden="false" customHeight="true" outlineLevel="0" collapsed="false">
      <c r="A53" s="61"/>
      <c r="B53" s="60" t="s">
        <v>105</v>
      </c>
      <c r="C53" s="47" t="n">
        <v>450</v>
      </c>
      <c r="E53" s="18" t="s">
        <v>106</v>
      </c>
      <c r="F53" s="18"/>
      <c r="G53" s="1" t="s">
        <v>107</v>
      </c>
      <c r="H53" s="1"/>
      <c r="I53" s="18" t="s">
        <v>108</v>
      </c>
      <c r="J53" s="18"/>
      <c r="K53" s="18" t="s">
        <v>109</v>
      </c>
      <c r="L53" s="18"/>
      <c r="N53" s="11" t="s">
        <v>110</v>
      </c>
      <c r="O53" s="9"/>
      <c r="P53" s="54"/>
      <c r="Q53" s="9"/>
      <c r="R53" s="9"/>
      <c r="S53" s="11" t="s">
        <v>39</v>
      </c>
      <c r="X53" s="41"/>
      <c r="Y53" s="11" t="s">
        <v>111</v>
      </c>
    </row>
    <row r="54" customFormat="false" ht="15" hidden="false" customHeight="true" outlineLevel="0" collapsed="false">
      <c r="A54" s="61"/>
      <c r="B54" s="60" t="s">
        <v>112</v>
      </c>
      <c r="C54" s="65" t="n">
        <v>0</v>
      </c>
      <c r="E54" s="55" t="s">
        <v>33</v>
      </c>
      <c r="F54" s="35" t="n">
        <f aca="false">E70/IF(H54=0,1000000000000,H54)</f>
        <v>0</v>
      </c>
      <c r="G54" s="55" t="s">
        <v>113</v>
      </c>
      <c r="H54" s="57" t="n">
        <f aca="false">'CS_2_vertical column'!B25</f>
        <v>2666666.66666667</v>
      </c>
      <c r="I54" s="55" t="s">
        <v>97</v>
      </c>
      <c r="J54" s="35" t="n">
        <f aca="false">A83*F97</f>
        <v>-0.00199698113207547</v>
      </c>
      <c r="K54" s="55" t="s">
        <v>97</v>
      </c>
      <c r="L54" s="68" t="n">
        <f aca="false" t="array" ref="L54:L57">MMULT(MINVERSE(O66:R69),J54:J57)</f>
        <v>-0.00199698113207547</v>
      </c>
      <c r="O54" s="0" t="s">
        <v>42</v>
      </c>
      <c r="P54" s="31" t="s">
        <v>43</v>
      </c>
      <c r="Q54" s="17" t="s">
        <v>44</v>
      </c>
      <c r="R54" s="17" t="s">
        <v>45</v>
      </c>
      <c r="T54" s="0" t="s">
        <v>42</v>
      </c>
      <c r="U54" s="31" t="s">
        <v>43</v>
      </c>
      <c r="V54" s="17" t="s">
        <v>44</v>
      </c>
      <c r="W54" s="17" t="s">
        <v>45</v>
      </c>
      <c r="X54" s="41"/>
      <c r="Y54" s="0" t="s">
        <v>42</v>
      </c>
      <c r="Z54" s="31" t="s">
        <v>43</v>
      </c>
      <c r="AA54" s="17" t="s">
        <v>44</v>
      </c>
      <c r="AB54" s="17" t="s">
        <v>45</v>
      </c>
    </row>
    <row r="55" customFormat="false" ht="15" hidden="false" customHeight="true" outlineLevel="0" collapsed="false">
      <c r="A55" s="112" t="s">
        <v>167</v>
      </c>
      <c r="B55" s="60" t="s">
        <v>115</v>
      </c>
      <c r="C55" s="65" t="n">
        <v>0</v>
      </c>
      <c r="E55" s="55" t="s">
        <v>34</v>
      </c>
      <c r="F55" s="35" t="n">
        <f aca="false">E71/IF(H55=0,1000000000000,H55)</f>
        <v>0</v>
      </c>
      <c r="G55" s="55" t="s">
        <v>116</v>
      </c>
      <c r="H55" s="57" t="n">
        <f aca="false">'CS_2_vertical column'!B26</f>
        <v>0</v>
      </c>
      <c r="I55" s="55" t="s">
        <v>100</v>
      </c>
      <c r="J55" s="35" t="n">
        <f aca="false">A83*F98</f>
        <v>0</v>
      </c>
      <c r="K55" s="55" t="s">
        <v>100</v>
      </c>
      <c r="L55" s="68" t="n">
        <v>0</v>
      </c>
      <c r="N55" s="55" t="s">
        <v>33</v>
      </c>
      <c r="O55" s="56" t="n">
        <f aca="false">H47</f>
        <v>0</v>
      </c>
      <c r="P55" s="56" t="n">
        <f aca="false">H50*O62</f>
        <v>0</v>
      </c>
      <c r="Q55" s="56" t="n">
        <f aca="false">H51*P62</f>
        <v>0</v>
      </c>
      <c r="R55" s="56" t="n">
        <f aca="false">H52*Q62</f>
        <v>-0</v>
      </c>
      <c r="S55" s="55" t="s">
        <v>33</v>
      </c>
      <c r="T55" s="56" t="n">
        <f aca="false" t="array" ref="T55:T58">MMULT(T66:W69,O55:O58)</f>
        <v>0</v>
      </c>
      <c r="U55" s="56" t="n">
        <f aca="false" t="array" ref="U55:U58">MMULT(T66:W69,P55:P58)</f>
        <v>0</v>
      </c>
      <c r="V55" s="56" t="n">
        <f aca="false" t="array" ref="V55:V58">MMULT(T66:W69,Q55:Q58)</f>
        <v>0</v>
      </c>
      <c r="W55" s="56" t="n">
        <f aca="false" t="array" ref="W55:W58">MMULT(T66:W69,R55:R58)</f>
        <v>0</v>
      </c>
      <c r="X55" s="32" t="s">
        <v>33</v>
      </c>
      <c r="Y55" s="57" t="n">
        <f aca="false" t="array" ref="Y55:Y58">MMULT(T66:W69,Y48:Y51)</f>
        <v>0</v>
      </c>
      <c r="Z55" s="57" t="n">
        <f aca="false" t="array" ref="Z55:Z58">MMULT(T66:W69,Z48:Z51)</f>
        <v>0</v>
      </c>
      <c r="AA55" s="57" t="n">
        <f aca="false" t="array" ref="AA55:AA58">MMULT(T66:W69,AA48:AA51)</f>
        <v>0</v>
      </c>
      <c r="AB55" s="57" t="n">
        <f aca="false" t="array" ref="AB55:AB58">MMULT(T66:W69,AB48:AB51)</f>
        <v>0</v>
      </c>
    </row>
    <row r="56" customFormat="false" ht="15" hidden="false" customHeight="true" outlineLevel="0" collapsed="false">
      <c r="A56" s="112"/>
      <c r="B56" s="11" t="s">
        <v>117</v>
      </c>
      <c r="E56" s="55" t="s">
        <v>35</v>
      </c>
      <c r="F56" s="35" t="n">
        <f aca="false">E72/IF(H56=0,1000000000000,H56)</f>
        <v>-7.35E-005</v>
      </c>
      <c r="G56" s="55" t="s">
        <v>118</v>
      </c>
      <c r="H56" s="57" t="n">
        <f aca="false">'CS_2_vertical column'!B27</f>
        <v>2666666.66666667</v>
      </c>
      <c r="I56" s="55" t="s">
        <v>104</v>
      </c>
      <c r="J56" s="35" t="n">
        <f aca="false">A83*F99</f>
        <v>0</v>
      </c>
      <c r="K56" s="55" t="s">
        <v>104</v>
      </c>
      <c r="L56" s="68" t="n">
        <v>0</v>
      </c>
      <c r="N56" s="55" t="s">
        <v>34</v>
      </c>
      <c r="O56" s="56" t="n">
        <f aca="false">H48</f>
        <v>0</v>
      </c>
      <c r="P56" s="56" t="n">
        <f aca="false">H50*O63</f>
        <v>-0</v>
      </c>
      <c r="Q56" s="56" t="n">
        <f aca="false">H51*P63</f>
        <v>0</v>
      </c>
      <c r="R56" s="56" t="n">
        <f aca="false">H52*Q63</f>
        <v>-0</v>
      </c>
      <c r="S56" s="55" t="s">
        <v>34</v>
      </c>
      <c r="T56" s="56" t="n">
        <v>0</v>
      </c>
      <c r="U56" s="56" t="n">
        <v>0</v>
      </c>
      <c r="V56" s="56" t="n">
        <v>0</v>
      </c>
      <c r="W56" s="56" t="n">
        <v>0</v>
      </c>
      <c r="X56" s="32" t="s">
        <v>34</v>
      </c>
      <c r="Y56" s="57" t="n">
        <v>-0.190956023435744</v>
      </c>
      <c r="Z56" s="57" t="n">
        <v>1.00080060184302</v>
      </c>
      <c r="AA56" s="57" t="n">
        <v>0</v>
      </c>
      <c r="AB56" s="57" t="n">
        <v>0</v>
      </c>
    </row>
    <row r="57" customFormat="false" ht="15" hidden="false" customHeight="true" outlineLevel="0" collapsed="false">
      <c r="A57" s="112"/>
      <c r="B57" s="52" t="s">
        <v>119</v>
      </c>
      <c r="C57" s="71" t="n">
        <f aca="false">AC66+C53</f>
        <v>450</v>
      </c>
      <c r="E57" s="55" t="s">
        <v>97</v>
      </c>
      <c r="F57" s="35" t="n">
        <f aca="false">E74/IF(H57=0,1000000000000,H57)+L54</f>
        <v>-0.00200060123658444</v>
      </c>
      <c r="G57" s="55" t="s">
        <v>120</v>
      </c>
      <c r="H57" s="57" t="n">
        <f aca="false">'CS_2_vertical column'!B29</f>
        <v>27071041666.6667</v>
      </c>
      <c r="I57" s="55" t="s">
        <v>121</v>
      </c>
      <c r="J57" s="57" t="n">
        <v>1</v>
      </c>
      <c r="K57" s="55" t="s">
        <v>121</v>
      </c>
      <c r="L57" s="68" t="n">
        <v>1</v>
      </c>
      <c r="N57" s="55" t="s">
        <v>35</v>
      </c>
      <c r="O57" s="56" t="n">
        <f aca="false">H49</f>
        <v>0</v>
      </c>
      <c r="P57" s="56" t="n">
        <f aca="false">H50*O64</f>
        <v>0</v>
      </c>
      <c r="Q57" s="56" t="n">
        <f aca="false">H51*P64</f>
        <v>-0</v>
      </c>
      <c r="R57" s="56" t="n">
        <f aca="false">H52*Q64</f>
        <v>0</v>
      </c>
      <c r="S57" s="55" t="s">
        <v>35</v>
      </c>
      <c r="T57" s="56" t="n">
        <v>0</v>
      </c>
      <c r="U57" s="56" t="n">
        <v>0</v>
      </c>
      <c r="V57" s="56" t="n">
        <v>0</v>
      </c>
      <c r="W57" s="56" t="n">
        <v>0</v>
      </c>
      <c r="X57" s="32" t="s">
        <v>35</v>
      </c>
      <c r="Y57" s="57" t="n">
        <v>-0.000970738702116751</v>
      </c>
      <c r="Z57" s="57" t="n">
        <v>-0.999800301307996</v>
      </c>
      <c r="AA57" s="57" t="n">
        <v>0</v>
      </c>
      <c r="AB57" s="57" t="n">
        <v>0</v>
      </c>
    </row>
    <row r="58" customFormat="false" ht="15" hidden="false" customHeight="true" outlineLevel="0" collapsed="false">
      <c r="A58" s="112"/>
      <c r="B58" s="52" t="s">
        <v>122</v>
      </c>
      <c r="C58" s="71" t="n">
        <f aca="false">AC67+C54</f>
        <v>500</v>
      </c>
      <c r="E58" s="55" t="s">
        <v>100</v>
      </c>
      <c r="F58" s="35" t="n">
        <f aca="false">E75/IF(H58=0,1000000000000,H58)+L55</f>
        <v>0</v>
      </c>
      <c r="G58" s="55" t="s">
        <v>123</v>
      </c>
      <c r="H58" s="57" t="n">
        <f aca="false">'CS_2_vertical column'!B30</f>
        <v>26801458333.3333</v>
      </c>
      <c r="N58" s="41" t="s">
        <v>101</v>
      </c>
      <c r="O58" s="57" t="n">
        <v>1</v>
      </c>
      <c r="P58" s="57" t="n">
        <v>1</v>
      </c>
      <c r="Q58" s="57" t="n">
        <v>1</v>
      </c>
      <c r="R58" s="57" t="n">
        <v>1</v>
      </c>
      <c r="S58" s="41" t="s">
        <v>101</v>
      </c>
      <c r="T58" s="57" t="n">
        <v>1</v>
      </c>
      <c r="U58" s="57" t="n">
        <v>1</v>
      </c>
      <c r="V58" s="57" t="n">
        <v>1</v>
      </c>
      <c r="W58" s="57" t="n">
        <v>1</v>
      </c>
      <c r="X58" s="41" t="s">
        <v>101</v>
      </c>
      <c r="Y58" s="57" t="n">
        <v>1</v>
      </c>
      <c r="Z58" s="57" t="n">
        <v>1</v>
      </c>
      <c r="AA58" s="57" t="n">
        <v>1</v>
      </c>
      <c r="AB58" s="57" t="n">
        <v>1</v>
      </c>
    </row>
    <row r="59" customFormat="false" ht="15" hidden="false" customHeight="true" outlineLevel="0" collapsed="false">
      <c r="A59" s="112"/>
      <c r="B59" s="52" t="s">
        <v>124</v>
      </c>
      <c r="C59" s="71" t="n">
        <f aca="false">AC68+C55</f>
        <v>500</v>
      </c>
      <c r="E59" s="55" t="s">
        <v>104</v>
      </c>
      <c r="F59" s="35" t="n">
        <f aca="false">E76/IF(H59=0,1000000000000,H59)+L56</f>
        <v>0</v>
      </c>
      <c r="G59" s="55" t="s">
        <v>125</v>
      </c>
      <c r="H59" s="57" t="n">
        <f aca="false">'CS_2_vertical column'!B31</f>
        <v>26801458333.3333</v>
      </c>
      <c r="AB59" s="73"/>
      <c r="AU59" s="73" t="s">
        <v>126</v>
      </c>
      <c r="AZ59" s="73" t="s">
        <v>127</v>
      </c>
      <c r="BE59" s="73" t="s">
        <v>128</v>
      </c>
    </row>
    <row r="60" customFormat="false" ht="31.2" hidden="false" customHeight="false" outlineLevel="0" collapsed="false">
      <c r="A60" s="112"/>
      <c r="B60" s="74" t="s">
        <v>168</v>
      </c>
      <c r="E60" s="1" t="s">
        <v>130</v>
      </c>
      <c r="F60" s="1"/>
      <c r="G60" s="75" t="s">
        <v>131</v>
      </c>
      <c r="H60" s="75"/>
      <c r="I60" s="75"/>
      <c r="J60" s="75"/>
      <c r="K60" s="75"/>
      <c r="L60" s="75"/>
      <c r="M60" s="3" t="s">
        <v>132</v>
      </c>
      <c r="N60" s="76" t="s">
        <v>133</v>
      </c>
      <c r="AE60" s="44" t="s">
        <v>134</v>
      </c>
      <c r="AF60" s="79" t="n">
        <v>0.001</v>
      </c>
      <c r="AG60" s="44"/>
      <c r="AH60" s="44"/>
      <c r="AI60" s="44"/>
      <c r="AJ60" s="44" t="s">
        <v>135</v>
      </c>
      <c r="AK60" s="80" t="n">
        <v>0.001</v>
      </c>
      <c r="AL60" s="31"/>
      <c r="AM60" s="31"/>
      <c r="AN60" s="44"/>
      <c r="AO60" s="44" t="s">
        <v>136</v>
      </c>
      <c r="AP60" s="79" t="n">
        <v>0.001</v>
      </c>
      <c r="AU60" s="31" t="s">
        <v>18</v>
      </c>
      <c r="AV60" s="31" t="s">
        <v>137</v>
      </c>
      <c r="AW60" s="31" t="s">
        <v>138</v>
      </c>
      <c r="AZ60" s="31" t="s">
        <v>18</v>
      </c>
      <c r="BA60" s="31" t="s">
        <v>137</v>
      </c>
      <c r="BB60" s="31" t="s">
        <v>138</v>
      </c>
      <c r="BE60" s="31" t="s">
        <v>18</v>
      </c>
      <c r="BF60" s="31" t="s">
        <v>137</v>
      </c>
      <c r="BG60" s="31" t="s">
        <v>138</v>
      </c>
    </row>
    <row r="61" customFormat="false" ht="15" hidden="false" customHeight="true" outlineLevel="0" collapsed="false">
      <c r="A61" s="112"/>
      <c r="B61" s="81" t="s">
        <v>139</v>
      </c>
      <c r="C61" s="59" t="n">
        <f aca="false" t="array" ref="C61:C64">MMULT(O33:R36,E37:E40)</f>
        <v>0</v>
      </c>
      <c r="E61" s="55" t="s">
        <v>33</v>
      </c>
      <c r="F61" s="35" t="n">
        <f aca="false" t="array" ref="F61:F66">MMULT(G61:L66,M61:M66)</f>
        <v>0</v>
      </c>
      <c r="G61" s="83" t="n">
        <f aca="false">'CS_2_vertical column'!G5</f>
        <v>0.000649510283795049</v>
      </c>
      <c r="H61" s="83" t="n">
        <f aca="false">'CS_2_vertical column'!H5</f>
        <v>0</v>
      </c>
      <c r="I61" s="83" t="n">
        <f aca="false">'CS_2_vertical column'!I5</f>
        <v>0</v>
      </c>
      <c r="J61" s="83" t="n">
        <f aca="false">'CS_2_vertical column'!J5</f>
        <v>0</v>
      </c>
      <c r="K61" s="83" t="n">
        <f aca="false">'CS_2_vertical column'!K5</f>
        <v>1.94853085138515E-006</v>
      </c>
      <c r="L61" s="83" t="n">
        <f aca="false">'CS_2_vertical column'!L5</f>
        <v>0</v>
      </c>
      <c r="M61" s="57" t="n">
        <f aca="false">C61</f>
        <v>0</v>
      </c>
      <c r="O61" s="31" t="s">
        <v>140</v>
      </c>
      <c r="P61" s="17" t="s">
        <v>141</v>
      </c>
      <c r="Q61" s="17" t="s">
        <v>142</v>
      </c>
      <c r="R61" s="17"/>
      <c r="S61" s="17"/>
      <c r="T61" s="17"/>
      <c r="U61" s="17"/>
      <c r="V61" s="17"/>
      <c r="W61" s="17"/>
      <c r="X61" s="17"/>
      <c r="Y61" s="17"/>
      <c r="Z61" s="17"/>
      <c r="AA61" s="17"/>
      <c r="AB61" s="0" t="s">
        <v>143</v>
      </c>
      <c r="AC61" s="57" t="n">
        <f aca="false">C46</f>
        <v>0</v>
      </c>
      <c r="AD61" s="57"/>
      <c r="AE61" s="62" t="n">
        <v>1</v>
      </c>
      <c r="AF61" s="35" t="n">
        <v>0</v>
      </c>
      <c r="AG61" s="35" t="n">
        <v>0</v>
      </c>
      <c r="AH61" s="63" t="n">
        <v>0</v>
      </c>
      <c r="AI61" s="86"/>
      <c r="AJ61" s="35" t="n">
        <f aca="false">COS(AK60)</f>
        <v>0.999999500000042</v>
      </c>
      <c r="AK61" s="35" t="n">
        <v>0</v>
      </c>
      <c r="AL61" s="35" t="n">
        <f aca="false">-AJ63</f>
        <v>0.000999999833333342</v>
      </c>
      <c r="AM61" s="35" t="n">
        <v>0</v>
      </c>
      <c r="AN61" s="86"/>
      <c r="AO61" s="35" t="n">
        <f aca="false">COS(AP60)</f>
        <v>0.999999500000042</v>
      </c>
      <c r="AP61" s="35" t="n">
        <f aca="false">-AO62</f>
        <v>-0.000999999833333342</v>
      </c>
      <c r="AQ61" s="35" t="n">
        <v>0</v>
      </c>
      <c r="AR61" s="35" t="n">
        <v>0</v>
      </c>
      <c r="AS61" s="86"/>
      <c r="AT61" s="57" t="s">
        <v>144</v>
      </c>
      <c r="AU61" s="35" t="n">
        <f aca="false" t="array" ref="AU61:AU64">MMULT(AE61:AH64,$AC61:$AC64)</f>
        <v>0</v>
      </c>
      <c r="AV61" s="35" t="n">
        <f aca="false">AU61-$AC61</f>
        <v>0</v>
      </c>
      <c r="AW61" s="35" t="n">
        <f aca="false">AV61/AF60</f>
        <v>0</v>
      </c>
      <c r="AX61" s="86"/>
      <c r="AY61" s="57" t="s">
        <v>144</v>
      </c>
      <c r="AZ61" s="35" t="n">
        <f aca="false" t="array" ref="AZ61:AZ64">MMULT(AJ61:AM64,$AC61:$AC64)</f>
        <v>0.499999916666671</v>
      </c>
      <c r="BA61" s="35" t="n">
        <f aca="false">AZ61-$AC61</f>
        <v>0.499999916666671</v>
      </c>
      <c r="BB61" s="35" t="n">
        <f aca="false">BA61/AK60</f>
        <v>499.999916666671</v>
      </c>
      <c r="BC61" s="86"/>
      <c r="BD61" s="57" t="s">
        <v>144</v>
      </c>
      <c r="BE61" s="35" t="n">
        <f aca="false" t="array" ref="BE61:BE64">MMULT(AO61:AR64,$AC61:$AC64)</f>
        <v>-0.499999916666671</v>
      </c>
      <c r="BF61" s="35" t="n">
        <f aca="false">BE61-$AC61</f>
        <v>-0.499999916666671</v>
      </c>
      <c r="BG61" s="35" t="n">
        <f aca="false">BF61/AP60</f>
        <v>-499.999916666671</v>
      </c>
    </row>
    <row r="62" customFormat="false" ht="15.6" hidden="false" customHeight="false" outlineLevel="0" collapsed="false">
      <c r="A62" s="112"/>
      <c r="B62" s="81" t="s">
        <v>145</v>
      </c>
      <c r="C62" s="59" t="n">
        <v>0</v>
      </c>
      <c r="E62" s="55" t="s">
        <v>34</v>
      </c>
      <c r="F62" s="35" t="n">
        <v>-0.190956023435744</v>
      </c>
      <c r="G62" s="83" t="n">
        <f aca="false">'CS_2_vertical column'!G6</f>
        <v>0</v>
      </c>
      <c r="H62" s="83" t="n">
        <f aca="false">'CS_2_vertical column'!H6</f>
        <v>0.000649510283795049</v>
      </c>
      <c r="I62" s="83" t="n">
        <f aca="false">'CS_2_vertical column'!I6</f>
        <v>0</v>
      </c>
      <c r="J62" s="83" t="n">
        <f aca="false">'CS_2_vertical column'!J6</f>
        <v>1.94853085138515E-006</v>
      </c>
      <c r="K62" s="83" t="n">
        <f aca="false">'CS_2_vertical column'!K6</f>
        <v>0</v>
      </c>
      <c r="L62" s="83" t="n">
        <f aca="false">'CS_2_vertical column'!L6</f>
        <v>0</v>
      </c>
      <c r="M62" s="57" t="n">
        <f aca="false">C62</f>
        <v>0</v>
      </c>
      <c r="N62" s="55" t="s">
        <v>33</v>
      </c>
      <c r="O62" s="71" t="n">
        <f aca="false">AW61</f>
        <v>0</v>
      </c>
      <c r="P62" s="71" t="n">
        <f aca="false">BB61</f>
        <v>499.999916666671</v>
      </c>
      <c r="Q62" s="71" t="n">
        <f aca="false">BG61</f>
        <v>-499.999916666671</v>
      </c>
      <c r="AB62" s="0" t="s">
        <v>146</v>
      </c>
      <c r="AC62" s="57" t="n">
        <f aca="false">C47</f>
        <v>500</v>
      </c>
      <c r="AD62" s="57"/>
      <c r="AE62" s="62" t="n">
        <v>0</v>
      </c>
      <c r="AF62" s="35" t="n">
        <f aca="false">COS(AF60)</f>
        <v>0.999999500000042</v>
      </c>
      <c r="AG62" s="35" t="n">
        <f aca="false">-SIN(AF60)</f>
        <v>-0.000999999833333342</v>
      </c>
      <c r="AH62" s="63" t="n">
        <v>0</v>
      </c>
      <c r="AI62" s="86"/>
      <c r="AJ62" s="35" t="n">
        <v>0</v>
      </c>
      <c r="AK62" s="35" t="n">
        <v>1</v>
      </c>
      <c r="AL62" s="35" t="n">
        <v>0</v>
      </c>
      <c r="AM62" s="35" t="n">
        <v>0</v>
      </c>
      <c r="AN62" s="86"/>
      <c r="AO62" s="35" t="n">
        <f aca="false">SIN(AP60)</f>
        <v>0.000999999833333342</v>
      </c>
      <c r="AP62" s="35" t="n">
        <f aca="false">AO61</f>
        <v>0.999999500000042</v>
      </c>
      <c r="AQ62" s="35" t="n">
        <v>0</v>
      </c>
      <c r="AR62" s="35" t="n">
        <v>0</v>
      </c>
      <c r="AS62" s="86"/>
      <c r="AT62" s="57" t="s">
        <v>147</v>
      </c>
      <c r="AU62" s="35" t="n">
        <v>499.499750083354</v>
      </c>
      <c r="AV62" s="35" t="n">
        <f aca="false">AU62-$AC62</f>
        <v>-0.500249916645885</v>
      </c>
      <c r="AW62" s="35" t="n">
        <f aca="false">AV62/AF60</f>
        <v>-500.249916645885</v>
      </c>
      <c r="AX62" s="86"/>
      <c r="AY62" s="57" t="s">
        <v>147</v>
      </c>
      <c r="AZ62" s="35" t="n">
        <v>500</v>
      </c>
      <c r="BA62" s="35" t="n">
        <f aca="false">AZ62-$AC62</f>
        <v>0</v>
      </c>
      <c r="BB62" s="35" t="n">
        <f aca="false">BA62/AK60</f>
        <v>0</v>
      </c>
      <c r="BC62" s="86"/>
      <c r="BD62" s="57" t="s">
        <v>147</v>
      </c>
      <c r="BE62" s="35" t="n">
        <v>499.999750000021</v>
      </c>
      <c r="BF62" s="35" t="n">
        <f aca="false">BE62-$AC62</f>
        <v>-0.000249999979189397</v>
      </c>
      <c r="BG62" s="35" t="n">
        <f aca="false">BF62/AP60</f>
        <v>-0.249999979189397</v>
      </c>
    </row>
    <row r="63" customFormat="false" ht="15.6" hidden="false" customHeight="false" outlineLevel="0" collapsed="false">
      <c r="A63" s="112"/>
      <c r="B63" s="81" t="s">
        <v>148</v>
      </c>
      <c r="C63" s="59" t="n">
        <v>-196</v>
      </c>
      <c r="E63" s="55" t="s">
        <v>35</v>
      </c>
      <c r="F63" s="35" t="n">
        <v>-0.000897238702116751</v>
      </c>
      <c r="G63" s="83" t="n">
        <f aca="false">'CS_2_vertical column'!G7</f>
        <v>0</v>
      </c>
      <c r="H63" s="83" t="n">
        <f aca="false">'CS_2_vertical column'!H7</f>
        <v>0</v>
      </c>
      <c r="I63" s="83" t="n">
        <f aca="false">'CS_2_vertical column'!I7</f>
        <v>4.5777484801875E-006</v>
      </c>
      <c r="J63" s="83" t="n">
        <f aca="false">'CS_2_vertical column'!J7</f>
        <v>0</v>
      </c>
      <c r="K63" s="83" t="n">
        <f aca="false">'CS_2_vertical column'!K7</f>
        <v>0</v>
      </c>
      <c r="L63" s="83" t="n">
        <f aca="false">'CS_2_vertical column'!L7</f>
        <v>0</v>
      </c>
      <c r="M63" s="57" t="n">
        <f aca="false">C63</f>
        <v>-196</v>
      </c>
      <c r="N63" s="55" t="s">
        <v>34</v>
      </c>
      <c r="O63" s="71" t="n">
        <f aca="false">AW62</f>
        <v>-500.249916645885</v>
      </c>
      <c r="P63" s="71" t="n">
        <f aca="false">BB62</f>
        <v>0</v>
      </c>
      <c r="Q63" s="71" t="n">
        <f aca="false">BG62</f>
        <v>-0.249999979189397</v>
      </c>
      <c r="AB63" s="0" t="s">
        <v>149</v>
      </c>
      <c r="AC63" s="57" t="n">
        <f aca="false">C48</f>
        <v>500</v>
      </c>
      <c r="AD63" s="57"/>
      <c r="AE63" s="62" t="n">
        <v>0</v>
      </c>
      <c r="AF63" s="35" t="n">
        <f aca="false">-AG62</f>
        <v>0.000999999833333342</v>
      </c>
      <c r="AG63" s="35" t="n">
        <f aca="false">AF62</f>
        <v>0.999999500000042</v>
      </c>
      <c r="AH63" s="63" t="n">
        <v>0</v>
      </c>
      <c r="AI63" s="86"/>
      <c r="AJ63" s="35" t="n">
        <f aca="false">-SIN(AK60)</f>
        <v>-0.000999999833333342</v>
      </c>
      <c r="AK63" s="35" t="n">
        <v>0</v>
      </c>
      <c r="AL63" s="35" t="n">
        <f aca="false">COS(AK60)</f>
        <v>0.999999500000042</v>
      </c>
      <c r="AM63" s="35" t="n">
        <v>0</v>
      </c>
      <c r="AN63" s="86"/>
      <c r="AO63" s="35" t="n">
        <v>0</v>
      </c>
      <c r="AP63" s="35" t="n">
        <v>0</v>
      </c>
      <c r="AQ63" s="35" t="n">
        <v>1</v>
      </c>
      <c r="AR63" s="35" t="n">
        <v>0</v>
      </c>
      <c r="AS63" s="86"/>
      <c r="AT63" s="57" t="s">
        <v>150</v>
      </c>
      <c r="AU63" s="35" t="n">
        <v>500.499749916688</v>
      </c>
      <c r="AV63" s="35" t="n">
        <f aca="false">AU63-$AC63</f>
        <v>0.499749916687506</v>
      </c>
      <c r="AW63" s="35" t="n">
        <f aca="false">AV63/AF60</f>
        <v>499.749916687506</v>
      </c>
      <c r="AX63" s="86"/>
      <c r="AY63" s="57" t="s">
        <v>150</v>
      </c>
      <c r="AZ63" s="35" t="n">
        <v>499.999750000021</v>
      </c>
      <c r="BA63" s="35" t="n">
        <f aca="false">AZ63-$AC63</f>
        <v>-0.000249999979189397</v>
      </c>
      <c r="BB63" s="35" t="n">
        <f aca="false">BA63/AK60</f>
        <v>-0.249999979189397</v>
      </c>
      <c r="BC63" s="86"/>
      <c r="BD63" s="57" t="s">
        <v>150</v>
      </c>
      <c r="BE63" s="35" t="n">
        <v>500</v>
      </c>
      <c r="BF63" s="35" t="n">
        <f aca="false">BE63-$AC63</f>
        <v>0</v>
      </c>
      <c r="BG63" s="35" t="n">
        <f aca="false">BF63/AP60</f>
        <v>0</v>
      </c>
    </row>
    <row r="64" customFormat="false" ht="15" hidden="false" customHeight="true" outlineLevel="0" collapsed="false">
      <c r="A64" s="112"/>
      <c r="B64" s="81" t="s">
        <v>101</v>
      </c>
      <c r="C64" s="59" t="n">
        <v>1</v>
      </c>
      <c r="E64" s="55" t="s">
        <v>97</v>
      </c>
      <c r="F64" s="35" t="n">
        <v>-0.000763824093742977</v>
      </c>
      <c r="G64" s="83" t="n">
        <f aca="false">'CS_2_vertical column'!G8</f>
        <v>0</v>
      </c>
      <c r="H64" s="83" t="n">
        <f aca="false">'CS_2_vertical column'!H8</f>
        <v>1.94853085138515E-006</v>
      </c>
      <c r="I64" s="83" t="n">
        <f aca="false">'CS_2_vertical column'!I8</f>
        <v>0</v>
      </c>
      <c r="J64" s="83" t="n">
        <f aca="false">'CS_2_vertical column'!J8</f>
        <v>7.79412340554059E-009</v>
      </c>
      <c r="K64" s="83" t="n">
        <f aca="false">'CS_2_vertical column'!K8</f>
        <v>0</v>
      </c>
      <c r="L64" s="83" t="n">
        <f aca="false">'CS_2_vertical column'!L8</f>
        <v>0</v>
      </c>
      <c r="M64" s="57" t="n">
        <f aca="false">C65</f>
        <v>-98000</v>
      </c>
      <c r="N64" s="55" t="s">
        <v>35</v>
      </c>
      <c r="O64" s="71" t="n">
        <f aca="false">AW63</f>
        <v>499.749916687506</v>
      </c>
      <c r="P64" s="71" t="n">
        <f aca="false">BB63</f>
        <v>-0.249999979189397</v>
      </c>
      <c r="Q64" s="71" t="n">
        <f aca="false">BG63</f>
        <v>0</v>
      </c>
      <c r="AC64" s="57" t="n">
        <v>1</v>
      </c>
      <c r="AD64" s="57"/>
      <c r="AE64" s="62" t="n">
        <v>0</v>
      </c>
      <c r="AF64" s="35" t="n">
        <v>0</v>
      </c>
      <c r="AG64" s="35" t="n">
        <v>0</v>
      </c>
      <c r="AH64" s="63" t="n">
        <v>1</v>
      </c>
      <c r="AI64" s="86"/>
      <c r="AJ64" s="35" t="n">
        <v>0</v>
      </c>
      <c r="AK64" s="35" t="n">
        <v>0</v>
      </c>
      <c r="AL64" s="35" t="n">
        <v>0</v>
      </c>
      <c r="AM64" s="35" t="n">
        <v>1</v>
      </c>
      <c r="AN64" s="86"/>
      <c r="AO64" s="35" t="n">
        <v>0</v>
      </c>
      <c r="AP64" s="35" t="n">
        <v>0</v>
      </c>
      <c r="AQ64" s="35" t="n">
        <v>0</v>
      </c>
      <c r="AR64" s="35" t="n">
        <v>1</v>
      </c>
      <c r="AS64" s="86"/>
      <c r="AT64" s="57"/>
      <c r="AU64" s="35" t="n">
        <v>1</v>
      </c>
      <c r="AV64" s="35"/>
      <c r="AW64" s="35"/>
      <c r="AX64" s="86"/>
      <c r="AY64" s="57"/>
      <c r="AZ64" s="35" t="n">
        <v>1</v>
      </c>
      <c r="BA64" s="35"/>
      <c r="BB64" s="35"/>
      <c r="BC64" s="86"/>
      <c r="BD64" s="57"/>
      <c r="BE64" s="35" t="n">
        <v>1</v>
      </c>
      <c r="BF64" s="35"/>
      <c r="BG64" s="35"/>
    </row>
    <row r="65" customFormat="false" ht="15" hidden="false" customHeight="true" outlineLevel="0" collapsed="false">
      <c r="A65" s="112"/>
      <c r="B65" s="81" t="s">
        <v>151</v>
      </c>
      <c r="C65" s="59" t="n">
        <f aca="false" t="array" ref="C65:C68">MMULT(O33:R36,E41:E44)</f>
        <v>-98000</v>
      </c>
      <c r="E65" s="55" t="s">
        <v>100</v>
      </c>
      <c r="F65" s="35" t="n">
        <v>0</v>
      </c>
      <c r="G65" s="83" t="n">
        <f aca="false">'CS_2_vertical column'!G9</f>
        <v>1.94853085138515E-006</v>
      </c>
      <c r="H65" s="83" t="n">
        <f aca="false">'CS_2_vertical column'!H9</f>
        <v>0</v>
      </c>
      <c r="I65" s="83" t="n">
        <f aca="false">'CS_2_vertical column'!I9</f>
        <v>0</v>
      </c>
      <c r="J65" s="83" t="n">
        <f aca="false">'CS_2_vertical column'!J9</f>
        <v>0</v>
      </c>
      <c r="K65" s="83" t="n">
        <f aca="false">'CS_2_vertical column'!K9</f>
        <v>7.79412340554059E-009</v>
      </c>
      <c r="L65" s="83" t="n">
        <f aca="false">'CS_2_vertical column'!L9</f>
        <v>0</v>
      </c>
      <c r="M65" s="57" t="n">
        <f aca="false">C66</f>
        <v>0</v>
      </c>
      <c r="O65" s="89" t="s">
        <v>152</v>
      </c>
      <c r="T65" s="89" t="s">
        <v>153</v>
      </c>
      <c r="AE65" s="0" t="s">
        <v>154</v>
      </c>
      <c r="AJ65" s="0" t="s">
        <v>155</v>
      </c>
      <c r="AO65" s="0" t="s">
        <v>156</v>
      </c>
    </row>
    <row r="66" customFormat="false" ht="15" hidden="false" customHeight="true" outlineLevel="0" collapsed="false">
      <c r="A66" s="112"/>
      <c r="B66" s="81" t="s">
        <v>157</v>
      </c>
      <c r="C66" s="59" t="n">
        <v>0</v>
      </c>
      <c r="E66" s="55" t="s">
        <v>104</v>
      </c>
      <c r="F66" s="35" t="n">
        <v>0</v>
      </c>
      <c r="G66" s="83" t="n">
        <f aca="false">'CS_2_vertical column'!G10</f>
        <v>0</v>
      </c>
      <c r="H66" s="83" t="n">
        <f aca="false">'CS_2_vertical column'!H10</f>
        <v>0</v>
      </c>
      <c r="I66" s="83" t="n">
        <f aca="false">'CS_2_vertical column'!I10</f>
        <v>0</v>
      </c>
      <c r="J66" s="83" t="n">
        <f aca="false">'CS_2_vertical column'!J10</f>
        <v>0</v>
      </c>
      <c r="K66" s="83" t="n">
        <f aca="false">'CS_2_vertical column'!K10</f>
        <v>0</v>
      </c>
      <c r="L66" s="83" t="n">
        <f aca="false">'CS_2_vertical column'!L10</f>
        <v>6.80807328998737E-009</v>
      </c>
      <c r="M66" s="57" t="n">
        <f aca="false">C67</f>
        <v>0</v>
      </c>
      <c r="O66" s="71" t="n">
        <f aca="false" t="array" ref="O66:R69">MMULT(AO66:AR69,MMULT(AJ66:AM69,AE66:AH69))</f>
        <v>1</v>
      </c>
      <c r="P66" s="71" t="n">
        <v>0</v>
      </c>
      <c r="Q66" s="71" t="n">
        <v>0</v>
      </c>
      <c r="R66" s="71" t="n">
        <v>0</v>
      </c>
      <c r="S66" s="90"/>
      <c r="T66" s="71" t="n">
        <f aca="false" t="array" ref="T66:W69">IF(A87=1,MMULT(T99:W102,O66:R69),T$363:W$366)</f>
        <v>1</v>
      </c>
      <c r="U66" s="71" t="n">
        <v>0</v>
      </c>
      <c r="V66" s="71" t="n">
        <v>0</v>
      </c>
      <c r="W66" s="71" t="n">
        <v>0</v>
      </c>
      <c r="X66" s="71"/>
      <c r="Y66" s="71"/>
      <c r="Z66" s="71"/>
      <c r="AA66" s="71"/>
      <c r="AB66" s="0" t="s">
        <v>158</v>
      </c>
      <c r="AC66" s="57" t="n">
        <f aca="false" t="array" ref="AC66:AC69">MMULT(O66:R69,AC61:AC64)</f>
        <v>0</v>
      </c>
      <c r="AD66" s="57"/>
      <c r="AE66" s="91" t="n">
        <v>1</v>
      </c>
      <c r="AF66" s="57" t="n">
        <v>0</v>
      </c>
      <c r="AG66" s="57" t="n">
        <v>0</v>
      </c>
      <c r="AH66" s="92" t="n">
        <v>0</v>
      </c>
      <c r="AJ66" s="91" t="n">
        <f aca="false">COS(PI()*C51/180)</f>
        <v>1</v>
      </c>
      <c r="AK66" s="57" t="n">
        <v>0</v>
      </c>
      <c r="AL66" s="57" t="n">
        <f aca="false">SIN(PI()*C51/180)</f>
        <v>0</v>
      </c>
      <c r="AM66" s="92" t="n">
        <v>0</v>
      </c>
      <c r="AO66" s="91" t="n">
        <f aca="false">COS(PI()*C52/180)</f>
        <v>1</v>
      </c>
      <c r="AP66" s="57" t="n">
        <f aca="false">-SIN(PI()*C52/180)</f>
        <v>0</v>
      </c>
      <c r="AQ66" s="57" t="n">
        <v>0</v>
      </c>
      <c r="AR66" s="92" t="n">
        <v>0</v>
      </c>
    </row>
    <row r="67" customFormat="false" ht="15" hidden="false" customHeight="true" outlineLevel="0" collapsed="false">
      <c r="A67" s="112"/>
      <c r="B67" s="81" t="s">
        <v>159</v>
      </c>
      <c r="C67" s="59" t="n">
        <v>0</v>
      </c>
      <c r="I67" s="113"/>
      <c r="J67" s="93"/>
      <c r="K67" s="93"/>
      <c r="L67" s="93"/>
      <c r="M67" s="93"/>
      <c r="O67" s="71" t="n">
        <v>0</v>
      </c>
      <c r="P67" s="71" t="n">
        <v>1</v>
      </c>
      <c r="Q67" s="71" t="n">
        <v>0</v>
      </c>
      <c r="R67" s="71" t="n">
        <v>0</v>
      </c>
      <c r="S67" s="90"/>
      <c r="T67" s="71" t="n">
        <v>0</v>
      </c>
      <c r="U67" s="71" t="n">
        <v>1</v>
      </c>
      <c r="V67" s="71" t="n">
        <v>0</v>
      </c>
      <c r="W67" s="71" t="n">
        <v>0</v>
      </c>
      <c r="X67" s="71"/>
      <c r="Y67" s="71"/>
      <c r="Z67" s="71"/>
      <c r="AA67" s="71"/>
      <c r="AB67" s="0" t="s">
        <v>160</v>
      </c>
      <c r="AC67" s="57" t="n">
        <v>500</v>
      </c>
      <c r="AD67" s="57"/>
      <c r="AE67" s="91" t="n">
        <v>0</v>
      </c>
      <c r="AF67" s="57" t="n">
        <f aca="false">COS(PI()*C50/180)</f>
        <v>1</v>
      </c>
      <c r="AG67" s="57" t="n">
        <f aca="false">-SIN(PI()*C50/180)</f>
        <v>0</v>
      </c>
      <c r="AH67" s="92" t="n">
        <v>0</v>
      </c>
      <c r="AJ67" s="91" t="n">
        <v>0</v>
      </c>
      <c r="AK67" s="57" t="n">
        <v>1</v>
      </c>
      <c r="AL67" s="57" t="n">
        <v>0</v>
      </c>
      <c r="AM67" s="92" t="n">
        <v>0</v>
      </c>
      <c r="AO67" s="91" t="n">
        <f aca="false">SIN(PI()*C52/180)</f>
        <v>0</v>
      </c>
      <c r="AP67" s="57" t="n">
        <f aca="false">AO66</f>
        <v>1</v>
      </c>
      <c r="AQ67" s="57" t="n">
        <v>0</v>
      </c>
      <c r="AR67" s="92" t="n">
        <v>0</v>
      </c>
    </row>
    <row r="68" customFormat="false" ht="15" hidden="false" customHeight="true" outlineLevel="0" collapsed="false">
      <c r="A68" s="112"/>
      <c r="B68" s="81" t="s">
        <v>101</v>
      </c>
      <c r="C68" s="59" t="n">
        <v>1</v>
      </c>
      <c r="I68" s="113"/>
      <c r="J68" s="93"/>
      <c r="K68" s="93"/>
      <c r="L68" s="93"/>
      <c r="M68" s="93"/>
      <c r="O68" s="71" t="n">
        <v>0</v>
      </c>
      <c r="P68" s="71" t="n">
        <v>0</v>
      </c>
      <c r="Q68" s="71" t="n">
        <v>1</v>
      </c>
      <c r="R68" s="71" t="n">
        <v>0</v>
      </c>
      <c r="S68" s="90"/>
      <c r="T68" s="71" t="n">
        <v>0</v>
      </c>
      <c r="U68" s="71" t="n">
        <v>0</v>
      </c>
      <c r="V68" s="71" t="n">
        <v>1</v>
      </c>
      <c r="W68" s="71" t="n">
        <v>0</v>
      </c>
      <c r="X68" s="71"/>
      <c r="Y68" s="71"/>
      <c r="Z68" s="71"/>
      <c r="AA68" s="71"/>
      <c r="AB68" s="0" t="s">
        <v>161</v>
      </c>
      <c r="AC68" s="57" t="n">
        <v>500</v>
      </c>
      <c r="AD68" s="57"/>
      <c r="AE68" s="91" t="n">
        <v>0</v>
      </c>
      <c r="AF68" s="57" t="n">
        <f aca="false">SIN(PI()*C50/180)</f>
        <v>0</v>
      </c>
      <c r="AG68" s="57" t="n">
        <f aca="false">AF67</f>
        <v>1</v>
      </c>
      <c r="AH68" s="92" t="n">
        <v>0</v>
      </c>
      <c r="AJ68" s="91" t="n">
        <f aca="false">-SIN(PI()*C51/180)</f>
        <v>0</v>
      </c>
      <c r="AK68" s="57" t="n">
        <v>0</v>
      </c>
      <c r="AL68" s="57" t="n">
        <f aca="false">AJ66</f>
        <v>1</v>
      </c>
      <c r="AM68" s="92" t="n">
        <v>0</v>
      </c>
      <c r="AO68" s="91" t="n">
        <v>0</v>
      </c>
      <c r="AP68" s="57" t="n">
        <v>0</v>
      </c>
      <c r="AQ68" s="57" t="n">
        <v>1</v>
      </c>
      <c r="AR68" s="92" t="n">
        <v>0</v>
      </c>
    </row>
    <row r="69" s="96" customFormat="true" ht="15.6" hidden="false" customHeight="false" outlineLevel="0" collapsed="false">
      <c r="A69" s="112"/>
      <c r="B69" s="11" t="s">
        <v>169</v>
      </c>
      <c r="D69" s="11" t="s">
        <v>163</v>
      </c>
      <c r="G69" s="95"/>
      <c r="I69" s="102"/>
      <c r="J69" s="114"/>
      <c r="K69" s="114"/>
      <c r="L69" s="114"/>
      <c r="M69" s="114"/>
      <c r="O69" s="98" t="n">
        <v>0</v>
      </c>
      <c r="P69" s="98" t="n">
        <v>0</v>
      </c>
      <c r="Q69" s="98" t="n">
        <v>0</v>
      </c>
      <c r="R69" s="98" t="n">
        <v>1</v>
      </c>
      <c r="S69" s="99"/>
      <c r="T69" s="98" t="n">
        <v>0</v>
      </c>
      <c r="U69" s="98" t="n">
        <v>0</v>
      </c>
      <c r="V69" s="98" t="n">
        <v>0</v>
      </c>
      <c r="W69" s="98" t="n">
        <v>1</v>
      </c>
      <c r="X69" s="98"/>
      <c r="Y69" s="98"/>
      <c r="Z69" s="98"/>
      <c r="AA69" s="98"/>
      <c r="AC69" s="100" t="n">
        <v>1</v>
      </c>
      <c r="AD69" s="100"/>
      <c r="AE69" s="100" t="n">
        <v>0</v>
      </c>
      <c r="AF69" s="100" t="n">
        <v>0</v>
      </c>
      <c r="AG69" s="100" t="n">
        <v>0</v>
      </c>
      <c r="AH69" s="100" t="n">
        <v>1</v>
      </c>
      <c r="AJ69" s="100" t="n">
        <v>0</v>
      </c>
      <c r="AK69" s="100" t="n">
        <v>0</v>
      </c>
      <c r="AL69" s="100" t="n">
        <v>0</v>
      </c>
      <c r="AM69" s="100" t="n">
        <v>1</v>
      </c>
      <c r="AO69" s="100" t="n">
        <v>0</v>
      </c>
      <c r="AP69" s="100" t="n">
        <v>0</v>
      </c>
      <c r="AQ69" s="100" t="n">
        <v>0</v>
      </c>
      <c r="AR69" s="100" t="n">
        <v>1</v>
      </c>
    </row>
    <row r="70" customFormat="false" ht="15.6" hidden="false" customHeight="false" outlineLevel="0" collapsed="false">
      <c r="A70" s="112"/>
      <c r="B70" s="81" t="s">
        <v>139</v>
      </c>
      <c r="C70" s="82" t="n">
        <v>0</v>
      </c>
      <c r="D70" s="81" t="s">
        <v>139</v>
      </c>
      <c r="E70" s="59" t="n">
        <f aca="false">C61+C70</f>
        <v>0</v>
      </c>
      <c r="F70" s="96"/>
      <c r="H70" s="103"/>
      <c r="I70" s="114"/>
      <c r="J70" s="114"/>
      <c r="K70" s="114"/>
      <c r="L70" s="114"/>
      <c r="M70" s="114"/>
      <c r="O70" s="98"/>
      <c r="P70" s="98"/>
      <c r="Q70" s="98"/>
      <c r="R70" s="98"/>
      <c r="S70" s="99"/>
      <c r="T70" s="98"/>
      <c r="U70" s="98"/>
      <c r="V70" s="98"/>
      <c r="W70" s="98"/>
      <c r="X70" s="98"/>
      <c r="Y70" s="98"/>
      <c r="Z70" s="98"/>
      <c r="AA70" s="98"/>
      <c r="AC70" s="100"/>
      <c r="AD70" s="100"/>
      <c r="AE70" s="100"/>
      <c r="AF70" s="100"/>
      <c r="AG70" s="100"/>
      <c r="AH70" s="100"/>
      <c r="AJ70" s="100"/>
      <c r="AK70" s="100"/>
      <c r="AL70" s="100"/>
      <c r="AM70" s="100"/>
      <c r="AO70" s="100"/>
      <c r="AP70" s="100"/>
      <c r="AQ70" s="100"/>
      <c r="AR70" s="100"/>
    </row>
    <row r="71" customFormat="false" ht="15.6" hidden="false" customHeight="false" outlineLevel="0" collapsed="false">
      <c r="A71" s="112"/>
      <c r="B71" s="81" t="s">
        <v>145</v>
      </c>
      <c r="C71" s="82" t="n">
        <v>0</v>
      </c>
      <c r="D71" s="81" t="s">
        <v>145</v>
      </c>
      <c r="E71" s="59" t="n">
        <f aca="false">C62+C71</f>
        <v>0</v>
      </c>
      <c r="F71" s="96"/>
      <c r="H71" s="103"/>
      <c r="I71" s="114"/>
      <c r="J71" s="114"/>
      <c r="K71" s="114"/>
      <c r="L71" s="114"/>
      <c r="M71" s="114"/>
      <c r="O71" s="98"/>
      <c r="P71" s="98"/>
      <c r="Q71" s="98"/>
      <c r="R71" s="98"/>
      <c r="S71" s="99"/>
      <c r="T71" s="98"/>
      <c r="U71" s="98"/>
      <c r="V71" s="98"/>
      <c r="W71" s="98"/>
      <c r="X71" s="98"/>
      <c r="Y71" s="98"/>
      <c r="Z71" s="98"/>
      <c r="AA71" s="98"/>
      <c r="AC71" s="100"/>
      <c r="AD71" s="100"/>
      <c r="AE71" s="100"/>
      <c r="AF71" s="100"/>
      <c r="AG71" s="100"/>
      <c r="AH71" s="100"/>
      <c r="AJ71" s="100"/>
      <c r="AK71" s="100"/>
      <c r="AL71" s="100"/>
      <c r="AM71" s="100"/>
      <c r="AO71" s="100"/>
      <c r="AP71" s="100"/>
      <c r="AQ71" s="100"/>
      <c r="AR71" s="100"/>
    </row>
    <row r="72" customFormat="false" ht="15.6" hidden="false" customHeight="false" outlineLevel="0" collapsed="false">
      <c r="A72" s="112"/>
      <c r="B72" s="81" t="s">
        <v>148</v>
      </c>
      <c r="C72" s="82" t="n">
        <v>0</v>
      </c>
      <c r="D72" s="81" t="s">
        <v>148</v>
      </c>
      <c r="E72" s="59" t="n">
        <f aca="false">C63+C72</f>
        <v>-196</v>
      </c>
      <c r="F72" s="96"/>
      <c r="H72" s="103"/>
      <c r="I72" s="114"/>
      <c r="J72" s="114"/>
      <c r="K72" s="114"/>
      <c r="L72" s="114"/>
      <c r="M72" s="114"/>
      <c r="O72" s="98"/>
      <c r="P72" s="98"/>
      <c r="Q72" s="98"/>
      <c r="R72" s="98"/>
      <c r="S72" s="99"/>
      <c r="T72" s="98"/>
      <c r="U72" s="98"/>
      <c r="V72" s="98"/>
      <c r="W72" s="98"/>
      <c r="X72" s="98"/>
      <c r="Y72" s="98"/>
      <c r="Z72" s="98"/>
      <c r="AA72" s="98"/>
      <c r="AC72" s="100"/>
      <c r="AD72" s="100"/>
      <c r="AE72" s="100"/>
      <c r="AF72" s="100"/>
      <c r="AG72" s="100"/>
      <c r="AH72" s="100"/>
      <c r="AJ72" s="100"/>
      <c r="AK72" s="100"/>
      <c r="AL72" s="100"/>
      <c r="AM72" s="100"/>
      <c r="AO72" s="100"/>
      <c r="AP72" s="100"/>
      <c r="AQ72" s="100"/>
      <c r="AR72" s="100"/>
    </row>
    <row r="73" customFormat="false" ht="15.6" hidden="false" customHeight="false" outlineLevel="0" collapsed="false">
      <c r="A73" s="112"/>
      <c r="B73" s="103" t="s">
        <v>101</v>
      </c>
      <c r="C73" s="115" t="n">
        <v>1</v>
      </c>
      <c r="D73" s="103" t="s">
        <v>101</v>
      </c>
      <c r="E73" s="115" t="n">
        <v>1</v>
      </c>
      <c r="H73" s="103"/>
      <c r="I73" s="114"/>
      <c r="J73" s="114"/>
      <c r="K73" s="114"/>
      <c r="L73" s="114"/>
      <c r="M73" s="114"/>
      <c r="O73" s="98"/>
      <c r="P73" s="98"/>
      <c r="Q73" s="98"/>
      <c r="R73" s="98"/>
      <c r="S73" s="99"/>
      <c r="T73" s="98"/>
      <c r="U73" s="98"/>
      <c r="V73" s="98"/>
      <c r="W73" s="98"/>
      <c r="X73" s="98"/>
      <c r="Y73" s="98"/>
      <c r="Z73" s="98"/>
      <c r="AA73" s="98"/>
      <c r="AC73" s="100"/>
      <c r="AD73" s="100"/>
      <c r="AE73" s="100"/>
      <c r="AF73" s="100"/>
      <c r="AG73" s="100"/>
      <c r="AH73" s="100"/>
      <c r="AJ73" s="100"/>
      <c r="AK73" s="100"/>
      <c r="AL73" s="100"/>
      <c r="AM73" s="100"/>
      <c r="AO73" s="100"/>
      <c r="AP73" s="100"/>
      <c r="AQ73" s="100"/>
      <c r="AR73" s="100"/>
    </row>
    <row r="74" customFormat="false" ht="15.6" hidden="false" customHeight="false" outlineLevel="0" collapsed="false">
      <c r="A74" s="112"/>
      <c r="B74" s="81" t="s">
        <v>151</v>
      </c>
      <c r="C74" s="82" t="n">
        <v>0</v>
      </c>
      <c r="D74" s="81" t="s">
        <v>151</v>
      </c>
      <c r="E74" s="59" t="n">
        <f aca="false">C65+C74+C63*C21-C62*C22</f>
        <v>-98000</v>
      </c>
      <c r="F74" s="103"/>
      <c r="G74" s="114"/>
      <c r="H74" s="103"/>
      <c r="I74" s="114"/>
      <c r="J74" s="114"/>
      <c r="K74" s="114"/>
      <c r="L74" s="114"/>
      <c r="M74" s="114"/>
      <c r="O74" s="98"/>
      <c r="P74" s="98"/>
      <c r="Q74" s="98"/>
      <c r="R74" s="98"/>
      <c r="S74" s="99"/>
      <c r="T74" s="98"/>
      <c r="U74" s="98"/>
      <c r="V74" s="98"/>
      <c r="W74" s="98"/>
      <c r="X74" s="98"/>
      <c r="Y74" s="98"/>
      <c r="Z74" s="98"/>
      <c r="AA74" s="98"/>
      <c r="AC74" s="100"/>
      <c r="AD74" s="100"/>
      <c r="AE74" s="100"/>
      <c r="AF74" s="100"/>
      <c r="AG74" s="100"/>
      <c r="AH74" s="100"/>
      <c r="AJ74" s="100"/>
      <c r="AK74" s="100"/>
      <c r="AL74" s="100"/>
      <c r="AM74" s="100"/>
      <c r="AO74" s="100"/>
      <c r="AP74" s="100"/>
      <c r="AQ74" s="100"/>
      <c r="AR74" s="100"/>
    </row>
    <row r="75" customFormat="false" ht="15.6" hidden="false" customHeight="false" outlineLevel="0" collapsed="false">
      <c r="A75" s="112"/>
      <c r="B75" s="103" t="s">
        <v>157</v>
      </c>
      <c r="C75" s="104" t="n">
        <v>0</v>
      </c>
      <c r="D75" s="103" t="s">
        <v>157</v>
      </c>
      <c r="E75" s="115" t="n">
        <f aca="false">C66+C75+C61*C22-C63*C20</f>
        <v>0</v>
      </c>
      <c r="F75" s="103"/>
      <c r="G75" s="114"/>
      <c r="H75" s="103"/>
      <c r="I75" s="114"/>
      <c r="J75" s="114"/>
      <c r="K75" s="114"/>
      <c r="L75" s="114"/>
      <c r="M75" s="114"/>
      <c r="O75" s="98"/>
      <c r="P75" s="98"/>
      <c r="Q75" s="98"/>
      <c r="R75" s="98"/>
      <c r="S75" s="99"/>
      <c r="T75" s="98"/>
      <c r="U75" s="98"/>
      <c r="V75" s="98"/>
      <c r="W75" s="98"/>
      <c r="X75" s="98"/>
      <c r="Y75" s="98"/>
      <c r="Z75" s="98"/>
      <c r="AA75" s="98"/>
      <c r="AC75" s="100"/>
      <c r="AD75" s="100"/>
      <c r="AE75" s="100"/>
      <c r="AF75" s="100"/>
      <c r="AG75" s="100"/>
      <c r="AH75" s="100"/>
      <c r="AJ75" s="100"/>
      <c r="AK75" s="100"/>
      <c r="AL75" s="100"/>
      <c r="AM75" s="100"/>
      <c r="AO75" s="100"/>
      <c r="AP75" s="100"/>
      <c r="AQ75" s="100"/>
      <c r="AR75" s="100"/>
    </row>
    <row r="76" customFormat="false" ht="15.6" hidden="false" customHeight="false" outlineLevel="0" collapsed="false">
      <c r="A76" s="112"/>
      <c r="B76" s="81" t="s">
        <v>159</v>
      </c>
      <c r="C76" s="82" t="n">
        <v>0</v>
      </c>
      <c r="D76" s="81" t="s">
        <v>159</v>
      </c>
      <c r="E76" s="59" t="n">
        <f aca="false">C67+C76+C62*C20-C61*C21</f>
        <v>0</v>
      </c>
      <c r="F76" s="103"/>
      <c r="G76" s="114"/>
      <c r="H76" s="103"/>
      <c r="I76" s="114"/>
      <c r="J76" s="114"/>
      <c r="K76" s="114"/>
      <c r="L76" s="114"/>
      <c r="M76" s="114"/>
      <c r="O76" s="98"/>
      <c r="P76" s="98"/>
      <c r="Q76" s="98"/>
      <c r="R76" s="98"/>
      <c r="S76" s="99"/>
      <c r="T76" s="98"/>
      <c r="U76" s="98"/>
      <c r="V76" s="98"/>
      <c r="W76" s="98"/>
      <c r="X76" s="98"/>
      <c r="Y76" s="98"/>
      <c r="Z76" s="98"/>
      <c r="AA76" s="98"/>
      <c r="AC76" s="100"/>
      <c r="AD76" s="100"/>
      <c r="AE76" s="100"/>
      <c r="AF76" s="100"/>
      <c r="AG76" s="100"/>
      <c r="AH76" s="100"/>
      <c r="AJ76" s="100"/>
      <c r="AK76" s="100"/>
      <c r="AL76" s="100"/>
      <c r="AM76" s="100"/>
      <c r="AO76" s="100"/>
      <c r="AP76" s="100"/>
      <c r="AQ76" s="100"/>
      <c r="AR76" s="100"/>
    </row>
    <row r="77" s="36" customFormat="true" ht="16.2" hidden="false" customHeight="false" outlineLevel="0" collapsed="false">
      <c r="A77" s="112"/>
      <c r="B77" s="105" t="s">
        <v>101</v>
      </c>
      <c r="C77" s="106" t="n">
        <v>1</v>
      </c>
      <c r="D77" s="105" t="s">
        <v>101</v>
      </c>
      <c r="E77" s="106" t="n">
        <v>1</v>
      </c>
      <c r="F77" s="105"/>
      <c r="G77" s="116"/>
      <c r="H77" s="105"/>
      <c r="I77" s="116"/>
      <c r="J77" s="116"/>
      <c r="K77" s="116"/>
      <c r="L77" s="116"/>
      <c r="M77" s="116"/>
      <c r="O77" s="117"/>
      <c r="P77" s="117"/>
      <c r="Q77" s="117"/>
      <c r="R77" s="117"/>
      <c r="S77" s="109"/>
      <c r="T77" s="117"/>
      <c r="U77" s="117"/>
      <c r="V77" s="117"/>
      <c r="W77" s="117"/>
      <c r="X77" s="117"/>
      <c r="Y77" s="117"/>
      <c r="Z77" s="117"/>
      <c r="AA77" s="117"/>
      <c r="AC77" s="118"/>
      <c r="AD77" s="118"/>
      <c r="AE77" s="118"/>
      <c r="AF77" s="118"/>
      <c r="AG77" s="118"/>
      <c r="AH77" s="118"/>
      <c r="AJ77" s="118"/>
      <c r="AK77" s="118"/>
      <c r="AL77" s="118"/>
      <c r="AM77" s="118"/>
      <c r="AO77" s="118"/>
      <c r="AP77" s="118"/>
      <c r="AQ77" s="118"/>
      <c r="AR77" s="118"/>
    </row>
    <row r="78" customFormat="false" ht="15" hidden="false" customHeight="true" outlineLevel="0" collapsed="false">
      <c r="A78" s="50" t="s">
        <v>170</v>
      </c>
      <c r="B78" s="51" t="s">
        <v>165</v>
      </c>
      <c r="E78" s="9" t="s">
        <v>171</v>
      </c>
    </row>
    <row r="79" customFormat="false" ht="15" hidden="false" customHeight="true" outlineLevel="0" collapsed="false">
      <c r="A79" s="50"/>
      <c r="B79" s="52" t="s">
        <v>88</v>
      </c>
      <c r="C79" s="111" t="n">
        <f aca="false">C57</f>
        <v>450</v>
      </c>
      <c r="E79" s="1" t="s">
        <v>89</v>
      </c>
      <c r="F79" s="1"/>
      <c r="G79" s="1" t="s">
        <v>90</v>
      </c>
      <c r="H79" s="1"/>
      <c r="N79" s="11" t="s">
        <v>91</v>
      </c>
      <c r="O79" s="9"/>
      <c r="P79" s="54"/>
      <c r="Q79" s="9"/>
      <c r="R79" s="9"/>
      <c r="S79" s="11" t="s">
        <v>38</v>
      </c>
      <c r="Y79" s="11" t="s">
        <v>92</v>
      </c>
    </row>
    <row r="80" customFormat="false" ht="15" hidden="false" customHeight="true" outlineLevel="0" collapsed="false">
      <c r="A80" s="50"/>
      <c r="B80" s="52" t="s">
        <v>93</v>
      </c>
      <c r="C80" s="111" t="n">
        <f aca="false">C58</f>
        <v>500</v>
      </c>
      <c r="E80" s="55" t="s">
        <v>33</v>
      </c>
      <c r="F80" s="34" t="n">
        <f aca="false">CS_3_Crossbeam!B45</f>
        <v>0.005</v>
      </c>
      <c r="G80" s="55" t="s">
        <v>33</v>
      </c>
      <c r="H80" s="34" t="n">
        <f aca="false">CS_3_Crossbeam!B52</f>
        <v>0</v>
      </c>
      <c r="O80" s="0" t="s">
        <v>42</v>
      </c>
      <c r="P80" s="31" t="s">
        <v>43</v>
      </c>
      <c r="Q80" s="17" t="s">
        <v>44</v>
      </c>
      <c r="R80" s="17" t="s">
        <v>45</v>
      </c>
      <c r="T80" s="0" t="s">
        <v>42</v>
      </c>
      <c r="U80" s="31" t="s">
        <v>43</v>
      </c>
      <c r="V80" s="17" t="s">
        <v>44</v>
      </c>
      <c r="W80" s="17" t="s">
        <v>45</v>
      </c>
      <c r="Y80" s="0" t="s">
        <v>42</v>
      </c>
      <c r="Z80" s="31" t="s">
        <v>43</v>
      </c>
      <c r="AA80" s="17" t="s">
        <v>44</v>
      </c>
      <c r="AB80" s="17" t="s">
        <v>45</v>
      </c>
    </row>
    <row r="81" customFormat="false" ht="15" hidden="false" customHeight="true" outlineLevel="0" collapsed="false">
      <c r="A81" s="50"/>
      <c r="B81" s="52" t="s">
        <v>94</v>
      </c>
      <c r="C81" s="111" t="n">
        <f aca="false">C59</f>
        <v>500</v>
      </c>
      <c r="E81" s="55" t="s">
        <v>34</v>
      </c>
      <c r="F81" s="34" t="n">
        <f aca="false">CS_3_Crossbeam!B46</f>
        <v>0.005</v>
      </c>
      <c r="G81" s="55" t="s">
        <v>34</v>
      </c>
      <c r="H81" s="34" t="n">
        <f aca="false">CS_3_Crossbeam!B53</f>
        <v>0</v>
      </c>
      <c r="N81" s="55" t="s">
        <v>33</v>
      </c>
      <c r="O81" s="56" t="n">
        <f aca="false">ABS(F80)</f>
        <v>0.005</v>
      </c>
      <c r="P81" s="56" t="n">
        <f aca="false">ABS(F83*O95)</f>
        <v>0</v>
      </c>
      <c r="Q81" s="56" t="n">
        <f aca="false">ABS(F84*P95)</f>
        <v>0.0249887457093289</v>
      </c>
      <c r="R81" s="56" t="n">
        <f aca="false">ABS(F85*Q95)</f>
        <v>0.0250112458323969</v>
      </c>
      <c r="S81" s="55" t="s">
        <v>33</v>
      </c>
      <c r="T81" s="35" t="n">
        <f aca="false" t="array" ref="T81:W84">ABS(MMULT(T99:W102,O81:R84))</f>
        <v>0.005</v>
      </c>
      <c r="U81" s="35" t="n">
        <v>0</v>
      </c>
      <c r="V81" s="35" t="n">
        <v>0.0249887457093289</v>
      </c>
      <c r="W81" s="35" t="n">
        <v>0.0250112458323969</v>
      </c>
      <c r="X81" s="32" t="s">
        <v>33</v>
      </c>
      <c r="Y81" s="35" t="n">
        <f aca="false">F87+F94</f>
        <v>0</v>
      </c>
      <c r="Z81" s="57" t="n">
        <f aca="false">F90*O95</f>
        <v>-0</v>
      </c>
      <c r="AA81" s="57" t="n">
        <f aca="false">F91*P95</f>
        <v>0.00169442631778358</v>
      </c>
      <c r="AB81" s="57" t="n">
        <f aca="false">F92*Q95</f>
        <v>-0</v>
      </c>
    </row>
    <row r="82" customFormat="false" ht="15" hidden="false" customHeight="true" outlineLevel="0" collapsed="false">
      <c r="A82" s="58" t="n">
        <v>3</v>
      </c>
      <c r="B82" s="9" t="s">
        <v>95</v>
      </c>
      <c r="E82" s="55" t="s">
        <v>35</v>
      </c>
      <c r="F82" s="34" t="n">
        <f aca="false">CS_3_Crossbeam!B47</f>
        <v>0.005</v>
      </c>
      <c r="G82" s="55" t="s">
        <v>35</v>
      </c>
      <c r="H82" s="34" t="n">
        <f aca="false">CS_3_Crossbeam!B54</f>
        <v>0</v>
      </c>
      <c r="N82" s="55" t="s">
        <v>34</v>
      </c>
      <c r="O82" s="56" t="n">
        <f aca="false">ABS(F81)</f>
        <v>0.005</v>
      </c>
      <c r="P82" s="56" t="n">
        <f aca="false">ABS(F83*O96)</f>
        <v>0.0250124958322942</v>
      </c>
      <c r="Q82" s="56" t="n">
        <f aca="false">ABS(F84*P96)</f>
        <v>0</v>
      </c>
      <c r="R82" s="56" t="n">
        <f aca="false">ABS(F85*Q96)</f>
        <v>0.0224874962510398</v>
      </c>
      <c r="S82" s="55" t="s">
        <v>34</v>
      </c>
      <c r="T82" s="35" t="n">
        <v>0.005</v>
      </c>
      <c r="U82" s="35" t="n">
        <v>0.0250124958322942</v>
      </c>
      <c r="V82" s="35" t="n">
        <v>0</v>
      </c>
      <c r="W82" s="35" t="n">
        <v>0.0224874962510398</v>
      </c>
      <c r="X82" s="32" t="s">
        <v>34</v>
      </c>
      <c r="Y82" s="35" t="n">
        <f aca="false">F88+F95</f>
        <v>0</v>
      </c>
      <c r="Z82" s="57" t="n">
        <f aca="false">F90*O96</f>
        <v>0.00186515722102187</v>
      </c>
      <c r="AA82" s="57" t="n">
        <f aca="false">F91*P96</f>
        <v>0</v>
      </c>
      <c r="AB82" s="57" t="n">
        <f aca="false">F92*Q96</f>
        <v>0</v>
      </c>
    </row>
    <row r="83" customFormat="false" ht="15" hidden="false" customHeight="true" outlineLevel="0" collapsed="false">
      <c r="A83" s="59" t="n">
        <f aca="false">IF(A82&gt;Naxes,0,1)</f>
        <v>1</v>
      </c>
      <c r="B83" s="60" t="s">
        <v>96</v>
      </c>
      <c r="C83" s="47" t="n">
        <v>0</v>
      </c>
      <c r="E83" s="55" t="s">
        <v>97</v>
      </c>
      <c r="F83" s="34" t="n">
        <f aca="false">CS_3_Crossbeam!B48</f>
        <v>5E-005</v>
      </c>
      <c r="G83" s="55" t="s">
        <v>97</v>
      </c>
      <c r="H83" s="34" t="n">
        <f aca="false">CS_3_Crossbeam!B55</f>
        <v>0</v>
      </c>
      <c r="N83" s="55" t="s">
        <v>35</v>
      </c>
      <c r="O83" s="56" t="n">
        <f aca="false">ABS(F82)</f>
        <v>0.005</v>
      </c>
      <c r="P83" s="56" t="n">
        <f aca="false">ABS(F83*O97)</f>
        <v>0.0249874958343753</v>
      </c>
      <c r="Q83" s="56" t="n">
        <f aca="false">ABS(F84*P97)</f>
        <v>0.0225124961363963</v>
      </c>
      <c r="R83" s="56" t="n">
        <f aca="false">ABS(F85*Q97)</f>
        <v>0</v>
      </c>
      <c r="S83" s="55" t="s">
        <v>35</v>
      </c>
      <c r="T83" s="35" t="n">
        <v>0.005</v>
      </c>
      <c r="U83" s="35" t="n">
        <v>0.0249874958343753</v>
      </c>
      <c r="V83" s="35" t="n">
        <v>0.0225124961363963</v>
      </c>
      <c r="W83" s="35" t="n">
        <v>0</v>
      </c>
      <c r="X83" s="32" t="s">
        <v>35</v>
      </c>
      <c r="Y83" s="35" t="n">
        <f aca="false">F89+F96</f>
        <v>-0.272191983567356</v>
      </c>
      <c r="Z83" s="57" t="n">
        <f aca="false">F90*O97</f>
        <v>-0.00186329299575796</v>
      </c>
      <c r="AA83" s="57" t="n">
        <f aca="false">F91*P97</f>
        <v>-0.00152651783231642</v>
      </c>
      <c r="AB83" s="57" t="n">
        <f aca="false">F92*Q97</f>
        <v>0</v>
      </c>
    </row>
    <row r="84" customFormat="false" ht="15" hidden="false" customHeight="true" outlineLevel="0" collapsed="false">
      <c r="A84" s="61" t="s">
        <v>98</v>
      </c>
      <c r="B84" s="60" t="s">
        <v>99</v>
      </c>
      <c r="C84" s="47" t="n">
        <v>0</v>
      </c>
      <c r="E84" s="55" t="s">
        <v>100</v>
      </c>
      <c r="F84" s="34" t="n">
        <f aca="false">CS_3_Crossbeam!B49</f>
        <v>4.999999975E-005</v>
      </c>
      <c r="G84" s="55" t="s">
        <v>100</v>
      </c>
      <c r="H84" s="34" t="n">
        <f aca="false">CS_3_Crossbeam!B56</f>
        <v>0</v>
      </c>
      <c r="N84" s="41" t="s">
        <v>101</v>
      </c>
      <c r="O84" s="57" t="n">
        <v>1</v>
      </c>
      <c r="P84" s="57" t="n">
        <v>1</v>
      </c>
      <c r="Q84" s="57" t="n">
        <v>1</v>
      </c>
      <c r="R84" s="57" t="n">
        <v>1</v>
      </c>
      <c r="S84" s="41" t="s">
        <v>101</v>
      </c>
      <c r="T84" s="35" t="n">
        <v>1</v>
      </c>
      <c r="U84" s="35" t="n">
        <v>1</v>
      </c>
      <c r="V84" s="35" t="n">
        <v>1</v>
      </c>
      <c r="W84" s="35" t="n">
        <v>1</v>
      </c>
      <c r="X84" s="41" t="s">
        <v>101</v>
      </c>
      <c r="Y84" s="57" t="n">
        <v>1</v>
      </c>
      <c r="Z84" s="57" t="n">
        <v>1</v>
      </c>
      <c r="AA84" s="57" t="n">
        <v>1</v>
      </c>
      <c r="AB84" s="57" t="n">
        <v>1</v>
      </c>
    </row>
    <row r="85" customFormat="false" ht="15" hidden="false" customHeight="true" outlineLevel="0" collapsed="false">
      <c r="A85" s="61"/>
      <c r="B85" s="60" t="s">
        <v>102</v>
      </c>
      <c r="C85" s="47" t="n">
        <v>0</v>
      </c>
      <c r="E85" s="55" t="s">
        <v>104</v>
      </c>
      <c r="F85" s="34" t="n">
        <f aca="false">CS_3_Crossbeam!B50</f>
        <v>5E-005</v>
      </c>
      <c r="G85" s="55" t="s">
        <v>104</v>
      </c>
      <c r="H85" s="34" t="n">
        <f aca="false">CS_3_Crossbeam!B57</f>
        <v>0</v>
      </c>
      <c r="X85" s="41"/>
    </row>
    <row r="86" customFormat="false" ht="28.95" hidden="false" customHeight="true" outlineLevel="0" collapsed="false">
      <c r="A86" s="61"/>
      <c r="B86" s="60" t="s">
        <v>105</v>
      </c>
      <c r="C86" s="47" t="n">
        <v>0</v>
      </c>
      <c r="E86" s="18" t="s">
        <v>106</v>
      </c>
      <c r="F86" s="18"/>
      <c r="G86" s="1" t="s">
        <v>107</v>
      </c>
      <c r="H86" s="1"/>
      <c r="I86" s="18" t="s">
        <v>108</v>
      </c>
      <c r="J86" s="18"/>
      <c r="K86" s="18" t="s">
        <v>109</v>
      </c>
      <c r="L86" s="18"/>
      <c r="N86" s="11" t="s">
        <v>110</v>
      </c>
      <c r="O86" s="9"/>
      <c r="P86" s="54"/>
      <c r="Q86" s="9"/>
      <c r="R86" s="9"/>
      <c r="S86" s="11" t="s">
        <v>39</v>
      </c>
      <c r="X86" s="41"/>
      <c r="Y86" s="11" t="s">
        <v>111</v>
      </c>
    </row>
    <row r="87" customFormat="false" ht="15" hidden="false" customHeight="true" outlineLevel="0" collapsed="false">
      <c r="A87" s="61"/>
      <c r="B87" s="60" t="s">
        <v>112</v>
      </c>
      <c r="C87" s="65" t="n">
        <v>-500</v>
      </c>
      <c r="E87" s="55" t="s">
        <v>33</v>
      </c>
      <c r="F87" s="35" t="n">
        <f aca="false">E103/IF(H87=0,1000000000000,H87)</f>
        <v>0</v>
      </c>
      <c r="G87" s="55" t="s">
        <v>113</v>
      </c>
      <c r="H87" s="57" t="n">
        <f aca="false">CS_3_Crossbeam!B25</f>
        <v>2588000</v>
      </c>
      <c r="I87" s="55" t="s">
        <v>97</v>
      </c>
      <c r="J87" s="35" t="n">
        <f aca="false">A116*F130</f>
        <v>0</v>
      </c>
      <c r="K87" s="55" t="s">
        <v>97</v>
      </c>
      <c r="L87" s="68" t="n">
        <f aca="false" t="array" ref="L87:L90">MMULT(MINVERSE(O99:R102),J87:J90)</f>
        <v>0</v>
      </c>
      <c r="O87" s="0" t="s">
        <v>42</v>
      </c>
      <c r="P87" s="31" t="s">
        <v>43</v>
      </c>
      <c r="Q87" s="17" t="s">
        <v>44</v>
      </c>
      <c r="R87" s="17" t="s">
        <v>45</v>
      </c>
      <c r="T87" s="0" t="s">
        <v>42</v>
      </c>
      <c r="U87" s="31" t="s">
        <v>43</v>
      </c>
      <c r="V87" s="17" t="s">
        <v>44</v>
      </c>
      <c r="W87" s="17" t="s">
        <v>45</v>
      </c>
      <c r="X87" s="41"/>
      <c r="Y87" s="0" t="s">
        <v>42</v>
      </c>
      <c r="Z87" s="31" t="s">
        <v>43</v>
      </c>
      <c r="AA87" s="17" t="s">
        <v>44</v>
      </c>
      <c r="AB87" s="17" t="s">
        <v>45</v>
      </c>
    </row>
    <row r="88" customFormat="false" ht="15" hidden="false" customHeight="true" outlineLevel="0" collapsed="false">
      <c r="A88" s="112" t="s">
        <v>172</v>
      </c>
      <c r="B88" s="60" t="s">
        <v>115</v>
      </c>
      <c r="C88" s="47" t="n">
        <v>0</v>
      </c>
      <c r="E88" s="55" t="s">
        <v>34</v>
      </c>
      <c r="F88" s="35" t="n">
        <f aca="false">E104/IF(H88=0,1000000000000,H88)</f>
        <v>0</v>
      </c>
      <c r="G88" s="55" t="s">
        <v>116</v>
      </c>
      <c r="H88" s="57" t="n">
        <f aca="false">CS_3_Crossbeam!B26</f>
        <v>2588000</v>
      </c>
      <c r="I88" s="55" t="s">
        <v>100</v>
      </c>
      <c r="J88" s="35" t="n">
        <f aca="false">A116*F131</f>
        <v>0</v>
      </c>
      <c r="K88" s="55" t="s">
        <v>100</v>
      </c>
      <c r="L88" s="68" t="n">
        <v>0</v>
      </c>
      <c r="N88" s="55" t="s">
        <v>33</v>
      </c>
      <c r="O88" s="56" t="n">
        <f aca="false">H80</f>
        <v>0</v>
      </c>
      <c r="P88" s="56" t="n">
        <f aca="false">H83*O95</f>
        <v>0</v>
      </c>
      <c r="Q88" s="56" t="n">
        <f aca="false">H84*P95</f>
        <v>0</v>
      </c>
      <c r="R88" s="56" t="n">
        <f aca="false">H85*Q95</f>
        <v>-0</v>
      </c>
      <c r="S88" s="55" t="s">
        <v>33</v>
      </c>
      <c r="T88" s="56" t="n">
        <f aca="false" t="array" ref="T88:T91">MMULT(T99:W102,O88:O91)</f>
        <v>0</v>
      </c>
      <c r="U88" s="56" t="n">
        <f aca="false" t="array" ref="U88:U91">MMULT(T99:W102,P88:P91)</f>
        <v>0</v>
      </c>
      <c r="V88" s="56" t="n">
        <f aca="false" t="array" ref="V88:V91">MMULT(T99:W102,Q88:Q91)</f>
        <v>0</v>
      </c>
      <c r="W88" s="56" t="n">
        <f aca="false" t="array" ref="W88:W91">MMULT(T99:W102,R88:R91)</f>
        <v>0</v>
      </c>
      <c r="X88" s="32" t="s">
        <v>33</v>
      </c>
      <c r="Y88" s="57" t="n">
        <f aca="false" t="array" ref="Y88:Y91">MMULT(T99:W102,Y81:Y84)</f>
        <v>0</v>
      </c>
      <c r="Z88" s="57" t="n">
        <f aca="false" t="array" ref="Z88:Z91">MMULT(T99:W102,Z81:Z84)</f>
        <v>0</v>
      </c>
      <c r="AA88" s="57" t="n">
        <f aca="false" t="array" ref="AA88:AA91">MMULT(T99:W102,AA81:AA84)</f>
        <v>0.00169442631778358</v>
      </c>
      <c r="AB88" s="57" t="n">
        <f aca="false" t="array" ref="AB88:AB91">MMULT(T99:W102,AB81:AB84)</f>
        <v>0</v>
      </c>
    </row>
    <row r="89" customFormat="false" ht="15" hidden="false" customHeight="true" outlineLevel="0" collapsed="false">
      <c r="A89" s="112"/>
      <c r="B89" s="11" t="s">
        <v>117</v>
      </c>
      <c r="E89" s="55" t="s">
        <v>35</v>
      </c>
      <c r="F89" s="35" t="n">
        <f aca="false">E105/IF(H89=0,1000000000000,H89)</f>
        <v>-0.00259953073716762</v>
      </c>
      <c r="G89" s="55" t="s">
        <v>118</v>
      </c>
      <c r="H89" s="57" t="n">
        <f aca="false">CS_3_Crossbeam!B27</f>
        <v>75398.223686155</v>
      </c>
      <c r="I89" s="55" t="s">
        <v>104</v>
      </c>
      <c r="J89" s="35" t="n">
        <f aca="false">A116*F132</f>
        <v>0</v>
      </c>
      <c r="K89" s="55" t="s">
        <v>104</v>
      </c>
      <c r="L89" s="68" t="n">
        <v>0</v>
      </c>
      <c r="N89" s="55" t="s">
        <v>34</v>
      </c>
      <c r="O89" s="56" t="n">
        <f aca="false">H81</f>
        <v>0</v>
      </c>
      <c r="P89" s="56" t="n">
        <f aca="false">H83*O96</f>
        <v>-0</v>
      </c>
      <c r="Q89" s="56" t="n">
        <f aca="false">H84*P96</f>
        <v>0</v>
      </c>
      <c r="R89" s="56" t="n">
        <f aca="false">H85*Q96</f>
        <v>0</v>
      </c>
      <c r="S89" s="55" t="s">
        <v>34</v>
      </c>
      <c r="T89" s="56" t="n">
        <v>0</v>
      </c>
      <c r="U89" s="56" t="n">
        <v>0</v>
      </c>
      <c r="V89" s="56" t="n">
        <v>0</v>
      </c>
      <c r="W89" s="56" t="n">
        <v>0</v>
      </c>
      <c r="X89" s="32" t="s">
        <v>34</v>
      </c>
      <c r="Y89" s="57" t="n">
        <v>0</v>
      </c>
      <c r="Z89" s="57" t="n">
        <v>0.00186515722102187</v>
      </c>
      <c r="AA89" s="57" t="n">
        <v>0</v>
      </c>
      <c r="AB89" s="57" t="n">
        <v>0</v>
      </c>
    </row>
    <row r="90" customFormat="false" ht="15" hidden="false" customHeight="true" outlineLevel="0" collapsed="false">
      <c r="A90" s="112"/>
      <c r="B90" s="52" t="s">
        <v>119</v>
      </c>
      <c r="C90" s="71" t="n">
        <f aca="false">AC99+C86</f>
        <v>450</v>
      </c>
      <c r="E90" s="55" t="s">
        <v>97</v>
      </c>
      <c r="F90" s="35" t="n">
        <f aca="false">E107/IF(H90=0,1000000000000,H90)+L87</f>
        <v>-3.72845083818809E-006</v>
      </c>
      <c r="G90" s="55" t="s">
        <v>120</v>
      </c>
      <c r="H90" s="57" t="n">
        <f aca="false">CS_3_Crossbeam!B29</f>
        <v>26284375000</v>
      </c>
      <c r="I90" s="55" t="s">
        <v>121</v>
      </c>
      <c r="J90" s="57" t="n">
        <v>1</v>
      </c>
      <c r="K90" s="55" t="s">
        <v>121</v>
      </c>
      <c r="L90" s="68" t="n">
        <v>1</v>
      </c>
      <c r="N90" s="55" t="s">
        <v>35</v>
      </c>
      <c r="O90" s="56" t="n">
        <f aca="false">H82</f>
        <v>0</v>
      </c>
      <c r="P90" s="56" t="n">
        <f aca="false">H83*O97</f>
        <v>0</v>
      </c>
      <c r="Q90" s="56" t="n">
        <f aca="false">H84*P97</f>
        <v>-0</v>
      </c>
      <c r="R90" s="56" t="n">
        <f aca="false">H85*Q97</f>
        <v>0</v>
      </c>
      <c r="S90" s="55" t="s">
        <v>35</v>
      </c>
      <c r="T90" s="56" t="n">
        <v>0</v>
      </c>
      <c r="U90" s="56" t="n">
        <v>0</v>
      </c>
      <c r="V90" s="56" t="n">
        <v>0</v>
      </c>
      <c r="W90" s="56" t="n">
        <v>0</v>
      </c>
      <c r="X90" s="32" t="s">
        <v>35</v>
      </c>
      <c r="Y90" s="57" t="n">
        <v>-0.272191983567356</v>
      </c>
      <c r="Z90" s="57" t="n">
        <v>-0.00186329299575796</v>
      </c>
      <c r="AA90" s="57" t="n">
        <v>-0.00152651783231642</v>
      </c>
      <c r="AB90" s="57" t="n">
        <v>0</v>
      </c>
    </row>
    <row r="91" customFormat="false" ht="15" hidden="false" customHeight="true" outlineLevel="0" collapsed="false">
      <c r="A91" s="112"/>
      <c r="B91" s="52" t="s">
        <v>122</v>
      </c>
      <c r="C91" s="71" t="n">
        <f aca="false">AC100+C87</f>
        <v>0</v>
      </c>
      <c r="E91" s="55" t="s">
        <v>100</v>
      </c>
      <c r="F91" s="35" t="n">
        <f aca="false">E108/IF(H91=0,1000000000000,H91)+L88</f>
        <v>3.39037887099487E-006</v>
      </c>
      <c r="G91" s="55" t="s">
        <v>123</v>
      </c>
      <c r="H91" s="57" t="n">
        <f aca="false">CS_3_Crossbeam!B30</f>
        <v>26014791666.6667</v>
      </c>
      <c r="N91" s="41" t="s">
        <v>101</v>
      </c>
      <c r="O91" s="57" t="n">
        <v>1</v>
      </c>
      <c r="P91" s="57" t="n">
        <v>1</v>
      </c>
      <c r="Q91" s="57" t="n">
        <v>1</v>
      </c>
      <c r="R91" s="57" t="n">
        <v>1</v>
      </c>
      <c r="S91" s="41" t="s">
        <v>101</v>
      </c>
      <c r="T91" s="57" t="n">
        <v>1</v>
      </c>
      <c r="U91" s="57" t="n">
        <v>1</v>
      </c>
      <c r="V91" s="57" t="n">
        <v>1</v>
      </c>
      <c r="W91" s="57" t="n">
        <v>1</v>
      </c>
      <c r="X91" s="41" t="s">
        <v>101</v>
      </c>
      <c r="Y91" s="57" t="n">
        <v>1</v>
      </c>
      <c r="Z91" s="57" t="n">
        <v>1</v>
      </c>
      <c r="AA91" s="57" t="n">
        <v>1</v>
      </c>
      <c r="AB91" s="57" t="n">
        <v>1</v>
      </c>
    </row>
    <row r="92" customFormat="false" ht="15" hidden="false" customHeight="true" outlineLevel="0" collapsed="false">
      <c r="A92" s="112"/>
      <c r="B92" s="52" t="s">
        <v>124</v>
      </c>
      <c r="C92" s="71" t="n">
        <f aca="false">AC101+C88</f>
        <v>500</v>
      </c>
      <c r="E92" s="55" t="s">
        <v>104</v>
      </c>
      <c r="F92" s="35" t="n">
        <f aca="false">E109/IF(H92=0,1000000000000,H92)+L89</f>
        <v>0</v>
      </c>
      <c r="G92" s="55" t="s">
        <v>125</v>
      </c>
      <c r="H92" s="57" t="n">
        <f aca="false">CS_3_Crossbeam!B31</f>
        <v>26014791666.6667</v>
      </c>
      <c r="AB92" s="73"/>
      <c r="AU92" s="73" t="s">
        <v>126</v>
      </c>
      <c r="AZ92" s="73" t="s">
        <v>127</v>
      </c>
      <c r="BE92" s="73" t="s">
        <v>128</v>
      </c>
      <c r="BJ92" s="73" t="s">
        <v>128</v>
      </c>
    </row>
    <row r="93" customFormat="false" ht="31.2" hidden="false" customHeight="false" outlineLevel="0" collapsed="false">
      <c r="A93" s="112"/>
      <c r="B93" s="74" t="s">
        <v>168</v>
      </c>
      <c r="E93" s="1" t="s">
        <v>130</v>
      </c>
      <c r="F93" s="1"/>
      <c r="G93" s="75" t="s">
        <v>131</v>
      </c>
      <c r="H93" s="75"/>
      <c r="I93" s="75"/>
      <c r="J93" s="75"/>
      <c r="K93" s="75"/>
      <c r="L93" s="75"/>
      <c r="M93" s="3" t="s">
        <v>132</v>
      </c>
      <c r="N93" s="76" t="s">
        <v>133</v>
      </c>
      <c r="AE93" s="44" t="s">
        <v>134</v>
      </c>
      <c r="AF93" s="79" t="n">
        <v>0.001</v>
      </c>
      <c r="AG93" s="44"/>
      <c r="AH93" s="44"/>
      <c r="AI93" s="44"/>
      <c r="AJ93" s="44" t="s">
        <v>135</v>
      </c>
      <c r="AK93" s="80" t="n">
        <v>0.001</v>
      </c>
      <c r="AL93" s="31"/>
      <c r="AM93" s="31"/>
      <c r="AN93" s="44"/>
      <c r="AO93" s="44" t="s">
        <v>136</v>
      </c>
      <c r="AP93" s="79" t="n">
        <v>0.001</v>
      </c>
      <c r="AU93" s="31" t="s">
        <v>18</v>
      </c>
      <c r="AV93" s="31" t="s">
        <v>137</v>
      </c>
      <c r="AW93" s="31" t="s">
        <v>138</v>
      </c>
      <c r="AZ93" s="31" t="s">
        <v>18</v>
      </c>
      <c r="BA93" s="31" t="s">
        <v>137</v>
      </c>
      <c r="BB93" s="31" t="s">
        <v>138</v>
      </c>
      <c r="BE93" s="31" t="s">
        <v>18</v>
      </c>
      <c r="BF93" s="31" t="s">
        <v>137</v>
      </c>
      <c r="BG93" s="31" t="s">
        <v>138</v>
      </c>
    </row>
    <row r="94" customFormat="false" ht="15" hidden="false" customHeight="true" outlineLevel="0" collapsed="false">
      <c r="A94" s="112"/>
      <c r="B94" s="81" t="s">
        <v>139</v>
      </c>
      <c r="C94" s="59" t="n">
        <f aca="false" t="array" ref="C94:C97">MMULT(O66:R69,E70:E73)</f>
        <v>0</v>
      </c>
      <c r="E94" s="55" t="s">
        <v>33</v>
      </c>
      <c r="F94" s="35" t="n">
        <f aca="false" t="array" ref="F94:F99">MMULT(G94:L99,M94:M99)</f>
        <v>0</v>
      </c>
      <c r="G94" s="83" t="n">
        <f aca="false">CS_3_Crossbeam!G5</f>
        <v>8.49056603773585E-006</v>
      </c>
      <c r="H94" s="83" t="n">
        <f aca="false">CS_3_Crossbeam!H5</f>
        <v>0</v>
      </c>
      <c r="I94" s="83" t="n">
        <f aca="false">CS_3_Crossbeam!I5</f>
        <v>0</v>
      </c>
      <c r="J94" s="83" t="n">
        <f aca="false">CS_3_Crossbeam!J5</f>
        <v>0</v>
      </c>
      <c r="K94" s="83" t="n">
        <f aca="false">CS_3_Crossbeam!K5</f>
        <v>0</v>
      </c>
      <c r="L94" s="83" t="n">
        <f aca="false">CS_3_Crossbeam!L5</f>
        <v>0</v>
      </c>
      <c r="M94" s="57" t="n">
        <f aca="false">C94</f>
        <v>0</v>
      </c>
      <c r="O94" s="31" t="s">
        <v>140</v>
      </c>
      <c r="P94" s="17" t="s">
        <v>141</v>
      </c>
      <c r="Q94" s="17" t="s">
        <v>142</v>
      </c>
      <c r="R94" s="17"/>
      <c r="S94" s="17"/>
      <c r="T94" s="17"/>
      <c r="U94" s="17"/>
      <c r="V94" s="17"/>
      <c r="W94" s="17"/>
      <c r="X94" s="17"/>
      <c r="Y94" s="17"/>
      <c r="Z94" s="17"/>
      <c r="AA94" s="17"/>
      <c r="AB94" s="0" t="s">
        <v>143</v>
      </c>
      <c r="AC94" s="57" t="n">
        <f aca="false">C79</f>
        <v>450</v>
      </c>
      <c r="AD94" s="57"/>
      <c r="AE94" s="62" t="n">
        <v>1</v>
      </c>
      <c r="AF94" s="35" t="n">
        <v>0</v>
      </c>
      <c r="AG94" s="35" t="n">
        <v>0</v>
      </c>
      <c r="AH94" s="63" t="n">
        <v>0</v>
      </c>
      <c r="AI94" s="86"/>
      <c r="AJ94" s="35" t="n">
        <f aca="false">COS(AK93)</f>
        <v>0.999999500000042</v>
      </c>
      <c r="AK94" s="35" t="n">
        <v>0</v>
      </c>
      <c r="AL94" s="35" t="n">
        <f aca="false">-AJ96</f>
        <v>0.000999999833333342</v>
      </c>
      <c r="AM94" s="35" t="n">
        <v>0</v>
      </c>
      <c r="AN94" s="86"/>
      <c r="AO94" s="35" t="n">
        <f aca="false">COS(AP93)</f>
        <v>0.999999500000042</v>
      </c>
      <c r="AP94" s="35" t="n">
        <f aca="false">-AO95</f>
        <v>-0.000999999833333342</v>
      </c>
      <c r="AQ94" s="35" t="n">
        <v>0</v>
      </c>
      <c r="AR94" s="35" t="n">
        <v>0</v>
      </c>
      <c r="AS94" s="86"/>
      <c r="AT94" s="57" t="s">
        <v>144</v>
      </c>
      <c r="AU94" s="35" t="n">
        <f aca="false" t="array" ref="AU94:AU97">MMULT(AE94:AH97,$AC94:$AC97)</f>
        <v>450</v>
      </c>
      <c r="AV94" s="35" t="n">
        <f aca="false">AU94-$AC94</f>
        <v>0</v>
      </c>
      <c r="AW94" s="35" t="n">
        <f aca="false">AV94/AF93</f>
        <v>0</v>
      </c>
      <c r="AX94" s="86"/>
      <c r="AY94" s="57" t="s">
        <v>144</v>
      </c>
      <c r="AZ94" s="35" t="n">
        <f aca="false" t="array" ref="AZ94:AZ97">MMULT(AJ94:AM97,$AC94:$AC97)</f>
        <v>450.499774916685</v>
      </c>
      <c r="BA94" s="35" t="n">
        <f aca="false">AZ94-$AC94</f>
        <v>0.499774916685453</v>
      </c>
      <c r="BB94" s="35" t="n">
        <f aca="false">BA94/AK93</f>
        <v>499.774916685453</v>
      </c>
      <c r="BC94" s="86"/>
      <c r="BD94" s="57" t="s">
        <v>144</v>
      </c>
      <c r="BE94" s="35" t="n">
        <f aca="false" t="array" ref="BE94:BE97">MMULT(AO94:AR97,$AC94:$AC97)</f>
        <v>449.499775083352</v>
      </c>
      <c r="BF94" s="35" t="n">
        <f aca="false">BE94-$AC94</f>
        <v>-0.500224916647937</v>
      </c>
      <c r="BG94" s="35" t="n">
        <f aca="false">BF94/AP93</f>
        <v>-500.224916647937</v>
      </c>
    </row>
    <row r="95" customFormat="false" ht="15.6" hidden="false" customHeight="false" outlineLevel="0" collapsed="false">
      <c r="A95" s="112"/>
      <c r="B95" s="81" t="s">
        <v>145</v>
      </c>
      <c r="C95" s="59" t="n">
        <v>0</v>
      </c>
      <c r="E95" s="55" t="s">
        <v>34</v>
      </c>
      <c r="F95" s="35" t="n">
        <v>0</v>
      </c>
      <c r="G95" s="83" t="n">
        <f aca="false">CS_3_Crossbeam!G6</f>
        <v>0</v>
      </c>
      <c r="H95" s="83" t="n">
        <f aca="false">CS_3_Crossbeam!H6</f>
        <v>0.000343867924528302</v>
      </c>
      <c r="I95" s="83" t="n">
        <f aca="false">CS_3_Crossbeam!I6</f>
        <v>0</v>
      </c>
      <c r="J95" s="83" t="n">
        <f aca="false">CS_3_Crossbeam!J6</f>
        <v>0</v>
      </c>
      <c r="K95" s="83" t="n">
        <f aca="false">CS_3_Crossbeam!K6</f>
        <v>0</v>
      </c>
      <c r="L95" s="83" t="n">
        <f aca="false">CS_3_Crossbeam!L6</f>
        <v>-0</v>
      </c>
      <c r="M95" s="57" t="n">
        <f aca="false">C95</f>
        <v>0</v>
      </c>
      <c r="N95" s="55" t="s">
        <v>33</v>
      </c>
      <c r="O95" s="71" t="n">
        <f aca="false">AW94</f>
        <v>0</v>
      </c>
      <c r="P95" s="71" t="n">
        <f aca="false">BB94</f>
        <v>499.774916685453</v>
      </c>
      <c r="Q95" s="71" t="n">
        <f aca="false">BG94</f>
        <v>-500.224916647937</v>
      </c>
      <c r="AB95" s="0" t="s">
        <v>146</v>
      </c>
      <c r="AC95" s="57" t="n">
        <f aca="false">C80</f>
        <v>500</v>
      </c>
      <c r="AD95" s="57"/>
      <c r="AE95" s="62" t="n">
        <v>0</v>
      </c>
      <c r="AF95" s="35" t="n">
        <f aca="false">COS(AF93)</f>
        <v>0.999999500000042</v>
      </c>
      <c r="AG95" s="35" t="n">
        <f aca="false">-SIN(AF93)</f>
        <v>-0.000999999833333342</v>
      </c>
      <c r="AH95" s="63" t="n">
        <v>0</v>
      </c>
      <c r="AI95" s="86"/>
      <c r="AJ95" s="35" t="n">
        <v>0</v>
      </c>
      <c r="AK95" s="35" t="n">
        <v>1</v>
      </c>
      <c r="AL95" s="35" t="n">
        <v>0</v>
      </c>
      <c r="AM95" s="35" t="n">
        <v>0</v>
      </c>
      <c r="AN95" s="86"/>
      <c r="AO95" s="35" t="n">
        <f aca="false">SIN(AP93)</f>
        <v>0.000999999833333342</v>
      </c>
      <c r="AP95" s="35" t="n">
        <f aca="false">AO94</f>
        <v>0.999999500000042</v>
      </c>
      <c r="AQ95" s="35" t="n">
        <v>0</v>
      </c>
      <c r="AR95" s="35" t="n">
        <v>0</v>
      </c>
      <c r="AS95" s="86"/>
      <c r="AT95" s="57" t="s">
        <v>147</v>
      </c>
      <c r="AU95" s="35" t="n">
        <v>499.499750083354</v>
      </c>
      <c r="AV95" s="35" t="n">
        <f aca="false">AU95-$AC95</f>
        <v>-0.500249916645885</v>
      </c>
      <c r="AW95" s="35" t="n">
        <f aca="false">AV95/AF93</f>
        <v>-500.249916645885</v>
      </c>
      <c r="AX95" s="86"/>
      <c r="AY95" s="57" t="s">
        <v>147</v>
      </c>
      <c r="AZ95" s="35" t="n">
        <v>500</v>
      </c>
      <c r="BA95" s="35" t="n">
        <f aca="false">AZ95-$AC95</f>
        <v>0</v>
      </c>
      <c r="BB95" s="35" t="n">
        <f aca="false">BA95/AK93</f>
        <v>0</v>
      </c>
      <c r="BC95" s="86"/>
      <c r="BD95" s="57" t="s">
        <v>147</v>
      </c>
      <c r="BE95" s="35" t="n">
        <v>500.449749925021</v>
      </c>
      <c r="BF95" s="35" t="n">
        <f aca="false">BE95-$AC95</f>
        <v>0.449749925020797</v>
      </c>
      <c r="BG95" s="35" t="n">
        <f aca="false">BF95/AP93</f>
        <v>449.749925020797</v>
      </c>
    </row>
    <row r="96" customFormat="false" ht="15.6" hidden="false" customHeight="false" outlineLevel="0" collapsed="false">
      <c r="A96" s="112"/>
      <c r="B96" s="81" t="s">
        <v>148</v>
      </c>
      <c r="C96" s="59" t="n">
        <v>-196</v>
      </c>
      <c r="E96" s="55" t="s">
        <v>35</v>
      </c>
      <c r="F96" s="35" t="n">
        <v>-0.269592452830189</v>
      </c>
      <c r="G96" s="83" t="n">
        <f aca="false">CS_3_Crossbeam!G7</f>
        <v>0</v>
      </c>
      <c r="H96" s="83" t="n">
        <f aca="false">CS_3_Crossbeam!H7</f>
        <v>0</v>
      </c>
      <c r="I96" s="83" t="n">
        <f aca="false">CS_3_Crossbeam!I7</f>
        <v>0.00137547169811321</v>
      </c>
      <c r="J96" s="83" t="n">
        <f aca="false">CS_3_Crossbeam!J7</f>
        <v>0</v>
      </c>
      <c r="K96" s="83" t="n">
        <f aca="false">CS_3_Crossbeam!K7</f>
        <v>0</v>
      </c>
      <c r="L96" s="83" t="n">
        <f aca="false">CS_3_Crossbeam!L7</f>
        <v>0</v>
      </c>
      <c r="M96" s="57" t="n">
        <f aca="false">C96</f>
        <v>-196</v>
      </c>
      <c r="N96" s="55" t="s">
        <v>34</v>
      </c>
      <c r="O96" s="71" t="n">
        <f aca="false">AW95</f>
        <v>-500.249916645885</v>
      </c>
      <c r="P96" s="71" t="n">
        <f aca="false">BB95</f>
        <v>0</v>
      </c>
      <c r="Q96" s="71" t="n">
        <f aca="false">BG95</f>
        <v>449.749925020797</v>
      </c>
      <c r="AB96" s="0" t="s">
        <v>149</v>
      </c>
      <c r="AC96" s="57" t="n">
        <f aca="false">C81</f>
        <v>500</v>
      </c>
      <c r="AD96" s="57"/>
      <c r="AE96" s="62" t="n">
        <v>0</v>
      </c>
      <c r="AF96" s="35" t="n">
        <f aca="false">-AG95</f>
        <v>0.000999999833333342</v>
      </c>
      <c r="AG96" s="35" t="n">
        <f aca="false">AF95</f>
        <v>0.999999500000042</v>
      </c>
      <c r="AH96" s="63" t="n">
        <v>0</v>
      </c>
      <c r="AI96" s="86"/>
      <c r="AJ96" s="35" t="n">
        <f aca="false">-SIN(AK93)</f>
        <v>-0.000999999833333342</v>
      </c>
      <c r="AK96" s="35" t="n">
        <v>0</v>
      </c>
      <c r="AL96" s="35" t="n">
        <f aca="false">COS(AK93)</f>
        <v>0.999999500000042</v>
      </c>
      <c r="AM96" s="35" t="n">
        <v>0</v>
      </c>
      <c r="AN96" s="86"/>
      <c r="AO96" s="35" t="n">
        <v>0</v>
      </c>
      <c r="AP96" s="35" t="n">
        <v>0</v>
      </c>
      <c r="AQ96" s="35" t="n">
        <v>1</v>
      </c>
      <c r="AR96" s="35" t="n">
        <v>0</v>
      </c>
      <c r="AS96" s="86"/>
      <c r="AT96" s="57" t="s">
        <v>150</v>
      </c>
      <c r="AU96" s="35" t="n">
        <v>500.499749916688</v>
      </c>
      <c r="AV96" s="35" t="n">
        <f aca="false">AU96-$AC96</f>
        <v>0.499749916687506</v>
      </c>
      <c r="AW96" s="35" t="n">
        <f aca="false">AV96/AF93</f>
        <v>499.749916687506</v>
      </c>
      <c r="AX96" s="86"/>
      <c r="AY96" s="57" t="s">
        <v>150</v>
      </c>
      <c r="AZ96" s="35" t="n">
        <v>499.549750075021</v>
      </c>
      <c r="BA96" s="35" t="n">
        <f aca="false">AZ96-$AC96</f>
        <v>-0.450249924979175</v>
      </c>
      <c r="BB96" s="35" t="n">
        <f aca="false">BA96/AK93</f>
        <v>-450.249924979175</v>
      </c>
      <c r="BC96" s="86"/>
      <c r="BD96" s="57" t="s">
        <v>150</v>
      </c>
      <c r="BE96" s="35" t="n">
        <v>500</v>
      </c>
      <c r="BF96" s="35" t="n">
        <f aca="false">BE96-$AC96</f>
        <v>0</v>
      </c>
      <c r="BG96" s="35" t="n">
        <f aca="false">BF96/AP93</f>
        <v>0</v>
      </c>
    </row>
    <row r="97" customFormat="false" ht="15" hidden="false" customHeight="true" outlineLevel="0" collapsed="false">
      <c r="A97" s="112"/>
      <c r="B97" s="81" t="s">
        <v>101</v>
      </c>
      <c r="C97" s="59" t="n">
        <v>1</v>
      </c>
      <c r="E97" s="55" t="s">
        <v>97</v>
      </c>
      <c r="F97" s="35" t="n">
        <v>-0.00199698113207547</v>
      </c>
      <c r="G97" s="83" t="n">
        <f aca="false">CS_3_Crossbeam!G8</f>
        <v>0</v>
      </c>
      <c r="H97" s="83" t="n">
        <f aca="false">CS_3_Crossbeam!H8</f>
        <v>0</v>
      </c>
      <c r="I97" s="83" t="n">
        <f aca="false">CS_3_Crossbeam!I8</f>
        <v>0</v>
      </c>
      <c r="J97" s="83" t="n">
        <f aca="false">CS_3_Crossbeam!J8</f>
        <v>2.0377358490566E-008</v>
      </c>
      <c r="K97" s="83" t="n">
        <f aca="false">CS_3_Crossbeam!K8</f>
        <v>0</v>
      </c>
      <c r="L97" s="83" t="n">
        <f aca="false">CS_3_Crossbeam!L8</f>
        <v>0</v>
      </c>
      <c r="M97" s="57" t="n">
        <f aca="false">C98</f>
        <v>-98000</v>
      </c>
      <c r="N97" s="55" t="s">
        <v>35</v>
      </c>
      <c r="O97" s="71" t="n">
        <f aca="false">AW96</f>
        <v>499.749916687506</v>
      </c>
      <c r="P97" s="71" t="n">
        <f aca="false">BB96</f>
        <v>-450.249924979175</v>
      </c>
      <c r="Q97" s="71" t="n">
        <f aca="false">BG96</f>
        <v>0</v>
      </c>
      <c r="AC97" s="57" t="n">
        <v>1</v>
      </c>
      <c r="AD97" s="57"/>
      <c r="AE97" s="62" t="n">
        <v>0</v>
      </c>
      <c r="AF97" s="35" t="n">
        <v>0</v>
      </c>
      <c r="AG97" s="35" t="n">
        <v>0</v>
      </c>
      <c r="AH97" s="63" t="n">
        <v>1</v>
      </c>
      <c r="AI97" s="86"/>
      <c r="AJ97" s="35" t="n">
        <v>0</v>
      </c>
      <c r="AK97" s="35" t="n">
        <v>0</v>
      </c>
      <c r="AL97" s="35" t="n">
        <v>0</v>
      </c>
      <c r="AM97" s="35" t="n">
        <v>1</v>
      </c>
      <c r="AN97" s="86"/>
      <c r="AO97" s="35" t="n">
        <v>0</v>
      </c>
      <c r="AP97" s="35" t="n">
        <v>0</v>
      </c>
      <c r="AQ97" s="35" t="n">
        <v>0</v>
      </c>
      <c r="AR97" s="35" t="n">
        <v>1</v>
      </c>
      <c r="AS97" s="86"/>
      <c r="AT97" s="57"/>
      <c r="AU97" s="35" t="n">
        <v>1</v>
      </c>
      <c r="AV97" s="35"/>
      <c r="AW97" s="35"/>
      <c r="AX97" s="86"/>
      <c r="AY97" s="57"/>
      <c r="AZ97" s="35" t="n">
        <v>1</v>
      </c>
      <c r="BA97" s="35"/>
      <c r="BB97" s="35"/>
      <c r="BC97" s="86"/>
      <c r="BD97" s="57"/>
      <c r="BE97" s="35" t="n">
        <v>1</v>
      </c>
      <c r="BF97" s="35"/>
      <c r="BG97" s="35"/>
    </row>
    <row r="98" customFormat="false" ht="15" hidden="false" customHeight="true" outlineLevel="0" collapsed="false">
      <c r="A98" s="112"/>
      <c r="B98" s="81" t="s">
        <v>151</v>
      </c>
      <c r="C98" s="59" t="n">
        <f aca="false" t="array" ref="C98:C101">MMULT(O66:R69,E74:E77)</f>
        <v>-98000</v>
      </c>
      <c r="E98" s="55" t="s">
        <v>100</v>
      </c>
      <c r="F98" s="35" t="n">
        <v>0</v>
      </c>
      <c r="G98" s="83" t="n">
        <f aca="false">CS_3_Crossbeam!G9</f>
        <v>0</v>
      </c>
      <c r="H98" s="83" t="n">
        <f aca="false">CS_3_Crossbeam!H9</f>
        <v>0</v>
      </c>
      <c r="I98" s="83" t="n">
        <f aca="false">CS_3_Crossbeam!I9</f>
        <v>0</v>
      </c>
      <c r="J98" s="83" t="n">
        <f aca="false">CS_3_Crossbeam!J9</f>
        <v>0</v>
      </c>
      <c r="K98" s="83" t="n">
        <f aca="false">CS_3_Crossbeam!K9</f>
        <v>3.39622641509434E-008</v>
      </c>
      <c r="L98" s="83" t="n">
        <f aca="false">CS_3_Crossbeam!L9</f>
        <v>0</v>
      </c>
      <c r="M98" s="57" t="n">
        <f aca="false">C99</f>
        <v>0</v>
      </c>
      <c r="O98" s="89" t="s">
        <v>152</v>
      </c>
      <c r="T98" s="89" t="s">
        <v>153</v>
      </c>
      <c r="AE98" s="0" t="s">
        <v>154</v>
      </c>
      <c r="AJ98" s="0" t="s">
        <v>155</v>
      </c>
      <c r="AO98" s="0" t="s">
        <v>156</v>
      </c>
    </row>
    <row r="99" customFormat="false" ht="15" hidden="false" customHeight="true" outlineLevel="0" collapsed="false">
      <c r="A99" s="112"/>
      <c r="B99" s="81" t="s">
        <v>157</v>
      </c>
      <c r="C99" s="59" t="n">
        <v>0</v>
      </c>
      <c r="E99" s="55" t="s">
        <v>104</v>
      </c>
      <c r="F99" s="35" t="n">
        <v>0</v>
      </c>
      <c r="G99" s="83" t="n">
        <f aca="false">CS_3_Crossbeam!G10</f>
        <v>0</v>
      </c>
      <c r="H99" s="83" t="n">
        <f aca="false">CS_3_Crossbeam!H10</f>
        <v>0</v>
      </c>
      <c r="I99" s="83" t="n">
        <f aca="false">CS_3_Crossbeam!I10</f>
        <v>0</v>
      </c>
      <c r="J99" s="83" t="n">
        <f aca="false">CS_3_Crossbeam!J10</f>
        <v>0</v>
      </c>
      <c r="K99" s="83" t="n">
        <f aca="false">CS_3_Crossbeam!K10</f>
        <v>0</v>
      </c>
      <c r="L99" s="83" t="n">
        <f aca="false">CS_3_Crossbeam!L10</f>
        <v>8.49056603773585E-009</v>
      </c>
      <c r="M99" s="57" t="n">
        <f aca="false">C100</f>
        <v>0</v>
      </c>
      <c r="O99" s="71" t="n">
        <f aca="false" t="array" ref="O99:R102">MMULT(AO99:AR102,MMULT(AJ99:AM102,AE99:AH102))</f>
        <v>1</v>
      </c>
      <c r="P99" s="71" t="n">
        <v>0</v>
      </c>
      <c r="Q99" s="71" t="n">
        <v>0</v>
      </c>
      <c r="R99" s="71" t="n">
        <v>0</v>
      </c>
      <c r="S99" s="90"/>
      <c r="T99" s="71" t="n">
        <f aca="false" t="array" ref="T99:W102">IF(A120=1,MMULT(T132:W135,O99:R102),T$363:W$366)</f>
        <v>1</v>
      </c>
      <c r="U99" s="71" t="n">
        <v>0</v>
      </c>
      <c r="V99" s="71" t="n">
        <v>0</v>
      </c>
      <c r="W99" s="71" t="n">
        <v>0</v>
      </c>
      <c r="X99" s="71"/>
      <c r="Y99" s="71"/>
      <c r="Z99" s="71"/>
      <c r="AA99" s="71"/>
      <c r="AB99" s="0" t="s">
        <v>158</v>
      </c>
      <c r="AC99" s="57" t="n">
        <f aca="false" t="array" ref="AC99:AC102">MMULT(O99:R102,AC94:AC97)</f>
        <v>450</v>
      </c>
      <c r="AD99" s="57"/>
      <c r="AE99" s="91" t="n">
        <v>1</v>
      </c>
      <c r="AF99" s="57" t="n">
        <v>0</v>
      </c>
      <c r="AG99" s="57" t="n">
        <v>0</v>
      </c>
      <c r="AH99" s="92" t="n">
        <v>0</v>
      </c>
      <c r="AJ99" s="91" t="n">
        <f aca="false">COS(PI()*C84/180)</f>
        <v>1</v>
      </c>
      <c r="AK99" s="57" t="n">
        <v>0</v>
      </c>
      <c r="AL99" s="57" t="n">
        <f aca="false">SIN(PI()*C84/180)</f>
        <v>0</v>
      </c>
      <c r="AM99" s="92" t="n">
        <v>0</v>
      </c>
      <c r="AO99" s="91" t="n">
        <f aca="false">COS(PI()*C85/180)</f>
        <v>1</v>
      </c>
      <c r="AP99" s="57" t="n">
        <f aca="false">-SIN(PI()*C85/180)</f>
        <v>0</v>
      </c>
      <c r="AQ99" s="57" t="n">
        <v>0</v>
      </c>
      <c r="AR99" s="92" t="n">
        <v>0</v>
      </c>
    </row>
    <row r="100" customFormat="false" ht="15" hidden="false" customHeight="true" outlineLevel="0" collapsed="false">
      <c r="A100" s="112"/>
      <c r="B100" s="81" t="s">
        <v>159</v>
      </c>
      <c r="C100" s="59" t="n">
        <v>0</v>
      </c>
      <c r="G100" s="113"/>
      <c r="H100" s="113"/>
      <c r="I100" s="113"/>
      <c r="J100" s="93"/>
      <c r="K100" s="93"/>
      <c r="L100" s="93"/>
      <c r="M100" s="93"/>
      <c r="O100" s="71" t="n">
        <v>0</v>
      </c>
      <c r="P100" s="71" t="n">
        <v>1</v>
      </c>
      <c r="Q100" s="71" t="n">
        <v>0</v>
      </c>
      <c r="R100" s="71" t="n">
        <v>0</v>
      </c>
      <c r="S100" s="90"/>
      <c r="T100" s="71" t="n">
        <v>0</v>
      </c>
      <c r="U100" s="71" t="n">
        <v>1</v>
      </c>
      <c r="V100" s="71" t="n">
        <v>0</v>
      </c>
      <c r="W100" s="71" t="n">
        <v>0</v>
      </c>
      <c r="X100" s="71"/>
      <c r="Y100" s="71"/>
      <c r="Z100" s="71"/>
      <c r="AA100" s="71"/>
      <c r="AB100" s="0" t="s">
        <v>160</v>
      </c>
      <c r="AC100" s="57" t="n">
        <v>500</v>
      </c>
      <c r="AD100" s="57"/>
      <c r="AE100" s="91" t="n">
        <v>0</v>
      </c>
      <c r="AF100" s="57" t="n">
        <f aca="false">COS(PI()*C83/180)</f>
        <v>1</v>
      </c>
      <c r="AG100" s="57" t="n">
        <f aca="false">-SIN(PI()*C83/180)</f>
        <v>0</v>
      </c>
      <c r="AH100" s="92" t="n">
        <v>0</v>
      </c>
      <c r="AJ100" s="91" t="n">
        <v>0</v>
      </c>
      <c r="AK100" s="57" t="n">
        <v>1</v>
      </c>
      <c r="AL100" s="57" t="n">
        <v>0</v>
      </c>
      <c r="AM100" s="92" t="n">
        <v>0</v>
      </c>
      <c r="AO100" s="91" t="n">
        <f aca="false">SIN(PI()*C85/180)</f>
        <v>0</v>
      </c>
      <c r="AP100" s="57" t="n">
        <f aca="false">AO99</f>
        <v>1</v>
      </c>
      <c r="AQ100" s="57" t="n">
        <v>0</v>
      </c>
      <c r="AR100" s="92" t="n">
        <v>0</v>
      </c>
    </row>
    <row r="101" customFormat="false" ht="15" hidden="false" customHeight="true" outlineLevel="0" collapsed="false">
      <c r="A101" s="112"/>
      <c r="B101" s="81" t="s">
        <v>101</v>
      </c>
      <c r="C101" s="59" t="n">
        <v>1</v>
      </c>
      <c r="G101" s="113"/>
      <c r="H101" s="113"/>
      <c r="I101" s="113"/>
      <c r="J101" s="93"/>
      <c r="K101" s="93"/>
      <c r="L101" s="93"/>
      <c r="M101" s="93"/>
      <c r="O101" s="71" t="n">
        <v>0</v>
      </c>
      <c r="P101" s="71" t="n">
        <v>0</v>
      </c>
      <c r="Q101" s="71" t="n">
        <v>1</v>
      </c>
      <c r="R101" s="71" t="n">
        <v>0</v>
      </c>
      <c r="S101" s="90"/>
      <c r="T101" s="71" t="n">
        <v>0</v>
      </c>
      <c r="U101" s="71" t="n">
        <v>0</v>
      </c>
      <c r="V101" s="71" t="n">
        <v>1</v>
      </c>
      <c r="W101" s="71" t="n">
        <v>0</v>
      </c>
      <c r="X101" s="71"/>
      <c r="Y101" s="71"/>
      <c r="Z101" s="71"/>
      <c r="AA101" s="71"/>
      <c r="AB101" s="0" t="s">
        <v>161</v>
      </c>
      <c r="AC101" s="57" t="n">
        <v>500</v>
      </c>
      <c r="AD101" s="57"/>
      <c r="AE101" s="91" t="n">
        <v>0</v>
      </c>
      <c r="AF101" s="57" t="n">
        <f aca="false">SIN(PI()*C83/180)</f>
        <v>0</v>
      </c>
      <c r="AG101" s="57" t="n">
        <f aca="false">AF100</f>
        <v>1</v>
      </c>
      <c r="AH101" s="92" t="n">
        <v>0</v>
      </c>
      <c r="AJ101" s="91" t="n">
        <f aca="false">-SIN(PI()*C84/180)</f>
        <v>0</v>
      </c>
      <c r="AK101" s="57" t="n">
        <v>0</v>
      </c>
      <c r="AL101" s="57" t="n">
        <f aca="false">AJ99</f>
        <v>1</v>
      </c>
      <c r="AM101" s="92" t="n">
        <v>0</v>
      </c>
      <c r="AO101" s="91" t="n">
        <v>0</v>
      </c>
      <c r="AP101" s="57" t="n">
        <v>0</v>
      </c>
      <c r="AQ101" s="57" t="n">
        <v>1</v>
      </c>
      <c r="AR101" s="92" t="n">
        <v>0</v>
      </c>
    </row>
    <row r="102" s="96" customFormat="true" ht="15.6" hidden="false" customHeight="false" outlineLevel="0" collapsed="false">
      <c r="A102" s="112"/>
      <c r="B102" s="11" t="s">
        <v>169</v>
      </c>
      <c r="D102" s="11" t="s">
        <v>163</v>
      </c>
      <c r="G102" s="119"/>
      <c r="H102" s="102"/>
      <c r="I102" s="102"/>
      <c r="J102" s="114"/>
      <c r="K102" s="114"/>
      <c r="L102" s="114"/>
      <c r="M102" s="114"/>
      <c r="O102" s="98" t="n">
        <v>0</v>
      </c>
      <c r="P102" s="98" t="n">
        <v>0</v>
      </c>
      <c r="Q102" s="98" t="n">
        <v>0</v>
      </c>
      <c r="R102" s="98" t="n">
        <v>1</v>
      </c>
      <c r="S102" s="99"/>
      <c r="T102" s="98" t="n">
        <v>0</v>
      </c>
      <c r="U102" s="98" t="n">
        <v>0</v>
      </c>
      <c r="V102" s="98" t="n">
        <v>0</v>
      </c>
      <c r="W102" s="98" t="n">
        <v>1</v>
      </c>
      <c r="X102" s="98"/>
      <c r="Y102" s="98"/>
      <c r="Z102" s="98"/>
      <c r="AA102" s="98"/>
      <c r="AC102" s="100" t="n">
        <v>1</v>
      </c>
      <c r="AD102" s="100"/>
      <c r="AE102" s="100" t="n">
        <v>0</v>
      </c>
      <c r="AF102" s="100" t="n">
        <v>0</v>
      </c>
      <c r="AG102" s="100" t="n">
        <v>0</v>
      </c>
      <c r="AH102" s="100" t="n">
        <v>1</v>
      </c>
      <c r="AJ102" s="100" t="n">
        <v>0</v>
      </c>
      <c r="AK102" s="100" t="n">
        <v>0</v>
      </c>
      <c r="AL102" s="100" t="n">
        <v>0</v>
      </c>
      <c r="AM102" s="100" t="n">
        <v>1</v>
      </c>
      <c r="AO102" s="100" t="n">
        <v>0</v>
      </c>
      <c r="AP102" s="100" t="n">
        <v>0</v>
      </c>
      <c r="AQ102" s="100" t="n">
        <v>0</v>
      </c>
      <c r="AR102" s="100" t="n">
        <v>1</v>
      </c>
    </row>
    <row r="103" customFormat="false" ht="15.6" hidden="false" customHeight="false" outlineLevel="0" collapsed="false">
      <c r="A103" s="112"/>
      <c r="B103" s="81" t="s">
        <v>139</v>
      </c>
      <c r="C103" s="82" t="n">
        <v>0</v>
      </c>
      <c r="D103" s="81" t="s">
        <v>139</v>
      </c>
      <c r="E103" s="59" t="n">
        <f aca="false">C94+C103</f>
        <v>0</v>
      </c>
      <c r="G103" s="102"/>
      <c r="H103" s="102"/>
      <c r="I103" s="102"/>
      <c r="J103" s="114"/>
      <c r="K103" s="114"/>
      <c r="L103" s="114"/>
      <c r="M103" s="114"/>
      <c r="O103" s="98"/>
      <c r="P103" s="98"/>
      <c r="Q103" s="98"/>
      <c r="R103" s="98"/>
      <c r="S103" s="99"/>
      <c r="T103" s="98"/>
      <c r="U103" s="98"/>
      <c r="V103" s="98"/>
      <c r="W103" s="98"/>
      <c r="X103" s="98"/>
      <c r="Y103" s="98"/>
      <c r="Z103" s="98"/>
      <c r="AA103" s="98"/>
      <c r="AC103" s="100"/>
      <c r="AD103" s="100"/>
      <c r="AE103" s="100"/>
      <c r="AF103" s="100"/>
      <c r="AG103" s="100"/>
      <c r="AH103" s="100"/>
      <c r="AJ103" s="100"/>
      <c r="AK103" s="100"/>
      <c r="AL103" s="100"/>
      <c r="AM103" s="100"/>
      <c r="AO103" s="100"/>
      <c r="AP103" s="100"/>
      <c r="AQ103" s="100"/>
      <c r="AR103" s="100"/>
    </row>
    <row r="104" customFormat="false" ht="15.6" hidden="false" customHeight="false" outlineLevel="0" collapsed="false">
      <c r="A104" s="112"/>
      <c r="B104" s="81" t="s">
        <v>145</v>
      </c>
      <c r="C104" s="82" t="n">
        <v>0</v>
      </c>
      <c r="D104" s="81" t="s">
        <v>145</v>
      </c>
      <c r="E104" s="59" t="n">
        <f aca="false">C95+C104</f>
        <v>0</v>
      </c>
      <c r="G104" s="102"/>
      <c r="H104" s="102"/>
      <c r="I104" s="102"/>
      <c r="J104" s="114"/>
      <c r="K104" s="114"/>
      <c r="L104" s="114"/>
      <c r="M104" s="114"/>
      <c r="O104" s="98"/>
      <c r="P104" s="98"/>
      <c r="Q104" s="98"/>
      <c r="R104" s="98"/>
      <c r="S104" s="99"/>
      <c r="T104" s="98"/>
      <c r="U104" s="98"/>
      <c r="V104" s="98"/>
      <c r="W104" s="98"/>
      <c r="X104" s="98"/>
      <c r="Y104" s="98"/>
      <c r="Z104" s="98"/>
      <c r="AA104" s="98"/>
      <c r="AC104" s="100"/>
      <c r="AD104" s="100"/>
      <c r="AE104" s="100"/>
      <c r="AF104" s="100"/>
      <c r="AG104" s="100"/>
      <c r="AH104" s="100"/>
      <c r="AJ104" s="100"/>
      <c r="AK104" s="100"/>
      <c r="AL104" s="100"/>
      <c r="AM104" s="100"/>
      <c r="AO104" s="100"/>
      <c r="AP104" s="100"/>
      <c r="AQ104" s="100"/>
      <c r="AR104" s="100"/>
    </row>
    <row r="105" customFormat="false" ht="15.6" hidden="false" customHeight="false" outlineLevel="0" collapsed="false">
      <c r="A105" s="112"/>
      <c r="B105" s="81" t="s">
        <v>148</v>
      </c>
      <c r="C105" s="82" t="n">
        <v>0</v>
      </c>
      <c r="D105" s="81" t="s">
        <v>148</v>
      </c>
      <c r="E105" s="59" t="n">
        <f aca="false">C96+C105</f>
        <v>-196</v>
      </c>
      <c r="G105" s="102"/>
      <c r="H105" s="102"/>
      <c r="I105" s="102"/>
      <c r="J105" s="114"/>
      <c r="K105" s="114"/>
      <c r="L105" s="114"/>
      <c r="M105" s="114"/>
      <c r="O105" s="98"/>
      <c r="P105" s="98"/>
      <c r="Q105" s="98"/>
      <c r="R105" s="98"/>
      <c r="S105" s="99"/>
      <c r="T105" s="98"/>
      <c r="U105" s="98"/>
      <c r="V105" s="98"/>
      <c r="W105" s="98"/>
      <c r="X105" s="98"/>
      <c r="Y105" s="98"/>
      <c r="Z105" s="98"/>
      <c r="AA105" s="98"/>
      <c r="AC105" s="100"/>
      <c r="AD105" s="100"/>
      <c r="AE105" s="100"/>
      <c r="AF105" s="100"/>
      <c r="AG105" s="100"/>
      <c r="AH105" s="100"/>
      <c r="AJ105" s="100"/>
      <c r="AK105" s="100"/>
      <c r="AL105" s="100"/>
      <c r="AM105" s="100"/>
      <c r="AO105" s="100"/>
      <c r="AP105" s="100"/>
      <c r="AQ105" s="100"/>
      <c r="AR105" s="100"/>
    </row>
    <row r="106" customFormat="false" ht="15.6" hidden="false" customHeight="false" outlineLevel="0" collapsed="false">
      <c r="A106" s="112"/>
      <c r="B106" s="103" t="s">
        <v>101</v>
      </c>
      <c r="C106" s="115" t="n">
        <v>1</v>
      </c>
      <c r="D106" s="103" t="s">
        <v>101</v>
      </c>
      <c r="E106" s="115" t="n">
        <v>1</v>
      </c>
      <c r="G106" s="102"/>
      <c r="H106" s="102"/>
      <c r="I106" s="102"/>
      <c r="J106" s="114"/>
      <c r="K106" s="114"/>
      <c r="L106" s="114"/>
      <c r="M106" s="114"/>
      <c r="O106" s="98"/>
      <c r="P106" s="98"/>
      <c r="Q106" s="98"/>
      <c r="R106" s="98"/>
      <c r="S106" s="99"/>
      <c r="T106" s="98"/>
      <c r="U106" s="98"/>
      <c r="V106" s="98"/>
      <c r="W106" s="98"/>
      <c r="X106" s="98"/>
      <c r="Y106" s="98"/>
      <c r="Z106" s="98"/>
      <c r="AA106" s="98"/>
      <c r="AC106" s="100"/>
      <c r="AD106" s="100"/>
      <c r="AE106" s="100"/>
      <c r="AF106" s="100"/>
      <c r="AG106" s="100"/>
      <c r="AH106" s="100"/>
      <c r="AJ106" s="100"/>
      <c r="AK106" s="100"/>
      <c r="AL106" s="100"/>
      <c r="AM106" s="100"/>
      <c r="AO106" s="100"/>
      <c r="AP106" s="100"/>
      <c r="AQ106" s="100"/>
      <c r="AR106" s="100"/>
    </row>
    <row r="107" customFormat="false" ht="15.6" hidden="false" customHeight="false" outlineLevel="0" collapsed="false">
      <c r="A107" s="112"/>
      <c r="B107" s="81" t="s">
        <v>151</v>
      </c>
      <c r="C107" s="82" t="n">
        <v>0</v>
      </c>
      <c r="D107" s="81" t="s">
        <v>151</v>
      </c>
      <c r="E107" s="59" t="n">
        <f aca="false">C98+C107+C96*C54-C95*C55</f>
        <v>-98000</v>
      </c>
      <c r="F107" s="103"/>
      <c r="G107" s="114"/>
      <c r="H107" s="120"/>
      <c r="I107" s="114"/>
      <c r="J107" s="114"/>
      <c r="K107" s="114"/>
      <c r="L107" s="114"/>
      <c r="M107" s="114"/>
      <c r="O107" s="98"/>
      <c r="P107" s="98"/>
      <c r="Q107" s="98"/>
      <c r="R107" s="98"/>
      <c r="S107" s="99"/>
      <c r="T107" s="98"/>
      <c r="U107" s="98"/>
      <c r="V107" s="98"/>
      <c r="W107" s="98"/>
      <c r="X107" s="98"/>
      <c r="Y107" s="98"/>
      <c r="Z107" s="98"/>
      <c r="AA107" s="98"/>
      <c r="AC107" s="100"/>
      <c r="AD107" s="100"/>
      <c r="AE107" s="100"/>
      <c r="AF107" s="100"/>
      <c r="AG107" s="100"/>
      <c r="AH107" s="100"/>
      <c r="AJ107" s="100"/>
      <c r="AK107" s="100"/>
      <c r="AL107" s="100"/>
      <c r="AM107" s="100"/>
      <c r="AO107" s="100"/>
      <c r="AP107" s="100"/>
      <c r="AQ107" s="100"/>
      <c r="AR107" s="100"/>
    </row>
    <row r="108" customFormat="false" ht="15.6" hidden="false" customHeight="false" outlineLevel="0" collapsed="false">
      <c r="A108" s="112"/>
      <c r="B108" s="81" t="s">
        <v>157</v>
      </c>
      <c r="C108" s="82" t="n">
        <v>0</v>
      </c>
      <c r="D108" s="81" t="s">
        <v>157</v>
      </c>
      <c r="E108" s="59" t="n">
        <f aca="false">C99+C108+C94*C55-C96*C53</f>
        <v>88200</v>
      </c>
      <c r="F108" s="103"/>
      <c r="G108" s="114"/>
      <c r="H108" s="120"/>
      <c r="I108" s="114"/>
      <c r="J108" s="114"/>
      <c r="K108" s="114"/>
      <c r="L108" s="114"/>
      <c r="M108" s="114"/>
      <c r="O108" s="98"/>
      <c r="P108" s="98"/>
      <c r="Q108" s="98"/>
      <c r="R108" s="98"/>
      <c r="S108" s="99"/>
      <c r="T108" s="98"/>
      <c r="U108" s="98"/>
      <c r="V108" s="98"/>
      <c r="W108" s="98"/>
      <c r="X108" s="98"/>
      <c r="Y108" s="98"/>
      <c r="Z108" s="98"/>
      <c r="AA108" s="98"/>
      <c r="AC108" s="100"/>
      <c r="AD108" s="100"/>
      <c r="AE108" s="100"/>
      <c r="AF108" s="100"/>
      <c r="AG108" s="100"/>
      <c r="AH108" s="100"/>
      <c r="AJ108" s="100"/>
      <c r="AK108" s="100"/>
      <c r="AL108" s="100"/>
      <c r="AM108" s="100"/>
      <c r="AO108" s="100"/>
      <c r="AP108" s="100"/>
      <c r="AQ108" s="100"/>
      <c r="AR108" s="100"/>
    </row>
    <row r="109" customFormat="false" ht="15.6" hidden="false" customHeight="false" outlineLevel="0" collapsed="false">
      <c r="A109" s="112"/>
      <c r="B109" s="103" t="s">
        <v>159</v>
      </c>
      <c r="C109" s="104" t="n">
        <v>0</v>
      </c>
      <c r="D109" s="81" t="s">
        <v>159</v>
      </c>
      <c r="E109" s="59" t="n">
        <f aca="false">C100+C109+C95*C53-C94*C54</f>
        <v>0</v>
      </c>
      <c r="F109" s="103"/>
      <c r="G109" s="114"/>
      <c r="H109" s="120"/>
      <c r="I109" s="114"/>
      <c r="J109" s="114"/>
      <c r="K109" s="114"/>
      <c r="L109" s="114"/>
      <c r="M109" s="114"/>
      <c r="O109" s="98"/>
      <c r="P109" s="98"/>
      <c r="Q109" s="98"/>
      <c r="R109" s="98"/>
      <c r="S109" s="99"/>
      <c r="T109" s="98"/>
      <c r="U109" s="98"/>
      <c r="V109" s="98"/>
      <c r="W109" s="98"/>
      <c r="X109" s="98"/>
      <c r="Y109" s="98"/>
      <c r="Z109" s="98"/>
      <c r="AA109" s="98"/>
      <c r="AC109" s="100"/>
      <c r="AD109" s="100"/>
      <c r="AE109" s="100"/>
      <c r="AF109" s="100"/>
      <c r="AG109" s="100"/>
      <c r="AH109" s="100"/>
      <c r="AJ109" s="100"/>
      <c r="AK109" s="100"/>
      <c r="AL109" s="100"/>
      <c r="AM109" s="100"/>
      <c r="AO109" s="100"/>
      <c r="AP109" s="100"/>
      <c r="AQ109" s="100"/>
      <c r="AR109" s="100"/>
    </row>
    <row r="110" s="36" customFormat="true" ht="16.2" hidden="false" customHeight="false" outlineLevel="0" collapsed="false">
      <c r="A110" s="112"/>
      <c r="B110" s="105" t="s">
        <v>101</v>
      </c>
      <c r="C110" s="106" t="n">
        <v>1</v>
      </c>
      <c r="D110" s="105" t="s">
        <v>101</v>
      </c>
      <c r="E110" s="106" t="n">
        <v>1</v>
      </c>
      <c r="F110" s="105"/>
      <c r="G110" s="116"/>
      <c r="H110" s="121"/>
      <c r="I110" s="116"/>
      <c r="J110" s="116"/>
      <c r="K110" s="116"/>
      <c r="L110" s="116"/>
      <c r="M110" s="116"/>
      <c r="O110" s="117"/>
      <c r="P110" s="117"/>
      <c r="Q110" s="117"/>
      <c r="R110" s="117"/>
      <c r="S110" s="109"/>
      <c r="T110" s="117"/>
      <c r="U110" s="117"/>
      <c r="V110" s="117"/>
      <c r="W110" s="117"/>
      <c r="X110" s="117"/>
      <c r="Y110" s="117"/>
      <c r="Z110" s="117"/>
      <c r="AA110" s="117"/>
      <c r="AC110" s="118"/>
      <c r="AD110" s="118"/>
      <c r="AE110" s="118"/>
      <c r="AF110" s="118"/>
      <c r="AG110" s="118"/>
      <c r="AH110" s="118"/>
      <c r="AJ110" s="118"/>
      <c r="AK110" s="118"/>
      <c r="AL110" s="118"/>
      <c r="AM110" s="118"/>
      <c r="AO110" s="118"/>
      <c r="AP110" s="118"/>
      <c r="AQ110" s="118"/>
      <c r="AR110" s="118"/>
    </row>
    <row r="111" customFormat="false" ht="15" hidden="false" customHeight="true" outlineLevel="0" collapsed="false">
      <c r="A111" s="50" t="s">
        <v>173</v>
      </c>
      <c r="B111" s="51" t="s">
        <v>165</v>
      </c>
      <c r="E111" s="9" t="s">
        <v>174</v>
      </c>
    </row>
    <row r="112" customFormat="false" ht="15" hidden="false" customHeight="true" outlineLevel="0" collapsed="false">
      <c r="A112" s="50"/>
      <c r="B112" s="52" t="s">
        <v>88</v>
      </c>
      <c r="C112" s="111" t="n">
        <f aca="false">C90</f>
        <v>450</v>
      </c>
      <c r="E112" s="1" t="s">
        <v>89</v>
      </c>
      <c r="F112" s="1"/>
      <c r="G112" s="1" t="s">
        <v>90</v>
      </c>
      <c r="H112" s="1"/>
      <c r="N112" s="11" t="s">
        <v>91</v>
      </c>
      <c r="O112" s="9"/>
      <c r="P112" s="54"/>
      <c r="Q112" s="9"/>
      <c r="R112" s="9"/>
      <c r="S112" s="11" t="s">
        <v>38</v>
      </c>
      <c r="Y112" s="11" t="s">
        <v>92</v>
      </c>
    </row>
    <row r="113" customFormat="false" ht="15" hidden="false" customHeight="true" outlineLevel="0" collapsed="false">
      <c r="A113" s="50"/>
      <c r="B113" s="52" t="s">
        <v>93</v>
      </c>
      <c r="C113" s="111" t="n">
        <f aca="false">C91</f>
        <v>0</v>
      </c>
      <c r="E113" s="55" t="s">
        <v>33</v>
      </c>
      <c r="F113" s="34" t="n">
        <f aca="false">CS_4_Legs!B45</f>
        <v>0.005</v>
      </c>
      <c r="G113" s="55" t="s">
        <v>33</v>
      </c>
      <c r="H113" s="34" t="n">
        <f aca="false">CS_4_Legs!B52</f>
        <v>0</v>
      </c>
      <c r="O113" s="0" t="s">
        <v>42</v>
      </c>
      <c r="P113" s="31" t="s">
        <v>43</v>
      </c>
      <c r="Q113" s="17" t="s">
        <v>44</v>
      </c>
      <c r="R113" s="17" t="s">
        <v>45</v>
      </c>
      <c r="T113" s="0" t="s">
        <v>42</v>
      </c>
      <c r="U113" s="31" t="s">
        <v>43</v>
      </c>
      <c r="V113" s="17" t="s">
        <v>44</v>
      </c>
      <c r="W113" s="17" t="s">
        <v>45</v>
      </c>
      <c r="Y113" s="0" t="s">
        <v>42</v>
      </c>
      <c r="Z113" s="31" t="s">
        <v>43</v>
      </c>
      <c r="AA113" s="17" t="s">
        <v>44</v>
      </c>
      <c r="AB113" s="17" t="s">
        <v>45</v>
      </c>
    </row>
    <row r="114" customFormat="false" ht="15" hidden="false" customHeight="true" outlineLevel="0" collapsed="false">
      <c r="A114" s="50"/>
      <c r="B114" s="52" t="s">
        <v>94</v>
      </c>
      <c r="C114" s="111" t="n">
        <f aca="false">C92</f>
        <v>500</v>
      </c>
      <c r="E114" s="55" t="s">
        <v>34</v>
      </c>
      <c r="F114" s="34" t="n">
        <f aca="false">CS_4_Legs!B46</f>
        <v>0.005</v>
      </c>
      <c r="G114" s="55" t="s">
        <v>34</v>
      </c>
      <c r="H114" s="34" t="n">
        <f aca="false">CS_4_Legs!B53</f>
        <v>0</v>
      </c>
      <c r="N114" s="55" t="s">
        <v>33</v>
      </c>
      <c r="O114" s="56" t="n">
        <f aca="false">ABS(F113)</f>
        <v>0.005</v>
      </c>
      <c r="P114" s="56" t="n">
        <f aca="false">ABS(F116*O128)</f>
        <v>0</v>
      </c>
      <c r="Q114" s="56" t="n">
        <f aca="false">ABS(F117*P128)</f>
        <v>0.0499774916685454</v>
      </c>
      <c r="R114" s="56" t="n">
        <f aca="false">ABS(F118*Q128)</f>
        <v>2.24999981242036E-005</v>
      </c>
      <c r="S114" s="55" t="s">
        <v>33</v>
      </c>
      <c r="T114" s="35" t="n">
        <f aca="false" t="array" ref="T114:W117">ABS(MMULT(T132:W135,O114:R117))</f>
        <v>0.005</v>
      </c>
      <c r="U114" s="35" t="n">
        <v>0</v>
      </c>
      <c r="V114" s="35" t="n">
        <v>0.0499774916685454</v>
      </c>
      <c r="W114" s="35" t="n">
        <v>2.24999981242036E-005</v>
      </c>
      <c r="X114" s="32" t="s">
        <v>33</v>
      </c>
      <c r="Y114" s="35" t="n">
        <f aca="false">F120+F127</f>
        <v>0</v>
      </c>
      <c r="Z114" s="57" t="n">
        <f aca="false">F123*O128</f>
        <v>0</v>
      </c>
      <c r="AA114" s="57" t="n">
        <f aca="false">F124*P128</f>
        <v>0.00667396488433125</v>
      </c>
      <c r="AB114" s="57" t="n">
        <f aca="false">F125*Q128</f>
        <v>-0</v>
      </c>
    </row>
    <row r="115" customFormat="false" ht="15" hidden="false" customHeight="true" outlineLevel="0" collapsed="false">
      <c r="A115" s="58" t="n">
        <v>4</v>
      </c>
      <c r="B115" s="9" t="s">
        <v>95</v>
      </c>
      <c r="E115" s="55" t="s">
        <v>35</v>
      </c>
      <c r="F115" s="34" t="n">
        <f aca="false">CS_4_Legs!B47</f>
        <v>0.005</v>
      </c>
      <c r="G115" s="55" t="s">
        <v>35</v>
      </c>
      <c r="H115" s="34" t="n">
        <f aca="false">CS_4_Legs!B54</f>
        <v>0</v>
      </c>
      <c r="N115" s="55" t="s">
        <v>34</v>
      </c>
      <c r="O115" s="56" t="n">
        <f aca="false">ABS(F114)</f>
        <v>0.005</v>
      </c>
      <c r="P115" s="56" t="n">
        <f aca="false">ABS(F116*O129)</f>
        <v>0.0499999911666672</v>
      </c>
      <c r="Q115" s="56" t="n">
        <f aca="false">ABS(F117*P129)</f>
        <v>0</v>
      </c>
      <c r="R115" s="56" t="n">
        <f aca="false">ABS(F118*Q129)</f>
        <v>0.0449999925000004</v>
      </c>
      <c r="S115" s="55" t="s">
        <v>34</v>
      </c>
      <c r="T115" s="35" t="n">
        <v>0.005</v>
      </c>
      <c r="U115" s="35" t="n">
        <v>0.0499999911666672</v>
      </c>
      <c r="V115" s="35" t="n">
        <v>0</v>
      </c>
      <c r="W115" s="35" t="n">
        <v>0.0449999925000004</v>
      </c>
      <c r="X115" s="32" t="s">
        <v>34</v>
      </c>
      <c r="Y115" s="35" t="n">
        <f aca="false">F121+F128</f>
        <v>0</v>
      </c>
      <c r="Z115" s="57" t="n">
        <f aca="false">F123*O129</f>
        <v>-0</v>
      </c>
      <c r="AA115" s="57" t="n">
        <f aca="false">F124*P129</f>
        <v>0</v>
      </c>
      <c r="AB115" s="57" t="n">
        <f aca="false">F125*Q129</f>
        <v>0</v>
      </c>
    </row>
    <row r="116" customFormat="false" ht="15" hidden="false" customHeight="true" outlineLevel="0" collapsed="false">
      <c r="A116" s="59" t="n">
        <f aca="false">IF(A115&gt;Naxes,0,1)</f>
        <v>0</v>
      </c>
      <c r="B116" s="60" t="s">
        <v>96</v>
      </c>
      <c r="C116" s="47" t="n">
        <v>0</v>
      </c>
      <c r="E116" s="55" t="s">
        <v>97</v>
      </c>
      <c r="F116" s="34" t="n">
        <f aca="false">CS_4_Legs!B48</f>
        <v>9.99999990000001E-005</v>
      </c>
      <c r="G116" s="55" t="s">
        <v>97</v>
      </c>
      <c r="H116" s="34" t="n">
        <f aca="false">CS_4_Legs!B55</f>
        <v>0</v>
      </c>
      <c r="N116" s="55" t="s">
        <v>35</v>
      </c>
      <c r="O116" s="56" t="n">
        <f aca="false">ABS(F115)</f>
        <v>0.005</v>
      </c>
      <c r="P116" s="56" t="n">
        <f aca="false">ABS(F116*O130)</f>
        <v>2.49999976689397E-005</v>
      </c>
      <c r="Q116" s="56" t="n">
        <f aca="false">ABS(F117*P130)</f>
        <v>0.0450249924979176</v>
      </c>
      <c r="R116" s="56" t="n">
        <f aca="false">ABS(F118*Q130)</f>
        <v>0</v>
      </c>
      <c r="S116" s="55" t="s">
        <v>35</v>
      </c>
      <c r="T116" s="35" t="n">
        <v>0.005</v>
      </c>
      <c r="U116" s="35" t="n">
        <v>2.49999976689397E-005</v>
      </c>
      <c r="V116" s="35" t="n">
        <v>0.0450249924979176</v>
      </c>
      <c r="W116" s="35" t="n">
        <v>0</v>
      </c>
      <c r="X116" s="32" t="s">
        <v>35</v>
      </c>
      <c r="Y116" s="35" t="n">
        <f aca="false">F122+F129</f>
        <v>-7.57341576506955E-005</v>
      </c>
      <c r="Z116" s="57" t="n">
        <f aca="false">F123*O130</f>
        <v>-0</v>
      </c>
      <c r="AA116" s="57" t="n">
        <f aca="false">F124*P130</f>
        <v>-0.00601261105381774</v>
      </c>
      <c r="AB116" s="57" t="n">
        <f aca="false">F125*Q130</f>
        <v>0</v>
      </c>
    </row>
    <row r="117" customFormat="false" ht="15" hidden="false" customHeight="true" outlineLevel="0" collapsed="false">
      <c r="A117" s="61" t="s">
        <v>98</v>
      </c>
      <c r="B117" s="60" t="s">
        <v>99</v>
      </c>
      <c r="C117" s="47" t="n">
        <v>0</v>
      </c>
      <c r="E117" s="55" t="s">
        <v>100</v>
      </c>
      <c r="F117" s="34" t="n">
        <f aca="false">CS_4_Legs!B49</f>
        <v>0.0001</v>
      </c>
      <c r="G117" s="55" t="s">
        <v>100</v>
      </c>
      <c r="H117" s="34" t="n">
        <f aca="false">CS_4_Legs!B56</f>
        <v>0</v>
      </c>
      <c r="N117" s="41" t="s">
        <v>101</v>
      </c>
      <c r="O117" s="57" t="n">
        <v>1</v>
      </c>
      <c r="P117" s="57" t="n">
        <v>1</v>
      </c>
      <c r="Q117" s="57" t="n">
        <v>1</v>
      </c>
      <c r="R117" s="57" t="n">
        <v>1</v>
      </c>
      <c r="S117" s="41" t="s">
        <v>101</v>
      </c>
      <c r="T117" s="35" t="n">
        <v>1</v>
      </c>
      <c r="U117" s="35" t="n">
        <v>1</v>
      </c>
      <c r="V117" s="35" t="n">
        <v>1</v>
      </c>
      <c r="W117" s="35" t="n">
        <v>1</v>
      </c>
      <c r="X117" s="41" t="s">
        <v>101</v>
      </c>
      <c r="Y117" s="57" t="n">
        <v>1</v>
      </c>
      <c r="Z117" s="57" t="n">
        <v>1</v>
      </c>
      <c r="AA117" s="57" t="n">
        <v>1</v>
      </c>
      <c r="AB117" s="57" t="n">
        <v>1</v>
      </c>
    </row>
    <row r="118" customFormat="false" ht="15" hidden="false" customHeight="true" outlineLevel="0" collapsed="false">
      <c r="A118" s="61"/>
      <c r="B118" s="60" t="s">
        <v>102</v>
      </c>
      <c r="C118" s="47" t="n">
        <v>0</v>
      </c>
      <c r="E118" s="55" t="s">
        <v>104</v>
      </c>
      <c r="F118" s="34" t="n">
        <f aca="false">CS_4_Legs!B50</f>
        <v>0.0001</v>
      </c>
      <c r="G118" s="55" t="s">
        <v>104</v>
      </c>
      <c r="H118" s="34" t="n">
        <f aca="false">CS_4_Legs!B57</f>
        <v>0</v>
      </c>
      <c r="X118" s="41"/>
    </row>
    <row r="119" customFormat="false" ht="33" hidden="false" customHeight="true" outlineLevel="0" collapsed="false">
      <c r="A119" s="61"/>
      <c r="B119" s="60" t="s">
        <v>105</v>
      </c>
      <c r="C119" s="47" t="n">
        <v>0</v>
      </c>
      <c r="E119" s="18" t="s">
        <v>106</v>
      </c>
      <c r="F119" s="18"/>
      <c r="G119" s="1" t="s">
        <v>107</v>
      </c>
      <c r="H119" s="1"/>
      <c r="I119" s="18" t="s">
        <v>108</v>
      </c>
      <c r="J119" s="18"/>
      <c r="K119" s="18" t="s">
        <v>109</v>
      </c>
      <c r="L119" s="18"/>
      <c r="N119" s="11" t="s">
        <v>110</v>
      </c>
      <c r="O119" s="9"/>
      <c r="P119" s="54"/>
      <c r="Q119" s="9"/>
      <c r="R119" s="9"/>
      <c r="S119" s="11" t="s">
        <v>39</v>
      </c>
      <c r="X119" s="41"/>
      <c r="Y119" s="11" t="s">
        <v>111</v>
      </c>
    </row>
    <row r="120" customFormat="false" ht="15" hidden="false" customHeight="true" outlineLevel="0" collapsed="false">
      <c r="A120" s="61"/>
      <c r="B120" s="60" t="s">
        <v>112</v>
      </c>
      <c r="C120" s="65" t="n">
        <v>0</v>
      </c>
      <c r="E120" s="55" t="s">
        <v>33</v>
      </c>
      <c r="F120" s="35" t="n">
        <f aca="false">E136/IF(H120=0,1000000000000,H120)</f>
        <v>0</v>
      </c>
      <c r="G120" s="55" t="s">
        <v>113</v>
      </c>
      <c r="H120" s="57" t="n">
        <f aca="false">CS_4_Legs!B25</f>
        <v>2588000</v>
      </c>
      <c r="I120" s="55" t="s">
        <v>97</v>
      </c>
      <c r="J120" s="35" t="n">
        <f aca="false">A149*F163</f>
        <v>-0</v>
      </c>
      <c r="K120" s="55" t="s">
        <v>97</v>
      </c>
      <c r="L120" s="68" t="n">
        <f aca="false" t="array" ref="L120:L123">MMULT(MINVERSE(O132:R135),J120:J123)</f>
        <v>0</v>
      </c>
      <c r="O120" s="0" t="s">
        <v>42</v>
      </c>
      <c r="P120" s="31" t="s">
        <v>43</v>
      </c>
      <c r="Q120" s="17" t="s">
        <v>44</v>
      </c>
      <c r="R120" s="17" t="s">
        <v>45</v>
      </c>
      <c r="T120" s="0" t="s">
        <v>42</v>
      </c>
      <c r="U120" s="31" t="s">
        <v>43</v>
      </c>
      <c r="V120" s="17" t="s">
        <v>44</v>
      </c>
      <c r="W120" s="17" t="s">
        <v>45</v>
      </c>
      <c r="X120" s="41"/>
      <c r="Y120" s="0" t="s">
        <v>42</v>
      </c>
      <c r="Z120" s="31" t="s">
        <v>43</v>
      </c>
      <c r="AA120" s="17" t="s">
        <v>44</v>
      </c>
      <c r="AB120" s="17" t="s">
        <v>45</v>
      </c>
    </row>
    <row r="121" customFormat="false" ht="15" hidden="false" customHeight="true" outlineLevel="0" collapsed="false">
      <c r="A121" s="112" t="s">
        <v>175</v>
      </c>
      <c r="B121" s="60" t="s">
        <v>115</v>
      </c>
      <c r="C121" s="47" t="n">
        <v>0</v>
      </c>
      <c r="E121" s="55" t="s">
        <v>34</v>
      </c>
      <c r="F121" s="35" t="n">
        <f aca="false">E137/IF(H121=0,1000000000000,H121)</f>
        <v>0</v>
      </c>
      <c r="G121" s="55" t="s">
        <v>116</v>
      </c>
      <c r="H121" s="57" t="n">
        <f aca="false">CS_4_Legs!B26</f>
        <v>0</v>
      </c>
      <c r="I121" s="55" t="s">
        <v>100</v>
      </c>
      <c r="J121" s="35" t="n">
        <f aca="false">A149*F164</f>
        <v>0</v>
      </c>
      <c r="K121" s="55" t="s">
        <v>100</v>
      </c>
      <c r="L121" s="68" t="n">
        <v>0</v>
      </c>
      <c r="N121" s="55" t="s">
        <v>33</v>
      </c>
      <c r="O121" s="56" t="n">
        <f aca="false">H113</f>
        <v>0</v>
      </c>
      <c r="P121" s="56" t="n">
        <f aca="false">H116*O128</f>
        <v>0</v>
      </c>
      <c r="Q121" s="56" t="n">
        <f aca="false">H117*P128</f>
        <v>0</v>
      </c>
      <c r="R121" s="56" t="n">
        <f aca="false">H118*Q128</f>
        <v>-0</v>
      </c>
      <c r="S121" s="55" t="s">
        <v>33</v>
      </c>
      <c r="T121" s="56" t="n">
        <f aca="false" t="array" ref="T121:T124">MMULT(T132:W135,O121:O124)</f>
        <v>0</v>
      </c>
      <c r="U121" s="56" t="n">
        <f aca="false" t="array" ref="U121:U124">MMULT(T132:W135,P121:P124)</f>
        <v>0</v>
      </c>
      <c r="V121" s="56" t="n">
        <f aca="false" t="array" ref="V121:V124">MMULT(T132:W135,Q121:Q124)</f>
        <v>0</v>
      </c>
      <c r="W121" s="56" t="n">
        <f aca="false" t="array" ref="W121:W124">MMULT(T132:W135,R121:R124)</f>
        <v>0</v>
      </c>
      <c r="X121" s="32" t="s">
        <v>33</v>
      </c>
      <c r="Y121" s="57" t="n">
        <f aca="false" t="array" ref="Y121:Y124">MMULT(T132:W135,Y114:Y117)</f>
        <v>0</v>
      </c>
      <c r="Z121" s="57" t="n">
        <f aca="false" t="array" ref="Z121:Z124">MMULT(T132:W135,Z114:Z117)</f>
        <v>0</v>
      </c>
      <c r="AA121" s="57" t="n">
        <f aca="false" t="array" ref="AA121:AA124">MMULT(T132:W135,AA114:AA117)</f>
        <v>0.00667396488433125</v>
      </c>
      <c r="AB121" s="57" t="n">
        <f aca="false" t="array" ref="AB121:AB124">MMULT(T132:W135,AB114:AB117)</f>
        <v>0</v>
      </c>
    </row>
    <row r="122" customFormat="false" ht="15" hidden="false" customHeight="true" outlineLevel="0" collapsed="false">
      <c r="A122" s="112"/>
      <c r="B122" s="11" t="s">
        <v>117</v>
      </c>
      <c r="E122" s="55" t="s">
        <v>35</v>
      </c>
      <c r="F122" s="35" t="n">
        <f aca="false">E138/IF(H122=0,1000000000000,H122)</f>
        <v>-7.57341576506955E-005</v>
      </c>
      <c r="G122" s="55" t="s">
        <v>118</v>
      </c>
      <c r="H122" s="57" t="n">
        <f aca="false">CS_4_Legs!B27</f>
        <v>2588000</v>
      </c>
      <c r="I122" s="55" t="s">
        <v>104</v>
      </c>
      <c r="J122" s="35" t="n">
        <f aca="false">A149*F165</f>
        <v>0</v>
      </c>
      <c r="K122" s="55" t="s">
        <v>104</v>
      </c>
      <c r="L122" s="68" t="n">
        <v>0</v>
      </c>
      <c r="N122" s="55" t="s">
        <v>34</v>
      </c>
      <c r="O122" s="56" t="n">
        <f aca="false">H114</f>
        <v>0</v>
      </c>
      <c r="P122" s="56" t="n">
        <f aca="false">H116*O129</f>
        <v>-0</v>
      </c>
      <c r="Q122" s="56" t="n">
        <f aca="false">H117*P129</f>
        <v>0</v>
      </c>
      <c r="R122" s="56" t="n">
        <f aca="false">H118*Q129</f>
        <v>0</v>
      </c>
      <c r="S122" s="55" t="s">
        <v>34</v>
      </c>
      <c r="T122" s="56" t="n">
        <v>0</v>
      </c>
      <c r="U122" s="56" t="n">
        <v>0</v>
      </c>
      <c r="V122" s="56" t="n">
        <v>0</v>
      </c>
      <c r="W122" s="56" t="n">
        <v>0</v>
      </c>
      <c r="X122" s="32" t="s">
        <v>34</v>
      </c>
      <c r="Y122" s="57" t="n">
        <v>0</v>
      </c>
      <c r="Z122" s="57" t="n">
        <v>0</v>
      </c>
      <c r="AA122" s="57" t="n">
        <v>0</v>
      </c>
      <c r="AB122" s="57" t="n">
        <v>0</v>
      </c>
    </row>
    <row r="123" customFormat="false" ht="15" hidden="false" customHeight="true" outlineLevel="0" collapsed="false">
      <c r="A123" s="112"/>
      <c r="B123" s="52" t="s">
        <v>119</v>
      </c>
      <c r="C123" s="71" t="n">
        <f aca="false">AC132+C119</f>
        <v>450</v>
      </c>
      <c r="E123" s="55" t="s">
        <v>97</v>
      </c>
      <c r="F123" s="35" t="n">
        <f aca="false">E140/IF(H123=0,1000000000000,H123)+L120</f>
        <v>0</v>
      </c>
      <c r="G123" s="55" t="s">
        <v>120</v>
      </c>
      <c r="H123" s="57" t="n">
        <f aca="false">CS_4_Legs!B29</f>
        <v>6874375000</v>
      </c>
      <c r="I123" s="55" t="s">
        <v>121</v>
      </c>
      <c r="J123" s="57" t="n">
        <v>1</v>
      </c>
      <c r="K123" s="55" t="s">
        <v>121</v>
      </c>
      <c r="L123" s="68" t="n">
        <v>1</v>
      </c>
      <c r="N123" s="55" t="s">
        <v>35</v>
      </c>
      <c r="O123" s="56" t="n">
        <f aca="false">H115</f>
        <v>0</v>
      </c>
      <c r="P123" s="56" t="n">
        <f aca="false">H116*O130</f>
        <v>-0</v>
      </c>
      <c r="Q123" s="56" t="n">
        <f aca="false">H117*P130</f>
        <v>-0</v>
      </c>
      <c r="R123" s="56" t="n">
        <f aca="false">H118*Q130</f>
        <v>0</v>
      </c>
      <c r="S123" s="55" t="s">
        <v>35</v>
      </c>
      <c r="T123" s="56" t="n">
        <v>0</v>
      </c>
      <c r="U123" s="56" t="n">
        <v>0</v>
      </c>
      <c r="V123" s="56" t="n">
        <v>0</v>
      </c>
      <c r="W123" s="56" t="n">
        <v>0</v>
      </c>
      <c r="X123" s="32" t="s">
        <v>35</v>
      </c>
      <c r="Y123" s="57" t="n">
        <v>-7.57341576506955E-005</v>
      </c>
      <c r="Z123" s="57" t="n">
        <v>0</v>
      </c>
      <c r="AA123" s="57" t="n">
        <v>-0.00601261105381774</v>
      </c>
      <c r="AB123" s="57" t="n">
        <v>0</v>
      </c>
    </row>
    <row r="124" customFormat="false" ht="15" hidden="false" customHeight="true" outlineLevel="0" collapsed="false">
      <c r="A124" s="112"/>
      <c r="B124" s="52" t="s">
        <v>122</v>
      </c>
      <c r="C124" s="71" t="n">
        <f aca="false">AC133+C120</f>
        <v>0</v>
      </c>
      <c r="E124" s="55" t="s">
        <v>100</v>
      </c>
      <c r="F124" s="35" t="n">
        <f aca="false">E141/IF(H124=0,1000000000000,H124)+L121</f>
        <v>1.33539412673879E-005</v>
      </c>
      <c r="G124" s="55" t="s">
        <v>123</v>
      </c>
      <c r="H124" s="57" t="n">
        <f aca="false">CS_4_Legs!B30</f>
        <v>6604791666.66667</v>
      </c>
      <c r="N124" s="41" t="s">
        <v>101</v>
      </c>
      <c r="O124" s="57" t="n">
        <v>1</v>
      </c>
      <c r="P124" s="57" t="n">
        <v>1</v>
      </c>
      <c r="Q124" s="57" t="n">
        <v>1</v>
      </c>
      <c r="R124" s="57" t="n">
        <v>1</v>
      </c>
      <c r="S124" s="41" t="s">
        <v>101</v>
      </c>
      <c r="T124" s="57" t="n">
        <v>1</v>
      </c>
      <c r="U124" s="57" t="n">
        <v>1</v>
      </c>
      <c r="V124" s="57" t="n">
        <v>1</v>
      </c>
      <c r="W124" s="57" t="n">
        <v>1</v>
      </c>
      <c r="X124" s="41" t="s">
        <v>101</v>
      </c>
      <c r="Y124" s="57" t="n">
        <v>1</v>
      </c>
      <c r="Z124" s="57" t="n">
        <v>1</v>
      </c>
      <c r="AA124" s="57" t="n">
        <v>1</v>
      </c>
      <c r="AB124" s="57" t="n">
        <v>1</v>
      </c>
    </row>
    <row r="125" customFormat="false" ht="15" hidden="false" customHeight="true" outlineLevel="0" collapsed="false">
      <c r="A125" s="112"/>
      <c r="B125" s="52" t="s">
        <v>124</v>
      </c>
      <c r="C125" s="71" t="n">
        <f aca="false">AC134+C121</f>
        <v>500</v>
      </c>
      <c r="E125" s="55" t="s">
        <v>104</v>
      </c>
      <c r="F125" s="35" t="n">
        <f aca="false">E142/IF(H125=0,1000000000000,H125)+L122</f>
        <v>0</v>
      </c>
      <c r="G125" s="55" t="s">
        <v>125</v>
      </c>
      <c r="H125" s="57" t="n">
        <f aca="false">CS_4_Legs!B31</f>
        <v>6604791666.66667</v>
      </c>
      <c r="AB125" s="73"/>
      <c r="AU125" s="73" t="s">
        <v>126</v>
      </c>
      <c r="AZ125" s="73" t="s">
        <v>127</v>
      </c>
      <c r="BE125" s="73" t="s">
        <v>128</v>
      </c>
      <c r="BJ125" s="73" t="s">
        <v>128</v>
      </c>
    </row>
    <row r="126" customFormat="false" ht="31.2" hidden="false" customHeight="false" outlineLevel="0" collapsed="false">
      <c r="A126" s="112"/>
      <c r="B126" s="74" t="s">
        <v>168</v>
      </c>
      <c r="E126" s="1" t="s">
        <v>130</v>
      </c>
      <c r="F126" s="1"/>
      <c r="G126" s="75" t="s">
        <v>131</v>
      </c>
      <c r="H126" s="75"/>
      <c r="I126" s="75"/>
      <c r="J126" s="75"/>
      <c r="K126" s="75"/>
      <c r="L126" s="75"/>
      <c r="M126" s="3" t="s">
        <v>132</v>
      </c>
      <c r="N126" s="76" t="s">
        <v>133</v>
      </c>
      <c r="AE126" s="44" t="s">
        <v>134</v>
      </c>
      <c r="AF126" s="79" t="n">
        <v>0.001</v>
      </c>
      <c r="AG126" s="44"/>
      <c r="AH126" s="44"/>
      <c r="AI126" s="44"/>
      <c r="AJ126" s="44" t="s">
        <v>135</v>
      </c>
      <c r="AK126" s="80" t="n">
        <v>0.001</v>
      </c>
      <c r="AL126" s="31"/>
      <c r="AM126" s="31"/>
      <c r="AN126" s="44"/>
      <c r="AO126" s="44" t="s">
        <v>136</v>
      </c>
      <c r="AP126" s="79" t="n">
        <v>0.001</v>
      </c>
      <c r="AU126" s="31" t="s">
        <v>18</v>
      </c>
      <c r="AV126" s="31" t="s">
        <v>137</v>
      </c>
      <c r="AW126" s="31" t="s">
        <v>138</v>
      </c>
      <c r="AZ126" s="31" t="s">
        <v>18</v>
      </c>
      <c r="BA126" s="31" t="s">
        <v>137</v>
      </c>
      <c r="BB126" s="31" t="s">
        <v>138</v>
      </c>
      <c r="BE126" s="31" t="s">
        <v>18</v>
      </c>
      <c r="BF126" s="31" t="s">
        <v>137</v>
      </c>
      <c r="BG126" s="31" t="s">
        <v>138</v>
      </c>
    </row>
    <row r="127" customFormat="false" ht="15" hidden="false" customHeight="true" outlineLevel="0" collapsed="false">
      <c r="A127" s="112"/>
      <c r="B127" s="81" t="s">
        <v>139</v>
      </c>
      <c r="C127" s="59" t="n">
        <f aca="false" t="array" ref="C127:C130">MMULT(O99:R102,E103:E106)</f>
        <v>0</v>
      </c>
      <c r="E127" s="55" t="s">
        <v>33</v>
      </c>
      <c r="F127" s="35" t="n">
        <f aca="false" t="array" ref="F127:F132">MMULT(G127:L132,M127:M132)</f>
        <v>0</v>
      </c>
      <c r="G127" s="83" t="n">
        <f aca="false">CS_4_Legs!G5</f>
        <v>0</v>
      </c>
      <c r="H127" s="83" t="n">
        <f aca="false">CS_4_Legs!H5</f>
        <v>0</v>
      </c>
      <c r="I127" s="83" t="n">
        <f aca="false">CS_4_Legs!I5</f>
        <v>0</v>
      </c>
      <c r="J127" s="83" t="n">
        <f aca="false">CS_4_Legs!J5</f>
        <v>0</v>
      </c>
      <c r="K127" s="83" t="n">
        <f aca="false">CS_4_Legs!K5</f>
        <v>0</v>
      </c>
      <c r="L127" s="83" t="n">
        <f aca="false">CS_4_Legs!L5</f>
        <v>0</v>
      </c>
      <c r="M127" s="57" t="n">
        <f aca="false">C127</f>
        <v>0</v>
      </c>
      <c r="O127" s="31" t="s">
        <v>140</v>
      </c>
      <c r="P127" s="17" t="s">
        <v>141</v>
      </c>
      <c r="Q127" s="17" t="s">
        <v>142</v>
      </c>
      <c r="R127" s="17"/>
      <c r="S127" s="17"/>
      <c r="T127" s="17"/>
      <c r="U127" s="17"/>
      <c r="V127" s="17"/>
      <c r="W127" s="17"/>
      <c r="X127" s="17"/>
      <c r="Y127" s="17"/>
      <c r="Z127" s="17"/>
      <c r="AA127" s="17"/>
      <c r="AB127" s="0" t="s">
        <v>143</v>
      </c>
      <c r="AC127" s="57" t="n">
        <f aca="false">C112</f>
        <v>450</v>
      </c>
      <c r="AD127" s="57"/>
      <c r="AE127" s="62" t="n">
        <v>1</v>
      </c>
      <c r="AF127" s="35" t="n">
        <v>0</v>
      </c>
      <c r="AG127" s="35" t="n">
        <v>0</v>
      </c>
      <c r="AH127" s="63" t="n">
        <v>0</v>
      </c>
      <c r="AI127" s="86"/>
      <c r="AJ127" s="35" t="n">
        <f aca="false">COS(AK126)</f>
        <v>0.999999500000042</v>
      </c>
      <c r="AK127" s="35" t="n">
        <v>0</v>
      </c>
      <c r="AL127" s="35" t="n">
        <f aca="false">-AJ129</f>
        <v>0.000999999833333342</v>
      </c>
      <c r="AM127" s="35" t="n">
        <v>0</v>
      </c>
      <c r="AN127" s="86"/>
      <c r="AO127" s="35" t="n">
        <f aca="false">COS(AP126)</f>
        <v>0.999999500000042</v>
      </c>
      <c r="AP127" s="35" t="n">
        <f aca="false">-AO128</f>
        <v>-0.000999999833333342</v>
      </c>
      <c r="AQ127" s="35" t="n">
        <v>0</v>
      </c>
      <c r="AR127" s="35" t="n">
        <v>0</v>
      </c>
      <c r="AS127" s="86"/>
      <c r="AT127" s="57" t="s">
        <v>144</v>
      </c>
      <c r="AU127" s="35" t="n">
        <f aca="false" t="array" ref="AU127:AU130">MMULT(AE127:AH130,$AC127:$AC130)</f>
        <v>450</v>
      </c>
      <c r="AV127" s="35" t="n">
        <f aca="false">AU127-$AC127</f>
        <v>0</v>
      </c>
      <c r="AW127" s="35" t="n">
        <f aca="false">AV127/AF126</f>
        <v>0</v>
      </c>
      <c r="AX127" s="86"/>
      <c r="AY127" s="57" t="s">
        <v>144</v>
      </c>
      <c r="AZ127" s="35" t="n">
        <f aca="false" t="array" ref="AZ127:AZ130">MMULT(AJ127:AM130,$AC127:$AC130)</f>
        <v>450.499774916685</v>
      </c>
      <c r="BA127" s="35" t="n">
        <f aca="false">AZ127-$AC127</f>
        <v>0.499774916685453</v>
      </c>
      <c r="BB127" s="35" t="n">
        <f aca="false">BA127/AK126</f>
        <v>499.774916685453</v>
      </c>
      <c r="BC127" s="86"/>
      <c r="BD127" s="57" t="s">
        <v>144</v>
      </c>
      <c r="BE127" s="35" t="n">
        <f aca="false" t="array" ref="BE127:BE130">MMULT(AO127:AR130,$AC127:$AC130)</f>
        <v>449.999775000019</v>
      </c>
      <c r="BF127" s="35" t="n">
        <f aca="false">BE127-$AC127</f>
        <v>-0.000224999981242036</v>
      </c>
      <c r="BG127" s="35" t="n">
        <f aca="false">BF127/AP126</f>
        <v>-0.224999981242036</v>
      </c>
    </row>
    <row r="128" customFormat="false" ht="15.6" hidden="false" customHeight="false" outlineLevel="0" collapsed="false">
      <c r="A128" s="112"/>
      <c r="B128" s="81" t="s">
        <v>145</v>
      </c>
      <c r="C128" s="59" t="n">
        <v>0</v>
      </c>
      <c r="E128" s="55" t="s">
        <v>34</v>
      </c>
      <c r="F128" s="35" t="n">
        <v>0</v>
      </c>
      <c r="G128" s="83" t="n">
        <f aca="false">CS_4_Legs!G6</f>
        <v>0</v>
      </c>
      <c r="H128" s="83" t="n">
        <f aca="false">CS_4_Legs!H6</f>
        <v>0</v>
      </c>
      <c r="I128" s="83" t="n">
        <f aca="false">CS_4_Legs!I6</f>
        <v>0</v>
      </c>
      <c r="J128" s="83" t="n">
        <f aca="false">CS_4_Legs!J6</f>
        <v>0</v>
      </c>
      <c r="K128" s="83" t="n">
        <f aca="false">CS_4_Legs!K6</f>
        <v>0</v>
      </c>
      <c r="L128" s="83" t="n">
        <f aca="false">CS_4_Legs!L6</f>
        <v>0</v>
      </c>
      <c r="M128" s="57" t="n">
        <f aca="false">C128</f>
        <v>0</v>
      </c>
      <c r="N128" s="55" t="s">
        <v>33</v>
      </c>
      <c r="O128" s="71" t="n">
        <f aca="false">AW127</f>
        <v>0</v>
      </c>
      <c r="P128" s="71" t="n">
        <f aca="false">BB127</f>
        <v>499.774916685453</v>
      </c>
      <c r="Q128" s="71" t="n">
        <f aca="false">BG127</f>
        <v>-0.224999981242036</v>
      </c>
      <c r="AB128" s="0" t="s">
        <v>146</v>
      </c>
      <c r="AC128" s="57" t="n">
        <f aca="false">C113</f>
        <v>0</v>
      </c>
      <c r="AD128" s="57"/>
      <c r="AE128" s="62" t="n">
        <v>0</v>
      </c>
      <c r="AF128" s="35" t="n">
        <f aca="false">COS(AF126)</f>
        <v>0.999999500000042</v>
      </c>
      <c r="AG128" s="35" t="n">
        <f aca="false">-SIN(AF126)</f>
        <v>-0.000999999833333342</v>
      </c>
      <c r="AH128" s="63" t="n">
        <v>0</v>
      </c>
      <c r="AI128" s="86"/>
      <c r="AJ128" s="35" t="n">
        <v>0</v>
      </c>
      <c r="AK128" s="35" t="n">
        <v>1</v>
      </c>
      <c r="AL128" s="35" t="n">
        <v>0</v>
      </c>
      <c r="AM128" s="35" t="n">
        <v>0</v>
      </c>
      <c r="AN128" s="86"/>
      <c r="AO128" s="35" t="n">
        <f aca="false">SIN(AP126)</f>
        <v>0.000999999833333342</v>
      </c>
      <c r="AP128" s="35" t="n">
        <f aca="false">AO127</f>
        <v>0.999999500000042</v>
      </c>
      <c r="AQ128" s="35" t="n">
        <v>0</v>
      </c>
      <c r="AR128" s="35" t="n">
        <v>0</v>
      </c>
      <c r="AS128" s="86"/>
      <c r="AT128" s="57" t="s">
        <v>147</v>
      </c>
      <c r="AU128" s="35" t="n">
        <v>-0.499999916666671</v>
      </c>
      <c r="AV128" s="35" t="n">
        <f aca="false">AU128-$AC128</f>
        <v>-0.499999916666671</v>
      </c>
      <c r="AW128" s="35" t="n">
        <f aca="false">AV128/AF126</f>
        <v>-499.999916666671</v>
      </c>
      <c r="AX128" s="86"/>
      <c r="AY128" s="57" t="s">
        <v>147</v>
      </c>
      <c r="AZ128" s="35" t="n">
        <v>0</v>
      </c>
      <c r="BA128" s="35" t="n">
        <f aca="false">AZ128-$AC128</f>
        <v>0</v>
      </c>
      <c r="BB128" s="35" t="n">
        <f aca="false">BA128/AK126</f>
        <v>0</v>
      </c>
      <c r="BC128" s="86"/>
      <c r="BD128" s="57" t="s">
        <v>147</v>
      </c>
      <c r="BE128" s="35" t="n">
        <v>0.449999925000004</v>
      </c>
      <c r="BF128" s="35" t="n">
        <f aca="false">BE128-$AC128</f>
        <v>0.449999925000004</v>
      </c>
      <c r="BG128" s="35" t="n">
        <f aca="false">BF128/AP126</f>
        <v>449.999925000004</v>
      </c>
    </row>
    <row r="129" customFormat="false" ht="15.6" hidden="false" customHeight="false" outlineLevel="0" collapsed="false">
      <c r="A129" s="112"/>
      <c r="B129" s="81" t="s">
        <v>148</v>
      </c>
      <c r="C129" s="59" t="n">
        <v>-196</v>
      </c>
      <c r="E129" s="55" t="s">
        <v>35</v>
      </c>
      <c r="F129" s="35" t="n">
        <v>0</v>
      </c>
      <c r="G129" s="83" t="n">
        <f aca="false">CS_4_Legs!G7</f>
        <v>0</v>
      </c>
      <c r="H129" s="83" t="n">
        <f aca="false">CS_4_Legs!H7</f>
        <v>0</v>
      </c>
      <c r="I129" s="83" t="n">
        <f aca="false">CS_4_Legs!I7</f>
        <v>0</v>
      </c>
      <c r="J129" s="83" t="n">
        <f aca="false">CS_4_Legs!J7</f>
        <v>0</v>
      </c>
      <c r="K129" s="83" t="n">
        <f aca="false">CS_4_Legs!K7</f>
        <v>0</v>
      </c>
      <c r="L129" s="83" t="n">
        <f aca="false">CS_4_Legs!L7</f>
        <v>0</v>
      </c>
      <c r="M129" s="57" t="n">
        <f aca="false">C129</f>
        <v>-196</v>
      </c>
      <c r="N129" s="55" t="s">
        <v>34</v>
      </c>
      <c r="O129" s="71" t="n">
        <f aca="false">AW128</f>
        <v>-499.999916666671</v>
      </c>
      <c r="P129" s="71" t="n">
        <f aca="false">BB128</f>
        <v>0</v>
      </c>
      <c r="Q129" s="71" t="n">
        <f aca="false">BG128</f>
        <v>449.999925000004</v>
      </c>
      <c r="AB129" s="0" t="s">
        <v>149</v>
      </c>
      <c r="AC129" s="57" t="n">
        <f aca="false">C114</f>
        <v>500</v>
      </c>
      <c r="AD129" s="57"/>
      <c r="AE129" s="62" t="n">
        <v>0</v>
      </c>
      <c r="AF129" s="35" t="n">
        <f aca="false">-AG128</f>
        <v>0.000999999833333342</v>
      </c>
      <c r="AG129" s="35" t="n">
        <f aca="false">AF128</f>
        <v>0.999999500000042</v>
      </c>
      <c r="AH129" s="63" t="n">
        <v>0</v>
      </c>
      <c r="AI129" s="86"/>
      <c r="AJ129" s="35" t="n">
        <f aca="false">-SIN(AK126)</f>
        <v>-0.000999999833333342</v>
      </c>
      <c r="AK129" s="35" t="n">
        <v>0</v>
      </c>
      <c r="AL129" s="35" t="n">
        <f aca="false">COS(AK126)</f>
        <v>0.999999500000042</v>
      </c>
      <c r="AM129" s="35" t="n">
        <v>0</v>
      </c>
      <c r="AN129" s="86"/>
      <c r="AO129" s="35" t="n">
        <v>0</v>
      </c>
      <c r="AP129" s="35" t="n">
        <v>0</v>
      </c>
      <c r="AQ129" s="35" t="n">
        <v>1</v>
      </c>
      <c r="AR129" s="35" t="n">
        <v>0</v>
      </c>
      <c r="AS129" s="86"/>
      <c r="AT129" s="57" t="s">
        <v>150</v>
      </c>
      <c r="AU129" s="35" t="n">
        <v>499.999750000021</v>
      </c>
      <c r="AV129" s="35" t="n">
        <f aca="false">AU129-$AC129</f>
        <v>-0.000249999979189397</v>
      </c>
      <c r="AW129" s="35" t="n">
        <f aca="false">AV129/AF126</f>
        <v>-0.249999979189397</v>
      </c>
      <c r="AX129" s="86"/>
      <c r="AY129" s="57" t="s">
        <v>150</v>
      </c>
      <c r="AZ129" s="35" t="n">
        <v>499.549750075021</v>
      </c>
      <c r="BA129" s="35" t="n">
        <f aca="false">AZ129-$AC129</f>
        <v>-0.450249924979175</v>
      </c>
      <c r="BB129" s="35" t="n">
        <f aca="false">BA129/AK126</f>
        <v>-450.249924979175</v>
      </c>
      <c r="BC129" s="86"/>
      <c r="BD129" s="57" t="s">
        <v>150</v>
      </c>
      <c r="BE129" s="35" t="n">
        <v>500</v>
      </c>
      <c r="BF129" s="35" t="n">
        <f aca="false">BE129-$AC129</f>
        <v>0</v>
      </c>
      <c r="BG129" s="35" t="n">
        <f aca="false">BF129/AP126</f>
        <v>0</v>
      </c>
    </row>
    <row r="130" customFormat="false" ht="15" hidden="false" customHeight="true" outlineLevel="0" collapsed="false">
      <c r="A130" s="112"/>
      <c r="B130" s="81" t="s">
        <v>101</v>
      </c>
      <c r="C130" s="59" t="n">
        <v>1</v>
      </c>
      <c r="E130" s="55" t="s">
        <v>97</v>
      </c>
      <c r="F130" s="35" t="n">
        <v>0</v>
      </c>
      <c r="G130" s="83" t="n">
        <f aca="false">CS_4_Legs!G8</f>
        <v>0</v>
      </c>
      <c r="H130" s="83" t="n">
        <f aca="false">CS_4_Legs!H8</f>
        <v>0</v>
      </c>
      <c r="I130" s="83" t="n">
        <f aca="false">CS_4_Legs!I8</f>
        <v>0</v>
      </c>
      <c r="J130" s="83" t="n">
        <f aca="false">CS_4_Legs!J8</f>
        <v>0</v>
      </c>
      <c r="K130" s="83" t="n">
        <f aca="false">CS_4_Legs!K8</f>
        <v>0</v>
      </c>
      <c r="L130" s="83" t="n">
        <f aca="false">CS_4_Legs!L8</f>
        <v>0</v>
      </c>
      <c r="M130" s="57" t="n">
        <f aca="false">C131</f>
        <v>-98000</v>
      </c>
      <c r="N130" s="55" t="s">
        <v>35</v>
      </c>
      <c r="O130" s="71" t="n">
        <f aca="false">AW129</f>
        <v>-0.249999979189397</v>
      </c>
      <c r="P130" s="71" t="n">
        <f aca="false">BB129</f>
        <v>-450.249924979175</v>
      </c>
      <c r="Q130" s="71" t="n">
        <f aca="false">BG129</f>
        <v>0</v>
      </c>
      <c r="AC130" s="57" t="n">
        <v>1</v>
      </c>
      <c r="AD130" s="57"/>
      <c r="AE130" s="62" t="n">
        <v>0</v>
      </c>
      <c r="AF130" s="35" t="n">
        <v>0</v>
      </c>
      <c r="AG130" s="35" t="n">
        <v>0</v>
      </c>
      <c r="AH130" s="63" t="n">
        <v>1</v>
      </c>
      <c r="AI130" s="86"/>
      <c r="AJ130" s="35" t="n">
        <v>0</v>
      </c>
      <c r="AK130" s="35" t="n">
        <v>0</v>
      </c>
      <c r="AL130" s="35" t="n">
        <v>0</v>
      </c>
      <c r="AM130" s="35" t="n">
        <v>1</v>
      </c>
      <c r="AN130" s="86"/>
      <c r="AO130" s="35" t="n">
        <v>0</v>
      </c>
      <c r="AP130" s="35" t="n">
        <v>0</v>
      </c>
      <c r="AQ130" s="35" t="n">
        <v>0</v>
      </c>
      <c r="AR130" s="35" t="n">
        <v>1</v>
      </c>
      <c r="AS130" s="86"/>
      <c r="AT130" s="57"/>
      <c r="AU130" s="35" t="n">
        <v>1</v>
      </c>
      <c r="AV130" s="35"/>
      <c r="AW130" s="35"/>
      <c r="AX130" s="86"/>
      <c r="AY130" s="57"/>
      <c r="AZ130" s="35" t="n">
        <v>1</v>
      </c>
      <c r="BA130" s="35"/>
      <c r="BB130" s="35"/>
      <c r="BC130" s="86"/>
      <c r="BD130" s="57"/>
      <c r="BE130" s="35" t="n">
        <v>1</v>
      </c>
      <c r="BF130" s="35"/>
      <c r="BG130" s="35"/>
    </row>
    <row r="131" customFormat="false" ht="15" hidden="false" customHeight="true" outlineLevel="0" collapsed="false">
      <c r="A131" s="112"/>
      <c r="B131" s="81" t="s">
        <v>151</v>
      </c>
      <c r="C131" s="59" t="n">
        <f aca="false" t="array" ref="C131:C134">MMULT(O99:R102,E107:E110)</f>
        <v>-98000</v>
      </c>
      <c r="E131" s="55" t="s">
        <v>100</v>
      </c>
      <c r="F131" s="35" t="n">
        <v>0</v>
      </c>
      <c r="G131" s="83" t="n">
        <f aca="false">CS_4_Legs!G9</f>
        <v>0</v>
      </c>
      <c r="H131" s="83" t="n">
        <f aca="false">CS_4_Legs!H9</f>
        <v>0</v>
      </c>
      <c r="I131" s="83" t="n">
        <f aca="false">CS_4_Legs!I9</f>
        <v>0</v>
      </c>
      <c r="J131" s="83" t="n">
        <f aca="false">CS_4_Legs!J9</f>
        <v>0</v>
      </c>
      <c r="K131" s="83" t="n">
        <f aca="false">CS_4_Legs!K9</f>
        <v>0</v>
      </c>
      <c r="L131" s="83" t="n">
        <f aca="false">CS_4_Legs!L9</f>
        <v>0</v>
      </c>
      <c r="M131" s="57" t="n">
        <f aca="false">C132</f>
        <v>88200</v>
      </c>
      <c r="O131" s="89" t="s">
        <v>152</v>
      </c>
      <c r="T131" s="89" t="s">
        <v>153</v>
      </c>
      <c r="AE131" s="0" t="s">
        <v>154</v>
      </c>
      <c r="AJ131" s="0" t="s">
        <v>155</v>
      </c>
      <c r="AO131" s="0" t="s">
        <v>156</v>
      </c>
    </row>
    <row r="132" customFormat="false" ht="15" hidden="false" customHeight="true" outlineLevel="0" collapsed="false">
      <c r="A132" s="112"/>
      <c r="B132" s="81" t="s">
        <v>157</v>
      </c>
      <c r="C132" s="59" t="n">
        <v>88200</v>
      </c>
      <c r="E132" s="55" t="s">
        <v>104</v>
      </c>
      <c r="F132" s="35" t="n">
        <v>0</v>
      </c>
      <c r="G132" s="83" t="n">
        <f aca="false">CS_4_Legs!G10</f>
        <v>0</v>
      </c>
      <c r="H132" s="83" t="n">
        <f aca="false">CS_4_Legs!H10</f>
        <v>0</v>
      </c>
      <c r="I132" s="83" t="n">
        <f aca="false">CS_4_Legs!I10</f>
        <v>0</v>
      </c>
      <c r="J132" s="83" t="n">
        <f aca="false">CS_4_Legs!J10</f>
        <v>0</v>
      </c>
      <c r="K132" s="83" t="n">
        <f aca="false">CS_4_Legs!K10</f>
        <v>0</v>
      </c>
      <c r="L132" s="83" t="n">
        <f aca="false">CS_4_Legs!L10</f>
        <v>0</v>
      </c>
      <c r="M132" s="57" t="n">
        <f aca="false">C133</f>
        <v>0</v>
      </c>
      <c r="O132" s="71" t="n">
        <f aca="false" t="array" ref="O132:R135">MMULT(AO132:AR135,MMULT(AJ132:AM135,AE132:AH135))</f>
        <v>1</v>
      </c>
      <c r="P132" s="71" t="n">
        <v>0</v>
      </c>
      <c r="Q132" s="71" t="n">
        <v>0</v>
      </c>
      <c r="R132" s="71" t="n">
        <v>0</v>
      </c>
      <c r="S132" s="90"/>
      <c r="T132" s="71" t="n">
        <f aca="false" t="array" ref="T132:W135">IF(A153=1,MMULT(T165:W168,O132:R135),T$363:W$366)</f>
        <v>1</v>
      </c>
      <c r="U132" s="71" t="n">
        <v>0</v>
      </c>
      <c r="V132" s="71" t="n">
        <v>0</v>
      </c>
      <c r="W132" s="71" t="n">
        <v>0</v>
      </c>
      <c r="X132" s="71"/>
      <c r="Y132" s="71"/>
      <c r="Z132" s="71"/>
      <c r="AA132" s="71"/>
      <c r="AB132" s="0" t="s">
        <v>158</v>
      </c>
      <c r="AC132" s="57" t="n">
        <f aca="false" t="array" ref="AC132:AC135">MMULT(O132:R135,AC127:AC130)</f>
        <v>450</v>
      </c>
      <c r="AD132" s="57"/>
      <c r="AE132" s="91" t="n">
        <v>1</v>
      </c>
      <c r="AF132" s="57" t="n">
        <v>0</v>
      </c>
      <c r="AG132" s="57" t="n">
        <v>0</v>
      </c>
      <c r="AH132" s="92" t="n">
        <v>0</v>
      </c>
      <c r="AJ132" s="91" t="n">
        <f aca="false">COS(PI()*C117/180)</f>
        <v>1</v>
      </c>
      <c r="AK132" s="57" t="n">
        <v>0</v>
      </c>
      <c r="AL132" s="57" t="n">
        <f aca="false">SIN(PI()*C117/180)</f>
        <v>0</v>
      </c>
      <c r="AM132" s="92" t="n">
        <v>0</v>
      </c>
      <c r="AO132" s="91" t="n">
        <f aca="false">COS(PI()*C118/180)</f>
        <v>1</v>
      </c>
      <c r="AP132" s="57" t="n">
        <f aca="false">-SIN(PI()*C118/180)</f>
        <v>0</v>
      </c>
      <c r="AQ132" s="57" t="n">
        <v>0</v>
      </c>
      <c r="AR132" s="92" t="n">
        <v>0</v>
      </c>
    </row>
    <row r="133" customFormat="false" ht="15" hidden="false" customHeight="true" outlineLevel="0" collapsed="false">
      <c r="A133" s="112"/>
      <c r="B133" s="81" t="s">
        <v>159</v>
      </c>
      <c r="C133" s="59" t="n">
        <v>0</v>
      </c>
      <c r="G133" s="113"/>
      <c r="H133" s="113"/>
      <c r="I133" s="113"/>
      <c r="J133" s="93"/>
      <c r="K133" s="93"/>
      <c r="L133" s="93"/>
      <c r="M133" s="93"/>
      <c r="O133" s="71" t="n">
        <v>0</v>
      </c>
      <c r="P133" s="71" t="n">
        <v>1</v>
      </c>
      <c r="Q133" s="71" t="n">
        <v>0</v>
      </c>
      <c r="R133" s="71" t="n">
        <v>0</v>
      </c>
      <c r="S133" s="90"/>
      <c r="T133" s="71" t="n">
        <v>0</v>
      </c>
      <c r="U133" s="71" t="n">
        <v>1</v>
      </c>
      <c r="V133" s="71" t="n">
        <v>0</v>
      </c>
      <c r="W133" s="71" t="n">
        <v>0</v>
      </c>
      <c r="X133" s="71"/>
      <c r="Y133" s="71"/>
      <c r="Z133" s="71"/>
      <c r="AA133" s="71"/>
      <c r="AB133" s="0" t="s">
        <v>160</v>
      </c>
      <c r="AC133" s="57" t="n">
        <v>0</v>
      </c>
      <c r="AD133" s="57"/>
      <c r="AE133" s="91" t="n">
        <v>0</v>
      </c>
      <c r="AF133" s="57" t="n">
        <f aca="false">COS(PI()*C116/180)</f>
        <v>1</v>
      </c>
      <c r="AG133" s="57" t="n">
        <f aca="false">-SIN(PI()*C116/180)</f>
        <v>0</v>
      </c>
      <c r="AH133" s="92" t="n">
        <v>0</v>
      </c>
      <c r="AJ133" s="91" t="n">
        <v>0</v>
      </c>
      <c r="AK133" s="57" t="n">
        <v>1</v>
      </c>
      <c r="AL133" s="57" t="n">
        <v>0</v>
      </c>
      <c r="AM133" s="92" t="n">
        <v>0</v>
      </c>
      <c r="AO133" s="91" t="n">
        <f aca="false">SIN(PI()*C118/180)</f>
        <v>0</v>
      </c>
      <c r="AP133" s="57" t="n">
        <f aca="false">AO132</f>
        <v>1</v>
      </c>
      <c r="AQ133" s="57" t="n">
        <v>0</v>
      </c>
      <c r="AR133" s="92" t="n">
        <v>0</v>
      </c>
    </row>
    <row r="134" customFormat="false" ht="15" hidden="false" customHeight="true" outlineLevel="0" collapsed="false">
      <c r="A134" s="112"/>
      <c r="B134" s="81" t="s">
        <v>101</v>
      </c>
      <c r="C134" s="59" t="n">
        <v>1</v>
      </c>
      <c r="G134" s="113"/>
      <c r="H134" s="113"/>
      <c r="I134" s="113"/>
      <c r="J134" s="93"/>
      <c r="K134" s="93"/>
      <c r="L134" s="93"/>
      <c r="M134" s="93"/>
      <c r="O134" s="71" t="n">
        <v>0</v>
      </c>
      <c r="P134" s="71" t="n">
        <v>0</v>
      </c>
      <c r="Q134" s="71" t="n">
        <v>1</v>
      </c>
      <c r="R134" s="71" t="n">
        <v>0</v>
      </c>
      <c r="S134" s="90"/>
      <c r="T134" s="71" t="n">
        <v>0</v>
      </c>
      <c r="U134" s="71" t="n">
        <v>0</v>
      </c>
      <c r="V134" s="71" t="n">
        <v>1</v>
      </c>
      <c r="W134" s="71" t="n">
        <v>0</v>
      </c>
      <c r="X134" s="71"/>
      <c r="Y134" s="71"/>
      <c r="Z134" s="71"/>
      <c r="AA134" s="71"/>
      <c r="AB134" s="0" t="s">
        <v>161</v>
      </c>
      <c r="AC134" s="57" t="n">
        <v>500</v>
      </c>
      <c r="AD134" s="57"/>
      <c r="AE134" s="91" t="n">
        <v>0</v>
      </c>
      <c r="AF134" s="57" t="n">
        <f aca="false">SIN(PI()*C116/180)</f>
        <v>0</v>
      </c>
      <c r="AG134" s="57" t="n">
        <f aca="false">AF133</f>
        <v>1</v>
      </c>
      <c r="AH134" s="92" t="n">
        <v>0</v>
      </c>
      <c r="AJ134" s="91" t="n">
        <f aca="false">-SIN(PI()*C117/180)</f>
        <v>0</v>
      </c>
      <c r="AK134" s="57" t="n">
        <v>0</v>
      </c>
      <c r="AL134" s="57" t="n">
        <f aca="false">AJ132</f>
        <v>1</v>
      </c>
      <c r="AM134" s="92" t="n">
        <v>0</v>
      </c>
      <c r="AO134" s="91" t="n">
        <v>0</v>
      </c>
      <c r="AP134" s="57" t="n">
        <v>0</v>
      </c>
      <c r="AQ134" s="57" t="n">
        <v>1</v>
      </c>
      <c r="AR134" s="92" t="n">
        <v>0</v>
      </c>
    </row>
    <row r="135" s="96" customFormat="true" ht="15.6" hidden="false" customHeight="false" outlineLevel="0" collapsed="false">
      <c r="A135" s="112"/>
      <c r="B135" s="11" t="s">
        <v>169</v>
      </c>
      <c r="D135" s="11" t="s">
        <v>163</v>
      </c>
      <c r="G135" s="102"/>
      <c r="H135" s="102"/>
      <c r="I135" s="102"/>
      <c r="J135" s="114"/>
      <c r="K135" s="114"/>
      <c r="L135" s="114"/>
      <c r="M135" s="114"/>
      <c r="O135" s="98" t="n">
        <v>0</v>
      </c>
      <c r="P135" s="98" t="n">
        <v>0</v>
      </c>
      <c r="Q135" s="98" t="n">
        <v>0</v>
      </c>
      <c r="R135" s="98" t="n">
        <v>1</v>
      </c>
      <c r="S135" s="99"/>
      <c r="T135" s="98" t="n">
        <v>0</v>
      </c>
      <c r="U135" s="98" t="n">
        <v>0</v>
      </c>
      <c r="V135" s="98" t="n">
        <v>0</v>
      </c>
      <c r="W135" s="98" t="n">
        <v>1</v>
      </c>
      <c r="X135" s="98"/>
      <c r="Y135" s="98"/>
      <c r="Z135" s="98"/>
      <c r="AA135" s="98"/>
      <c r="AC135" s="100" t="n">
        <v>1</v>
      </c>
      <c r="AD135" s="100"/>
      <c r="AE135" s="100" t="n">
        <v>0</v>
      </c>
      <c r="AF135" s="100" t="n">
        <v>0</v>
      </c>
      <c r="AG135" s="100" t="n">
        <v>0</v>
      </c>
      <c r="AH135" s="100" t="n">
        <v>1</v>
      </c>
      <c r="AJ135" s="100" t="n">
        <v>0</v>
      </c>
      <c r="AK135" s="100" t="n">
        <v>0</v>
      </c>
      <c r="AL135" s="100" t="n">
        <v>0</v>
      </c>
      <c r="AM135" s="100" t="n">
        <v>1</v>
      </c>
      <c r="AO135" s="100" t="n">
        <v>0</v>
      </c>
      <c r="AP135" s="100" t="n">
        <v>0</v>
      </c>
      <c r="AQ135" s="100" t="n">
        <v>0</v>
      </c>
      <c r="AR135" s="100" t="n">
        <v>1</v>
      </c>
    </row>
    <row r="136" customFormat="false" ht="15.6" hidden="false" customHeight="false" outlineLevel="0" collapsed="false">
      <c r="A136" s="112"/>
      <c r="B136" s="81" t="s">
        <v>139</v>
      </c>
      <c r="C136" s="82" t="n">
        <v>0</v>
      </c>
      <c r="D136" s="81" t="s">
        <v>139</v>
      </c>
      <c r="E136" s="59" t="n">
        <f aca="false">C127+C136</f>
        <v>0</v>
      </c>
      <c r="F136" s="103"/>
      <c r="G136" s="114"/>
      <c r="H136" s="120"/>
      <c r="I136" s="114"/>
      <c r="J136" s="114"/>
      <c r="K136" s="114"/>
      <c r="L136" s="114"/>
      <c r="M136" s="114"/>
      <c r="O136" s="98"/>
      <c r="P136" s="98"/>
      <c r="Q136" s="98"/>
      <c r="R136" s="98"/>
      <c r="S136" s="99"/>
      <c r="T136" s="98"/>
      <c r="U136" s="98"/>
      <c r="V136" s="98"/>
      <c r="W136" s="98"/>
      <c r="X136" s="98"/>
      <c r="Y136" s="98"/>
      <c r="Z136" s="98"/>
      <c r="AA136" s="98"/>
      <c r="AC136" s="100"/>
      <c r="AD136" s="100"/>
      <c r="AE136" s="100"/>
      <c r="AF136" s="100"/>
      <c r="AG136" s="100"/>
      <c r="AH136" s="100"/>
      <c r="AJ136" s="100"/>
      <c r="AK136" s="100"/>
      <c r="AL136" s="100"/>
      <c r="AM136" s="100"/>
      <c r="AO136" s="100"/>
      <c r="AP136" s="100"/>
      <c r="AQ136" s="100"/>
      <c r="AR136" s="100"/>
    </row>
    <row r="137" customFormat="false" ht="15.6" hidden="false" customHeight="false" outlineLevel="0" collapsed="false">
      <c r="A137" s="112"/>
      <c r="B137" s="81" t="s">
        <v>145</v>
      </c>
      <c r="C137" s="82" t="n">
        <v>0</v>
      </c>
      <c r="D137" s="81" t="s">
        <v>145</v>
      </c>
      <c r="E137" s="59" t="n">
        <f aca="false">C128+C137</f>
        <v>0</v>
      </c>
      <c r="F137" s="103"/>
      <c r="G137" s="114"/>
      <c r="H137" s="120"/>
      <c r="I137" s="114"/>
      <c r="J137" s="114"/>
      <c r="K137" s="114"/>
      <c r="L137" s="114"/>
      <c r="M137" s="114"/>
      <c r="O137" s="98"/>
      <c r="P137" s="98"/>
      <c r="Q137" s="98"/>
      <c r="R137" s="98"/>
      <c r="S137" s="99"/>
      <c r="T137" s="98"/>
      <c r="U137" s="98"/>
      <c r="V137" s="98"/>
      <c r="W137" s="98"/>
      <c r="X137" s="98"/>
      <c r="Y137" s="98"/>
      <c r="Z137" s="98"/>
      <c r="AA137" s="98"/>
      <c r="AC137" s="100"/>
      <c r="AD137" s="100"/>
      <c r="AE137" s="100"/>
      <c r="AF137" s="100"/>
      <c r="AG137" s="100"/>
      <c r="AH137" s="100"/>
      <c r="AJ137" s="100"/>
      <c r="AK137" s="100"/>
      <c r="AL137" s="100"/>
      <c r="AM137" s="100"/>
      <c r="AO137" s="100"/>
      <c r="AP137" s="100"/>
      <c r="AQ137" s="100"/>
      <c r="AR137" s="100"/>
    </row>
    <row r="138" customFormat="false" ht="15.6" hidden="false" customHeight="false" outlineLevel="0" collapsed="false">
      <c r="A138" s="112"/>
      <c r="B138" s="81" t="s">
        <v>148</v>
      </c>
      <c r="C138" s="82" t="n">
        <v>0</v>
      </c>
      <c r="D138" s="81" t="s">
        <v>148</v>
      </c>
      <c r="E138" s="59" t="n">
        <f aca="false">C129+C138</f>
        <v>-196</v>
      </c>
      <c r="F138" s="103"/>
      <c r="G138" s="114"/>
      <c r="H138" s="120"/>
      <c r="I138" s="114"/>
      <c r="J138" s="114"/>
      <c r="K138" s="114"/>
      <c r="L138" s="114"/>
      <c r="M138" s="114"/>
      <c r="O138" s="98"/>
      <c r="P138" s="98"/>
      <c r="Q138" s="98"/>
      <c r="R138" s="98"/>
      <c r="S138" s="99"/>
      <c r="T138" s="98"/>
      <c r="U138" s="98"/>
      <c r="V138" s="98"/>
      <c r="W138" s="98"/>
      <c r="X138" s="98"/>
      <c r="Y138" s="98"/>
      <c r="Z138" s="98"/>
      <c r="AA138" s="98"/>
      <c r="AC138" s="100"/>
      <c r="AD138" s="100"/>
      <c r="AE138" s="100"/>
      <c r="AF138" s="100"/>
      <c r="AG138" s="100"/>
      <c r="AH138" s="100"/>
      <c r="AJ138" s="100"/>
      <c r="AK138" s="100"/>
      <c r="AL138" s="100"/>
      <c r="AM138" s="100"/>
      <c r="AO138" s="100"/>
      <c r="AP138" s="100"/>
      <c r="AQ138" s="100"/>
      <c r="AR138" s="100"/>
    </row>
    <row r="139" customFormat="false" ht="15.6" hidden="false" customHeight="false" outlineLevel="0" collapsed="false">
      <c r="A139" s="112"/>
      <c r="B139" s="103" t="s">
        <v>101</v>
      </c>
      <c r="C139" s="115" t="n">
        <v>1</v>
      </c>
      <c r="D139" s="103" t="s">
        <v>101</v>
      </c>
      <c r="E139" s="115" t="n">
        <v>1</v>
      </c>
      <c r="F139" s="103"/>
      <c r="G139" s="114"/>
      <c r="H139" s="120"/>
      <c r="I139" s="114"/>
      <c r="J139" s="114"/>
      <c r="K139" s="114"/>
      <c r="L139" s="114"/>
      <c r="M139" s="114"/>
      <c r="O139" s="98"/>
      <c r="P139" s="98"/>
      <c r="Q139" s="98"/>
      <c r="R139" s="98"/>
      <c r="S139" s="99"/>
      <c r="T139" s="98"/>
      <c r="U139" s="98"/>
      <c r="V139" s="98"/>
      <c r="W139" s="98"/>
      <c r="X139" s="98"/>
      <c r="Y139" s="98"/>
      <c r="Z139" s="98"/>
      <c r="AA139" s="98"/>
      <c r="AC139" s="100"/>
      <c r="AD139" s="100"/>
      <c r="AE139" s="100"/>
      <c r="AF139" s="100"/>
      <c r="AG139" s="100"/>
      <c r="AH139" s="100"/>
      <c r="AJ139" s="100"/>
      <c r="AK139" s="100"/>
      <c r="AL139" s="100"/>
      <c r="AM139" s="100"/>
      <c r="AO139" s="100"/>
      <c r="AP139" s="100"/>
      <c r="AQ139" s="100"/>
      <c r="AR139" s="100"/>
    </row>
    <row r="140" customFormat="false" ht="15.6" hidden="false" customHeight="false" outlineLevel="0" collapsed="false">
      <c r="A140" s="112"/>
      <c r="B140" s="81" t="s">
        <v>151</v>
      </c>
      <c r="C140" s="82" t="n">
        <v>0</v>
      </c>
      <c r="D140" s="81" t="s">
        <v>151</v>
      </c>
      <c r="E140" s="59" t="n">
        <f aca="false">C131+C140+C129*C87-C128*C88</f>
        <v>0</v>
      </c>
      <c r="F140" s="103"/>
      <c r="G140" s="114"/>
      <c r="H140" s="120"/>
      <c r="I140" s="114"/>
      <c r="J140" s="114"/>
      <c r="K140" s="114"/>
      <c r="L140" s="114"/>
      <c r="M140" s="114"/>
      <c r="O140" s="98"/>
      <c r="P140" s="98"/>
      <c r="Q140" s="98"/>
      <c r="R140" s="98"/>
      <c r="S140" s="99"/>
      <c r="T140" s="98"/>
      <c r="U140" s="98"/>
      <c r="V140" s="98"/>
      <c r="W140" s="98"/>
      <c r="X140" s="98"/>
      <c r="Y140" s="98"/>
      <c r="Z140" s="98"/>
      <c r="AA140" s="98"/>
      <c r="AC140" s="100"/>
      <c r="AD140" s="100"/>
      <c r="AE140" s="100"/>
      <c r="AF140" s="100"/>
      <c r="AG140" s="100"/>
      <c r="AH140" s="100"/>
      <c r="AJ140" s="100"/>
      <c r="AK140" s="100"/>
      <c r="AL140" s="100"/>
      <c r="AM140" s="100"/>
      <c r="AO140" s="100"/>
      <c r="AP140" s="100"/>
      <c r="AQ140" s="100"/>
      <c r="AR140" s="100"/>
    </row>
    <row r="141" customFormat="false" ht="15.6" hidden="false" customHeight="false" outlineLevel="0" collapsed="false">
      <c r="A141" s="112"/>
      <c r="B141" s="81" t="s">
        <v>157</v>
      </c>
      <c r="C141" s="82" t="n">
        <v>0</v>
      </c>
      <c r="D141" s="81" t="s">
        <v>157</v>
      </c>
      <c r="E141" s="59" t="n">
        <f aca="false">C132+C141+C127*C88-C129*C86</f>
        <v>88200</v>
      </c>
      <c r="F141" s="103"/>
      <c r="G141" s="114"/>
      <c r="H141" s="120"/>
      <c r="I141" s="114"/>
      <c r="J141" s="114"/>
      <c r="K141" s="114"/>
      <c r="L141" s="114"/>
      <c r="M141" s="114"/>
      <c r="O141" s="98"/>
      <c r="P141" s="98"/>
      <c r="Q141" s="98"/>
      <c r="R141" s="98"/>
      <c r="S141" s="99"/>
      <c r="T141" s="98"/>
      <c r="U141" s="98"/>
      <c r="V141" s="98"/>
      <c r="W141" s="98"/>
      <c r="X141" s="98"/>
      <c r="Y141" s="98"/>
      <c r="Z141" s="98"/>
      <c r="AA141" s="98"/>
      <c r="AC141" s="100"/>
      <c r="AD141" s="100"/>
      <c r="AE141" s="100"/>
      <c r="AF141" s="100"/>
      <c r="AG141" s="100"/>
      <c r="AH141" s="100"/>
      <c r="AJ141" s="100"/>
      <c r="AK141" s="100"/>
      <c r="AL141" s="100"/>
      <c r="AM141" s="100"/>
      <c r="AO141" s="100"/>
      <c r="AP141" s="100"/>
      <c r="AQ141" s="100"/>
      <c r="AR141" s="100"/>
    </row>
    <row r="142" customFormat="false" ht="15.6" hidden="false" customHeight="false" outlineLevel="0" collapsed="false">
      <c r="A142" s="112"/>
      <c r="B142" s="81" t="s">
        <v>159</v>
      </c>
      <c r="C142" s="82" t="n">
        <v>0</v>
      </c>
      <c r="D142" s="81" t="s">
        <v>159</v>
      </c>
      <c r="E142" s="59" t="n">
        <f aca="false">C133+C142+C128*C86-C127*C87</f>
        <v>0</v>
      </c>
      <c r="F142" s="103"/>
      <c r="G142" s="114"/>
      <c r="H142" s="120"/>
      <c r="I142" s="114"/>
      <c r="J142" s="114"/>
      <c r="K142" s="114"/>
      <c r="L142" s="114"/>
      <c r="M142" s="114"/>
      <c r="O142" s="98"/>
      <c r="P142" s="98"/>
      <c r="Q142" s="98"/>
      <c r="R142" s="98"/>
      <c r="S142" s="99"/>
      <c r="T142" s="98"/>
      <c r="U142" s="98"/>
      <c r="V142" s="98"/>
      <c r="W142" s="98"/>
      <c r="X142" s="98"/>
      <c r="Y142" s="98"/>
      <c r="Z142" s="98"/>
      <c r="AA142" s="98"/>
      <c r="AC142" s="100"/>
      <c r="AD142" s="100"/>
      <c r="AE142" s="100"/>
      <c r="AF142" s="100"/>
      <c r="AG142" s="100"/>
      <c r="AH142" s="100"/>
      <c r="AJ142" s="100"/>
      <c r="AK142" s="100"/>
      <c r="AL142" s="100"/>
      <c r="AM142" s="100"/>
      <c r="AO142" s="100"/>
      <c r="AP142" s="100"/>
      <c r="AQ142" s="100"/>
      <c r="AR142" s="100"/>
    </row>
    <row r="143" s="36" customFormat="true" ht="16.2" hidden="false" customHeight="false" outlineLevel="0" collapsed="false">
      <c r="A143" s="112"/>
      <c r="B143" s="105" t="s">
        <v>101</v>
      </c>
      <c r="C143" s="106" t="n">
        <v>1</v>
      </c>
      <c r="D143" s="105" t="s">
        <v>101</v>
      </c>
      <c r="E143" s="106" t="n">
        <v>1</v>
      </c>
      <c r="F143" s="105"/>
      <c r="G143" s="116"/>
      <c r="H143" s="121"/>
      <c r="I143" s="116"/>
      <c r="J143" s="116"/>
      <c r="K143" s="116"/>
      <c r="L143" s="116"/>
      <c r="M143" s="116"/>
      <c r="O143" s="117"/>
      <c r="P143" s="117"/>
      <c r="Q143" s="117"/>
      <c r="R143" s="117"/>
      <c r="S143" s="109"/>
      <c r="T143" s="117"/>
      <c r="U143" s="117"/>
      <c r="V143" s="117"/>
      <c r="W143" s="117"/>
      <c r="X143" s="117"/>
      <c r="Y143" s="117"/>
      <c r="Z143" s="117"/>
      <c r="AA143" s="117"/>
      <c r="AC143" s="118"/>
      <c r="AD143" s="118"/>
      <c r="AE143" s="118"/>
      <c r="AF143" s="118"/>
      <c r="AG143" s="118"/>
      <c r="AH143" s="118"/>
      <c r="AJ143" s="118"/>
      <c r="AK143" s="118"/>
      <c r="AL143" s="118"/>
      <c r="AM143" s="118"/>
      <c r="AO143" s="118"/>
      <c r="AP143" s="118"/>
      <c r="AQ143" s="118"/>
      <c r="AR143" s="118"/>
    </row>
    <row r="144" customFormat="false" ht="15" hidden="false" customHeight="true" outlineLevel="0" collapsed="false">
      <c r="A144" s="50" t="s">
        <v>176</v>
      </c>
      <c r="B144" s="51" t="s">
        <v>165</v>
      </c>
      <c r="E144" s="9" t="s">
        <v>177</v>
      </c>
    </row>
    <row r="145" customFormat="false" ht="15" hidden="false" customHeight="true" outlineLevel="0" collapsed="false">
      <c r="A145" s="50"/>
      <c r="B145" s="52" t="s">
        <v>88</v>
      </c>
      <c r="C145" s="111" t="n">
        <f aca="false">C123</f>
        <v>450</v>
      </c>
      <c r="E145" s="1" t="s">
        <v>89</v>
      </c>
      <c r="F145" s="1"/>
      <c r="G145" s="1" t="s">
        <v>90</v>
      </c>
      <c r="H145" s="1"/>
      <c r="N145" s="11" t="s">
        <v>91</v>
      </c>
      <c r="O145" s="9"/>
      <c r="P145" s="54"/>
      <c r="Q145" s="9"/>
      <c r="R145" s="9"/>
      <c r="S145" s="11" t="s">
        <v>38</v>
      </c>
      <c r="Y145" s="11" t="s">
        <v>92</v>
      </c>
    </row>
    <row r="146" customFormat="false" ht="15" hidden="false" customHeight="true" outlineLevel="0" collapsed="false">
      <c r="A146" s="50"/>
      <c r="B146" s="52" t="s">
        <v>93</v>
      </c>
      <c r="C146" s="111" t="n">
        <f aca="false">C124</f>
        <v>0</v>
      </c>
      <c r="E146" s="55" t="s">
        <v>33</v>
      </c>
      <c r="F146" s="34" t="n">
        <f aca="false">'CS_5 Bridge'!B45</f>
        <v>0.005</v>
      </c>
      <c r="G146" s="55" t="s">
        <v>33</v>
      </c>
      <c r="H146" s="34" t="n">
        <f aca="false">'CS_5 Bridge'!B52</f>
        <v>0</v>
      </c>
      <c r="O146" s="0" t="s">
        <v>42</v>
      </c>
      <c r="P146" s="31" t="s">
        <v>43</v>
      </c>
      <c r="Q146" s="17" t="s">
        <v>44</v>
      </c>
      <c r="R146" s="17" t="s">
        <v>45</v>
      </c>
      <c r="T146" s="0" t="s">
        <v>42</v>
      </c>
      <c r="U146" s="31" t="s">
        <v>43</v>
      </c>
      <c r="V146" s="17" t="s">
        <v>44</v>
      </c>
      <c r="W146" s="17" t="s">
        <v>45</v>
      </c>
      <c r="Y146" s="0" t="s">
        <v>42</v>
      </c>
      <c r="Z146" s="31" t="s">
        <v>43</v>
      </c>
      <c r="AA146" s="17" t="s">
        <v>44</v>
      </c>
      <c r="AB146" s="17" t="s">
        <v>45</v>
      </c>
    </row>
    <row r="147" customFormat="false" ht="15" hidden="false" customHeight="true" outlineLevel="0" collapsed="false">
      <c r="A147" s="50"/>
      <c r="B147" s="52" t="s">
        <v>94</v>
      </c>
      <c r="C147" s="111" t="n">
        <f aca="false">C125</f>
        <v>500</v>
      </c>
      <c r="E147" s="55" t="s">
        <v>34</v>
      </c>
      <c r="F147" s="34" t="n">
        <f aca="false">'CS_5 Bridge'!B46</f>
        <v>0.005</v>
      </c>
      <c r="G147" s="55" t="s">
        <v>34</v>
      </c>
      <c r="H147" s="34" t="n">
        <f aca="false">'CS_5 Bridge'!B53</f>
        <v>0</v>
      </c>
      <c r="N147" s="55" t="s">
        <v>33</v>
      </c>
      <c r="O147" s="56" t="n">
        <f aca="false">ABS(F146)</f>
        <v>0.005</v>
      </c>
      <c r="P147" s="56" t="n">
        <f aca="false">ABS(F149*O161)</f>
        <v>0</v>
      </c>
      <c r="Q147" s="56" t="n">
        <f aca="false">ABS(F150*P161)</f>
        <v>0.0499774911687705</v>
      </c>
      <c r="R147" s="56" t="n">
        <f aca="false">ABS(F151*Q161)</f>
        <v>2.24999981242036E-005</v>
      </c>
      <c r="S147" s="55" t="s">
        <v>33</v>
      </c>
      <c r="T147" s="35" t="n">
        <f aca="false" t="array" ref="T147:W150">ABS(MMULT(T165:W168,O147:R150))</f>
        <v>0.005</v>
      </c>
      <c r="U147" s="35" t="n">
        <v>0</v>
      </c>
      <c r="V147" s="35" t="n">
        <v>0.0499774911687705</v>
      </c>
      <c r="W147" s="35" t="n">
        <v>2.24999981242036E-005</v>
      </c>
      <c r="X147" s="32" t="s">
        <v>33</v>
      </c>
      <c r="Y147" s="35" t="n">
        <f aca="false">F153+F160</f>
        <v>0</v>
      </c>
      <c r="Z147" s="57" t="n">
        <f aca="false">F156*O161</f>
        <v>0</v>
      </c>
      <c r="AA147" s="57" t="n">
        <f aca="false">F157*P161</f>
        <v>0.002203566669249</v>
      </c>
      <c r="AB147" s="57" t="n">
        <f aca="false">F158*Q161</f>
        <v>-0</v>
      </c>
    </row>
    <row r="148" customFormat="false" ht="15" hidden="false" customHeight="true" outlineLevel="0" collapsed="false">
      <c r="A148" s="58" t="n">
        <v>5</v>
      </c>
      <c r="B148" s="9" t="s">
        <v>95</v>
      </c>
      <c r="E148" s="55" t="s">
        <v>35</v>
      </c>
      <c r="F148" s="34" t="n">
        <f aca="false">'CS_5 Bridge'!B47</f>
        <v>0.005</v>
      </c>
      <c r="G148" s="55" t="s">
        <v>35</v>
      </c>
      <c r="H148" s="34" t="n">
        <f aca="false">'CS_5 Bridge'!B54</f>
        <v>0</v>
      </c>
      <c r="N148" s="55" t="s">
        <v>34</v>
      </c>
      <c r="O148" s="56" t="n">
        <f aca="false">ABS(F147)</f>
        <v>0.005</v>
      </c>
      <c r="P148" s="56" t="n">
        <f aca="false">ABS(F149*O162)</f>
        <v>0.0499999916666671</v>
      </c>
      <c r="Q148" s="56" t="n">
        <f aca="false">ABS(F150*P162)</f>
        <v>0</v>
      </c>
      <c r="R148" s="56" t="n">
        <f aca="false">ABS(F151*Q162)</f>
        <v>0.0449999925000004</v>
      </c>
      <c r="S148" s="55" t="s">
        <v>34</v>
      </c>
      <c r="T148" s="35" t="n">
        <v>0.005</v>
      </c>
      <c r="U148" s="35" t="n">
        <v>0.0499999916666671</v>
      </c>
      <c r="V148" s="35" t="n">
        <v>0</v>
      </c>
      <c r="W148" s="35" t="n">
        <v>0.0449999925000004</v>
      </c>
      <c r="X148" s="32" t="s">
        <v>34</v>
      </c>
      <c r="Y148" s="35" t="n">
        <f aca="false">F154+F161</f>
        <v>0</v>
      </c>
      <c r="Z148" s="57" t="n">
        <f aca="false">F156*O162</f>
        <v>-0</v>
      </c>
      <c r="AA148" s="57" t="n">
        <f aca="false">F157*P162</f>
        <v>0</v>
      </c>
      <c r="AB148" s="57" t="n">
        <f aca="false">F158*Q162</f>
        <v>0</v>
      </c>
    </row>
    <row r="149" customFormat="false" ht="15" hidden="false" customHeight="true" outlineLevel="0" collapsed="false">
      <c r="A149" s="59" t="n">
        <f aca="false">IF(A148&gt;Naxes,0,1)</f>
        <v>0</v>
      </c>
      <c r="B149" s="60" t="s">
        <v>96</v>
      </c>
      <c r="C149" s="47" t="n">
        <v>0</v>
      </c>
      <c r="E149" s="55" t="s">
        <v>97</v>
      </c>
      <c r="F149" s="34" t="n">
        <f aca="false">'CS_5 Bridge'!B48</f>
        <v>0.0001</v>
      </c>
      <c r="G149" s="55" t="s">
        <v>97</v>
      </c>
      <c r="H149" s="34" t="n">
        <f aca="false">'CS_5 Bridge'!B55</f>
        <v>0</v>
      </c>
      <c r="N149" s="55" t="s">
        <v>35</v>
      </c>
      <c r="O149" s="56" t="n">
        <f aca="false">ABS(F148)</f>
        <v>0.005</v>
      </c>
      <c r="P149" s="56" t="n">
        <f aca="false">ABS(F149*O163)</f>
        <v>2.49999979189397E-005</v>
      </c>
      <c r="Q149" s="56" t="n">
        <f aca="false">ABS(F150*P163)</f>
        <v>0.0450249920476677</v>
      </c>
      <c r="R149" s="56" t="n">
        <f aca="false">ABS(F151*Q163)</f>
        <v>0</v>
      </c>
      <c r="S149" s="55" t="s">
        <v>35</v>
      </c>
      <c r="T149" s="35" t="n">
        <v>0.005</v>
      </c>
      <c r="U149" s="35" t="n">
        <v>2.49999979189397E-005</v>
      </c>
      <c r="V149" s="35" t="n">
        <v>0.0450249920476677</v>
      </c>
      <c r="W149" s="35" t="n">
        <v>0</v>
      </c>
      <c r="X149" s="32" t="s">
        <v>35</v>
      </c>
      <c r="Y149" s="35" t="n">
        <f aca="false">F155+F162</f>
        <v>-0.000243411106402572</v>
      </c>
      <c r="Z149" s="57" t="n">
        <f aca="false">F156*O163</f>
        <v>-0</v>
      </c>
      <c r="AA149" s="57" t="n">
        <f aca="false">F157*P163</f>
        <v>-0.00198520512813254</v>
      </c>
      <c r="AB149" s="57" t="n">
        <f aca="false">F158*Q163</f>
        <v>0</v>
      </c>
    </row>
    <row r="150" customFormat="false" ht="15" hidden="false" customHeight="true" outlineLevel="0" collapsed="false">
      <c r="A150" s="61" t="s">
        <v>98</v>
      </c>
      <c r="B150" s="60" t="s">
        <v>99</v>
      </c>
      <c r="C150" s="47" t="n">
        <v>0</v>
      </c>
      <c r="E150" s="55" t="s">
        <v>100</v>
      </c>
      <c r="F150" s="34" t="n">
        <f aca="false">'CS_5 Bridge'!B49</f>
        <v>9.99999990000001E-005</v>
      </c>
      <c r="G150" s="55" t="s">
        <v>100</v>
      </c>
      <c r="H150" s="34" t="n">
        <f aca="false">'CS_5 Bridge'!B56</f>
        <v>0</v>
      </c>
      <c r="N150" s="41" t="s">
        <v>101</v>
      </c>
      <c r="O150" s="57" t="n">
        <v>1</v>
      </c>
      <c r="P150" s="57" t="n">
        <v>1</v>
      </c>
      <c r="Q150" s="57" t="n">
        <v>1</v>
      </c>
      <c r="R150" s="57" t="n">
        <v>1</v>
      </c>
      <c r="S150" s="41" t="s">
        <v>101</v>
      </c>
      <c r="T150" s="35" t="n">
        <v>1</v>
      </c>
      <c r="U150" s="35" t="n">
        <v>1</v>
      </c>
      <c r="V150" s="35" t="n">
        <v>1</v>
      </c>
      <c r="W150" s="35" t="n">
        <v>1</v>
      </c>
      <c r="X150" s="41" t="s">
        <v>101</v>
      </c>
      <c r="Y150" s="57" t="n">
        <v>1</v>
      </c>
      <c r="Z150" s="57" t="n">
        <v>1</v>
      </c>
      <c r="AA150" s="57" t="n">
        <v>1</v>
      </c>
      <c r="AB150" s="57" t="n">
        <v>1</v>
      </c>
    </row>
    <row r="151" customFormat="false" ht="15" hidden="false" customHeight="true" outlineLevel="0" collapsed="false">
      <c r="A151" s="61"/>
      <c r="B151" s="60" t="s">
        <v>102</v>
      </c>
      <c r="C151" s="47" t="n">
        <v>0</v>
      </c>
      <c r="E151" s="55" t="s">
        <v>104</v>
      </c>
      <c r="F151" s="34" t="n">
        <f aca="false">'CS_5 Bridge'!B50</f>
        <v>0.0001</v>
      </c>
      <c r="G151" s="55" t="s">
        <v>104</v>
      </c>
      <c r="H151" s="34" t="n">
        <f aca="false">'CS_5 Bridge'!B57</f>
        <v>0</v>
      </c>
      <c r="X151" s="41"/>
    </row>
    <row r="152" customFormat="false" ht="31.05" hidden="false" customHeight="true" outlineLevel="0" collapsed="false">
      <c r="A152" s="61"/>
      <c r="B152" s="60" t="s">
        <v>105</v>
      </c>
      <c r="C152" s="47" t="n">
        <v>0</v>
      </c>
      <c r="E152" s="18" t="s">
        <v>106</v>
      </c>
      <c r="F152" s="18"/>
      <c r="G152" s="1" t="s">
        <v>107</v>
      </c>
      <c r="H152" s="1"/>
      <c r="I152" s="18" t="s">
        <v>108</v>
      </c>
      <c r="J152" s="18"/>
      <c r="K152" s="18" t="s">
        <v>109</v>
      </c>
      <c r="L152" s="18"/>
      <c r="N152" s="11" t="s">
        <v>110</v>
      </c>
      <c r="O152" s="9"/>
      <c r="P152" s="54"/>
      <c r="Q152" s="9"/>
      <c r="R152" s="9"/>
      <c r="S152" s="11" t="s">
        <v>39</v>
      </c>
      <c r="X152" s="41"/>
      <c r="Y152" s="11" t="s">
        <v>111</v>
      </c>
    </row>
    <row r="153" customFormat="false" ht="15" hidden="false" customHeight="true" outlineLevel="0" collapsed="false">
      <c r="A153" s="61"/>
      <c r="B153" s="60" t="s">
        <v>112</v>
      </c>
      <c r="C153" s="65" t="n">
        <v>0</v>
      </c>
      <c r="E153" s="55" t="s">
        <v>33</v>
      </c>
      <c r="F153" s="35" t="n">
        <f aca="false">E169/IF(H153=0,1000000000000,H153)</f>
        <v>0</v>
      </c>
      <c r="G153" s="55" t="s">
        <v>113</v>
      </c>
      <c r="H153" s="57" t="n">
        <f aca="false">'CS_5 Bridge'!B25</f>
        <v>4000000</v>
      </c>
      <c r="I153" s="55" t="s">
        <v>97</v>
      </c>
      <c r="J153" s="35" t="n">
        <f aca="false">A182*F196</f>
        <v>0</v>
      </c>
      <c r="K153" s="55" t="s">
        <v>97</v>
      </c>
      <c r="L153" s="68" t="n">
        <f aca="false" t="array" ref="L153:L156">MMULT(MINVERSE(O165:R168),J153:J156)</f>
        <v>0</v>
      </c>
      <c r="O153" s="0" t="s">
        <v>42</v>
      </c>
      <c r="P153" s="31" t="s">
        <v>43</v>
      </c>
      <c r="Q153" s="17" t="s">
        <v>44</v>
      </c>
      <c r="R153" s="17" t="s">
        <v>45</v>
      </c>
      <c r="T153" s="0" t="s">
        <v>42</v>
      </c>
      <c r="U153" s="31" t="s">
        <v>43</v>
      </c>
      <c r="V153" s="17" t="s">
        <v>44</v>
      </c>
      <c r="W153" s="17" t="s">
        <v>45</v>
      </c>
      <c r="X153" s="41"/>
      <c r="Y153" s="0" t="s">
        <v>42</v>
      </c>
      <c r="Z153" s="31" t="s">
        <v>43</v>
      </c>
      <c r="AA153" s="17" t="s">
        <v>44</v>
      </c>
      <c r="AB153" s="17" t="s">
        <v>45</v>
      </c>
    </row>
    <row r="154" customFormat="false" ht="15" hidden="false" customHeight="true" outlineLevel="0" collapsed="false">
      <c r="A154" s="112" t="s">
        <v>178</v>
      </c>
      <c r="B154" s="60" t="s">
        <v>115</v>
      </c>
      <c r="C154" s="122" t="n">
        <f aca="false">'CS_6 X-axis'!B12+'CS_5 Bridge'!B13/2</f>
        <v>801.6</v>
      </c>
      <c r="E154" s="55" t="s">
        <v>34</v>
      </c>
      <c r="F154" s="35" t="n">
        <f aca="false">E170/IF(H154=0,1000000000000,H154)</f>
        <v>0</v>
      </c>
      <c r="G154" s="55" t="s">
        <v>116</v>
      </c>
      <c r="H154" s="57" t="n">
        <f aca="false">'CS_5 Bridge'!B26</f>
        <v>4000000</v>
      </c>
      <c r="I154" s="55" t="s">
        <v>100</v>
      </c>
      <c r="J154" s="35" t="n">
        <f aca="false">A182*F197</f>
        <v>0</v>
      </c>
      <c r="K154" s="55" t="s">
        <v>100</v>
      </c>
      <c r="L154" s="68" t="n">
        <v>0</v>
      </c>
      <c r="N154" s="55" t="s">
        <v>33</v>
      </c>
      <c r="O154" s="56" t="n">
        <f aca="false">H146</f>
        <v>0</v>
      </c>
      <c r="P154" s="56" t="n">
        <f aca="false">H149*O161</f>
        <v>0</v>
      </c>
      <c r="Q154" s="56" t="n">
        <f aca="false">H150*P161</f>
        <v>0</v>
      </c>
      <c r="R154" s="56" t="n">
        <f aca="false">H151*Q161</f>
        <v>-0</v>
      </c>
      <c r="S154" s="55" t="s">
        <v>33</v>
      </c>
      <c r="T154" s="56" t="n">
        <f aca="false" t="array" ref="T154:T157">MMULT(T165:W168,O154:O157)</f>
        <v>0</v>
      </c>
      <c r="U154" s="56" t="n">
        <f aca="false" t="array" ref="U154:U157">MMULT(T165:W168,P154:P157)</f>
        <v>0</v>
      </c>
      <c r="V154" s="56" t="n">
        <f aca="false" t="array" ref="V154:V157">MMULT(T165:W168,Q154:Q157)</f>
        <v>0</v>
      </c>
      <c r="W154" s="56" t="n">
        <f aca="false" t="array" ref="W154:W157">MMULT(T165:W168,R154:R157)</f>
        <v>0</v>
      </c>
      <c r="X154" s="32" t="s">
        <v>33</v>
      </c>
      <c r="Y154" s="57" t="n">
        <f aca="false" t="array" ref="Y154:Y157">MMULT(T165:W168,Y147:Y150)</f>
        <v>0</v>
      </c>
      <c r="Z154" s="57" t="n">
        <f aca="false" t="array" ref="Z154:Z157">MMULT(T165:W168,Z147:Z150)</f>
        <v>0</v>
      </c>
      <c r="AA154" s="57" t="n">
        <f aca="false" t="array" ref="AA154:AA157">MMULT(T165:W168,AA147:AA150)</f>
        <v>0.002203566669249</v>
      </c>
      <c r="AB154" s="57" t="n">
        <f aca="false" t="array" ref="AB154:AB157">MMULT(T165:W168,AB147:AB150)</f>
        <v>0</v>
      </c>
    </row>
    <row r="155" customFormat="false" ht="15" hidden="false" customHeight="true" outlineLevel="0" collapsed="false">
      <c r="A155" s="112"/>
      <c r="B155" s="11" t="s">
        <v>117</v>
      </c>
      <c r="E155" s="55" t="s">
        <v>35</v>
      </c>
      <c r="F155" s="35" t="n">
        <f aca="false">E171/IF(H155=0,1000000000000,H155)</f>
        <v>-4.9E-005</v>
      </c>
      <c r="G155" s="55" t="s">
        <v>118</v>
      </c>
      <c r="H155" s="57" t="n">
        <f aca="false">'CS_5 Bridge'!B27</f>
        <v>4000000</v>
      </c>
      <c r="I155" s="55" t="s">
        <v>104</v>
      </c>
      <c r="J155" s="35" t="n">
        <f aca="false">A182*F198</f>
        <v>0</v>
      </c>
      <c r="K155" s="55" t="s">
        <v>104</v>
      </c>
      <c r="L155" s="68" t="n">
        <v>0</v>
      </c>
      <c r="N155" s="55" t="s">
        <v>34</v>
      </c>
      <c r="O155" s="56" t="n">
        <f aca="false">H147</f>
        <v>0</v>
      </c>
      <c r="P155" s="56" t="n">
        <f aca="false">H149*O162</f>
        <v>-0</v>
      </c>
      <c r="Q155" s="56" t="n">
        <f aca="false">H150*P162</f>
        <v>0</v>
      </c>
      <c r="R155" s="56" t="n">
        <f aca="false">H151*Q162</f>
        <v>0</v>
      </c>
      <c r="S155" s="55" t="s">
        <v>34</v>
      </c>
      <c r="T155" s="56" t="n">
        <v>0</v>
      </c>
      <c r="U155" s="56" t="n">
        <v>0</v>
      </c>
      <c r="V155" s="56" t="n">
        <v>0</v>
      </c>
      <c r="W155" s="56" t="n">
        <v>0</v>
      </c>
      <c r="X155" s="32" t="s">
        <v>34</v>
      </c>
      <c r="Y155" s="57" t="n">
        <v>0</v>
      </c>
      <c r="Z155" s="57" t="n">
        <v>0</v>
      </c>
      <c r="AA155" s="57" t="n">
        <v>0</v>
      </c>
      <c r="AB155" s="57" t="n">
        <v>0</v>
      </c>
    </row>
    <row r="156" customFormat="false" ht="15" hidden="false" customHeight="true" outlineLevel="0" collapsed="false">
      <c r="A156" s="112"/>
      <c r="B156" s="52" t="s">
        <v>119</v>
      </c>
      <c r="C156" s="71" t="n">
        <f aca="false">AC165+C152</f>
        <v>450</v>
      </c>
      <c r="E156" s="55" t="s">
        <v>97</v>
      </c>
      <c r="F156" s="35" t="n">
        <f aca="false">E173/IF(H156=0,1000000000000,H156)+L153</f>
        <v>0</v>
      </c>
      <c r="G156" s="55" t="s">
        <v>120</v>
      </c>
      <c r="H156" s="57" t="n">
        <f aca="false">'CS_5 Bridge'!B29</f>
        <v>10004000000</v>
      </c>
      <c r="I156" s="55" t="s">
        <v>121</v>
      </c>
      <c r="J156" s="57" t="n">
        <v>1</v>
      </c>
      <c r="K156" s="55" t="s">
        <v>121</v>
      </c>
      <c r="L156" s="68" t="n">
        <v>1</v>
      </c>
      <c r="N156" s="55" t="s">
        <v>35</v>
      </c>
      <c r="O156" s="56" t="n">
        <f aca="false">H148</f>
        <v>0</v>
      </c>
      <c r="P156" s="56" t="n">
        <f aca="false">H149*O163</f>
        <v>-0</v>
      </c>
      <c r="Q156" s="56" t="n">
        <f aca="false">H150*P163</f>
        <v>-0</v>
      </c>
      <c r="R156" s="56" t="n">
        <f aca="false">H151*Q163</f>
        <v>0</v>
      </c>
      <c r="S156" s="55" t="s">
        <v>35</v>
      </c>
      <c r="T156" s="56" t="n">
        <v>0</v>
      </c>
      <c r="U156" s="56" t="n">
        <v>0</v>
      </c>
      <c r="V156" s="56" t="n">
        <v>0</v>
      </c>
      <c r="W156" s="56" t="n">
        <v>0</v>
      </c>
      <c r="X156" s="32" t="s">
        <v>35</v>
      </c>
      <c r="Y156" s="57" t="n">
        <v>-0.000243411106402572</v>
      </c>
      <c r="Z156" s="57" t="n">
        <v>0</v>
      </c>
      <c r="AA156" s="57" t="n">
        <v>-0.00198520512813254</v>
      </c>
      <c r="AB156" s="57" t="n">
        <v>0</v>
      </c>
    </row>
    <row r="157" customFormat="false" ht="15" hidden="false" customHeight="true" outlineLevel="0" collapsed="false">
      <c r="A157" s="112"/>
      <c r="B157" s="52" t="s">
        <v>122</v>
      </c>
      <c r="C157" s="71" t="n">
        <f aca="false">AC166+C153</f>
        <v>0</v>
      </c>
      <c r="E157" s="55" t="s">
        <v>100</v>
      </c>
      <c r="F157" s="35" t="n">
        <f aca="false">E174/IF(H157=0,1000000000000,H157)+L154</f>
        <v>4.40911817636473E-006</v>
      </c>
      <c r="G157" s="55" t="s">
        <v>123</v>
      </c>
      <c r="H157" s="57" t="n">
        <f aca="false">'CS_5 Bridge'!B30</f>
        <v>20004000000</v>
      </c>
      <c r="N157" s="41" t="s">
        <v>101</v>
      </c>
      <c r="O157" s="57" t="n">
        <v>1</v>
      </c>
      <c r="P157" s="57" t="n">
        <v>1</v>
      </c>
      <c r="Q157" s="57" t="n">
        <v>1</v>
      </c>
      <c r="R157" s="57" t="n">
        <v>1</v>
      </c>
      <c r="S157" s="41" t="s">
        <v>101</v>
      </c>
      <c r="T157" s="57" t="n">
        <v>1</v>
      </c>
      <c r="U157" s="57" t="n">
        <v>1</v>
      </c>
      <c r="V157" s="57" t="n">
        <v>1</v>
      </c>
      <c r="W157" s="57" t="n">
        <v>1</v>
      </c>
      <c r="X157" s="41" t="s">
        <v>101</v>
      </c>
      <c r="Y157" s="57" t="n">
        <v>1</v>
      </c>
      <c r="Z157" s="57" t="n">
        <v>1</v>
      </c>
      <c r="AA157" s="57" t="n">
        <v>1</v>
      </c>
      <c r="AB157" s="57" t="n">
        <v>1</v>
      </c>
    </row>
    <row r="158" customFormat="false" ht="15" hidden="false" customHeight="true" outlineLevel="0" collapsed="false">
      <c r="A158" s="112"/>
      <c r="B158" s="52" t="s">
        <v>124</v>
      </c>
      <c r="C158" s="71" t="n">
        <f aca="false">AC167+C154</f>
        <v>1301.6</v>
      </c>
      <c r="E158" s="55" t="s">
        <v>104</v>
      </c>
      <c r="F158" s="35" t="n">
        <f aca="false">E175/IF(H158=0,1000000000000,H158)+L155</f>
        <v>0</v>
      </c>
      <c r="G158" s="55" t="s">
        <v>125</v>
      </c>
      <c r="H158" s="57" t="n">
        <f aca="false">'CS_5 Bridge'!B31</f>
        <v>10004000000</v>
      </c>
      <c r="AB158" s="73"/>
      <c r="AU158" s="73" t="s">
        <v>126</v>
      </c>
      <c r="AZ158" s="73" t="s">
        <v>127</v>
      </c>
      <c r="BE158" s="73" t="s">
        <v>128</v>
      </c>
      <c r="BJ158" s="73" t="s">
        <v>128</v>
      </c>
    </row>
    <row r="159" customFormat="false" ht="31.2" hidden="false" customHeight="false" outlineLevel="0" collapsed="false">
      <c r="A159" s="112"/>
      <c r="B159" s="74" t="s">
        <v>168</v>
      </c>
      <c r="E159" s="1" t="s">
        <v>130</v>
      </c>
      <c r="F159" s="1"/>
      <c r="G159" s="75" t="s">
        <v>131</v>
      </c>
      <c r="H159" s="75"/>
      <c r="I159" s="75"/>
      <c r="J159" s="75"/>
      <c r="K159" s="75"/>
      <c r="L159" s="75"/>
      <c r="M159" s="3" t="s">
        <v>132</v>
      </c>
      <c r="N159" s="76" t="s">
        <v>133</v>
      </c>
      <c r="AE159" s="44" t="s">
        <v>134</v>
      </c>
      <c r="AF159" s="79" t="n">
        <v>0.001</v>
      </c>
      <c r="AG159" s="44"/>
      <c r="AH159" s="44"/>
      <c r="AI159" s="44"/>
      <c r="AJ159" s="44" t="s">
        <v>135</v>
      </c>
      <c r="AK159" s="80" t="n">
        <v>0.001</v>
      </c>
      <c r="AL159" s="31"/>
      <c r="AM159" s="31"/>
      <c r="AN159" s="44"/>
      <c r="AO159" s="44" t="s">
        <v>136</v>
      </c>
      <c r="AP159" s="79" t="n">
        <v>0.001</v>
      </c>
      <c r="AU159" s="31" t="s">
        <v>18</v>
      </c>
      <c r="AV159" s="31" t="s">
        <v>137</v>
      </c>
      <c r="AW159" s="31" t="s">
        <v>138</v>
      </c>
      <c r="AZ159" s="31" t="s">
        <v>18</v>
      </c>
      <c r="BA159" s="31" t="s">
        <v>137</v>
      </c>
      <c r="BB159" s="31" t="s">
        <v>138</v>
      </c>
      <c r="BE159" s="31" t="s">
        <v>18</v>
      </c>
      <c r="BF159" s="31" t="s">
        <v>137</v>
      </c>
      <c r="BG159" s="31" t="s">
        <v>138</v>
      </c>
    </row>
    <row r="160" customFormat="false" ht="15" hidden="false" customHeight="true" outlineLevel="0" collapsed="false">
      <c r="A160" s="112"/>
      <c r="B160" s="81" t="s">
        <v>139</v>
      </c>
      <c r="C160" s="59" t="n">
        <f aca="false" t="array" ref="C160:C163">MMULT(O132:R135,E136:E139)</f>
        <v>0</v>
      </c>
      <c r="E160" s="55" t="s">
        <v>33</v>
      </c>
      <c r="F160" s="35" t="n">
        <f aca="false" t="array" ref="F160:F165">MMULT(G160:L165,M160:M165)</f>
        <v>0</v>
      </c>
      <c r="G160" s="83" t="n">
        <f aca="false">'CS_5 Bridge'!G5</f>
        <v>9.91893400013124E-007</v>
      </c>
      <c r="H160" s="83" t="n">
        <f aca="false">'CS_5 Bridge'!H5</f>
        <v>0</v>
      </c>
      <c r="I160" s="83" t="n">
        <f aca="false">'CS_5 Bridge'!I5</f>
        <v>0</v>
      </c>
      <c r="J160" s="83" t="n">
        <f aca="false">'CS_5 Bridge'!J5</f>
        <v>0</v>
      </c>
      <c r="K160" s="83" t="n">
        <f aca="false">'CS_5 Bridge'!K5</f>
        <v>0</v>
      </c>
      <c r="L160" s="83" t="n">
        <f aca="false">'CS_5 Bridge'!L5</f>
        <v>-9.15593907704422E-009</v>
      </c>
      <c r="M160" s="57" t="n">
        <f aca="false">C160</f>
        <v>0</v>
      </c>
      <c r="O160" s="31" t="s">
        <v>140</v>
      </c>
      <c r="P160" s="17" t="s">
        <v>141</v>
      </c>
      <c r="Q160" s="17" t="s">
        <v>142</v>
      </c>
      <c r="R160" s="17"/>
      <c r="S160" s="17"/>
      <c r="T160" s="17"/>
      <c r="U160" s="17"/>
      <c r="V160" s="17"/>
      <c r="W160" s="17"/>
      <c r="X160" s="17"/>
      <c r="Y160" s="17"/>
      <c r="Z160" s="17"/>
      <c r="AA160" s="17"/>
      <c r="AB160" s="0" t="s">
        <v>143</v>
      </c>
      <c r="AC160" s="57" t="n">
        <f aca="false">C145</f>
        <v>450</v>
      </c>
      <c r="AD160" s="57"/>
      <c r="AE160" s="62" t="n">
        <v>1</v>
      </c>
      <c r="AF160" s="35" t="n">
        <v>0</v>
      </c>
      <c r="AG160" s="35" t="n">
        <v>0</v>
      </c>
      <c r="AH160" s="63" t="n">
        <v>0</v>
      </c>
      <c r="AI160" s="86"/>
      <c r="AJ160" s="35" t="n">
        <f aca="false">COS(AK159)</f>
        <v>0.999999500000042</v>
      </c>
      <c r="AK160" s="35" t="n">
        <v>0</v>
      </c>
      <c r="AL160" s="35" t="n">
        <f aca="false">-AJ162</f>
        <v>0.000999999833333342</v>
      </c>
      <c r="AM160" s="35" t="n">
        <v>0</v>
      </c>
      <c r="AN160" s="86"/>
      <c r="AO160" s="35" t="n">
        <f aca="false">COS(AP159)</f>
        <v>0.999999500000042</v>
      </c>
      <c r="AP160" s="35" t="n">
        <f aca="false">-AO161</f>
        <v>-0.000999999833333342</v>
      </c>
      <c r="AQ160" s="35" t="n">
        <v>0</v>
      </c>
      <c r="AR160" s="35" t="n">
        <v>0</v>
      </c>
      <c r="AS160" s="86"/>
      <c r="AT160" s="57" t="s">
        <v>144</v>
      </c>
      <c r="AU160" s="35" t="n">
        <f aca="false" t="array" ref="AU160:AU163">MMULT(AE160:AH163,$AC160:$AC163)</f>
        <v>450</v>
      </c>
      <c r="AV160" s="35" t="n">
        <f aca="false">AU160-$AC160</f>
        <v>0</v>
      </c>
      <c r="AW160" s="35" t="n">
        <f aca="false">AV160/AF159</f>
        <v>0</v>
      </c>
      <c r="AX160" s="86"/>
      <c r="AY160" s="57" t="s">
        <v>144</v>
      </c>
      <c r="AZ160" s="35" t="n">
        <f aca="false" t="array" ref="AZ160:AZ163">MMULT(AJ160:AM163,$AC160:$AC163)</f>
        <v>450.499774916685</v>
      </c>
      <c r="BA160" s="35" t="n">
        <f aca="false">AZ160-$AC160</f>
        <v>0.499774916685453</v>
      </c>
      <c r="BB160" s="35" t="n">
        <f aca="false">BA160/AK159</f>
        <v>499.774916685453</v>
      </c>
      <c r="BC160" s="86"/>
      <c r="BD160" s="57" t="s">
        <v>144</v>
      </c>
      <c r="BE160" s="35" t="n">
        <f aca="false" t="array" ref="BE160:BE163">MMULT(AO160:AR163,$AC160:$AC163)</f>
        <v>449.999775000019</v>
      </c>
      <c r="BF160" s="35" t="n">
        <f aca="false">BE160-$AC160</f>
        <v>-0.000224999981242036</v>
      </c>
      <c r="BG160" s="35" t="n">
        <f aca="false">BF160/AP159</f>
        <v>-0.224999981242036</v>
      </c>
    </row>
    <row r="161" customFormat="false" ht="15.6" hidden="false" customHeight="false" outlineLevel="0" collapsed="false">
      <c r="A161" s="112"/>
      <c r="B161" s="81" t="s">
        <v>145</v>
      </c>
      <c r="C161" s="59" t="n">
        <v>0</v>
      </c>
      <c r="E161" s="55" t="s">
        <v>34</v>
      </c>
      <c r="F161" s="35" t="n">
        <v>0</v>
      </c>
      <c r="G161" s="83" t="n">
        <f aca="false">'CS_5 Bridge'!G6</f>
        <v>0</v>
      </c>
      <c r="H161" s="83" t="n">
        <f aca="false">'CS_5 Bridge'!H6</f>
        <v>1.39061699793517E-007</v>
      </c>
      <c r="I161" s="83" t="n">
        <f aca="false">'CS_5 Bridge'!I6</f>
        <v>0</v>
      </c>
      <c r="J161" s="83" t="n">
        <f aca="false">'CS_5 Bridge'!J6</f>
        <v>0</v>
      </c>
      <c r="K161" s="83" t="n">
        <f aca="false">'CS_5 Bridge'!K6</f>
        <v>0</v>
      </c>
      <c r="L161" s="83" t="n">
        <f aca="false">'CS_5 Bridge'!L6</f>
        <v>0</v>
      </c>
      <c r="M161" s="57" t="n">
        <f aca="false">C161</f>
        <v>0</v>
      </c>
      <c r="N161" s="55" t="s">
        <v>33</v>
      </c>
      <c r="O161" s="71" t="n">
        <f aca="false">AW160</f>
        <v>0</v>
      </c>
      <c r="P161" s="71" t="n">
        <f aca="false">BB160</f>
        <v>499.774916685453</v>
      </c>
      <c r="Q161" s="71" t="n">
        <f aca="false">BG160</f>
        <v>-0.224999981242036</v>
      </c>
      <c r="AB161" s="0" t="s">
        <v>146</v>
      </c>
      <c r="AC161" s="57" t="n">
        <f aca="false">C146</f>
        <v>0</v>
      </c>
      <c r="AD161" s="57"/>
      <c r="AE161" s="62" t="n">
        <v>0</v>
      </c>
      <c r="AF161" s="35" t="n">
        <f aca="false">COS(AF159)</f>
        <v>0.999999500000042</v>
      </c>
      <c r="AG161" s="35" t="n">
        <f aca="false">-SIN(AF159)</f>
        <v>-0.000999999833333342</v>
      </c>
      <c r="AH161" s="63" t="n">
        <v>0</v>
      </c>
      <c r="AI161" s="86"/>
      <c r="AJ161" s="35" t="n">
        <v>0</v>
      </c>
      <c r="AK161" s="35" t="n">
        <v>1</v>
      </c>
      <c r="AL161" s="35" t="n">
        <v>0</v>
      </c>
      <c r="AM161" s="35" t="n">
        <v>0</v>
      </c>
      <c r="AN161" s="86"/>
      <c r="AO161" s="35" t="n">
        <f aca="false">SIN(AP159)</f>
        <v>0.000999999833333342</v>
      </c>
      <c r="AP161" s="35" t="n">
        <f aca="false">AO160</f>
        <v>0.999999500000042</v>
      </c>
      <c r="AQ161" s="35" t="n">
        <v>0</v>
      </c>
      <c r="AR161" s="35" t="n">
        <v>0</v>
      </c>
      <c r="AS161" s="86"/>
      <c r="AT161" s="57" t="s">
        <v>147</v>
      </c>
      <c r="AU161" s="35" t="n">
        <v>-0.499999916666671</v>
      </c>
      <c r="AV161" s="35" t="n">
        <f aca="false">AU161-$AC161</f>
        <v>-0.499999916666671</v>
      </c>
      <c r="AW161" s="35" t="n">
        <f aca="false">AV161/AF159</f>
        <v>-499.999916666671</v>
      </c>
      <c r="AX161" s="86"/>
      <c r="AY161" s="57" t="s">
        <v>147</v>
      </c>
      <c r="AZ161" s="35" t="n">
        <v>0</v>
      </c>
      <c r="BA161" s="35" t="n">
        <f aca="false">AZ161-$AC161</f>
        <v>0</v>
      </c>
      <c r="BB161" s="35" t="n">
        <f aca="false">BA161/AK159</f>
        <v>0</v>
      </c>
      <c r="BC161" s="86"/>
      <c r="BD161" s="57" t="s">
        <v>147</v>
      </c>
      <c r="BE161" s="35" t="n">
        <v>0.449999925000004</v>
      </c>
      <c r="BF161" s="35" t="n">
        <f aca="false">BE161-$AC161</f>
        <v>0.449999925000004</v>
      </c>
      <c r="BG161" s="35" t="n">
        <f aca="false">BF161/AP159</f>
        <v>449.999925000004</v>
      </c>
    </row>
    <row r="162" customFormat="false" ht="15.6" hidden="false" customHeight="false" outlineLevel="0" collapsed="false">
      <c r="A162" s="112"/>
      <c r="B162" s="81" t="s">
        <v>148</v>
      </c>
      <c r="C162" s="59" t="n">
        <v>-196</v>
      </c>
      <c r="E162" s="55" t="s">
        <v>35</v>
      </c>
      <c r="F162" s="35" t="n">
        <v>-0.000194411106402572</v>
      </c>
      <c r="G162" s="83" t="n">
        <f aca="false">'CS_5 Bridge'!G7</f>
        <v>0</v>
      </c>
      <c r="H162" s="83" t="n">
        <f aca="false">'CS_5 Bridge'!H7</f>
        <v>0</v>
      </c>
      <c r="I162" s="83" t="n">
        <f aca="false">'CS_5 Bridge'!I7</f>
        <v>9.91893400013124E-007</v>
      </c>
      <c r="J162" s="83" t="n">
        <f aca="false">'CS_5 Bridge'!J7</f>
        <v>2.74678172311327E-008</v>
      </c>
      <c r="K162" s="83" t="n">
        <f aca="false">'CS_5 Bridge'!K7</f>
        <v>0</v>
      </c>
      <c r="L162" s="83" t="n">
        <f aca="false">'CS_5 Bridge'!L7</f>
        <v>0</v>
      </c>
      <c r="M162" s="57" t="n">
        <f aca="false">C162</f>
        <v>-196</v>
      </c>
      <c r="N162" s="55" t="s">
        <v>34</v>
      </c>
      <c r="O162" s="71" t="n">
        <f aca="false">AW161</f>
        <v>-499.999916666671</v>
      </c>
      <c r="P162" s="71" t="n">
        <f aca="false">BB161</f>
        <v>0</v>
      </c>
      <c r="Q162" s="71" t="n">
        <f aca="false">BG161</f>
        <v>449.999925000004</v>
      </c>
      <c r="AB162" s="0" t="s">
        <v>149</v>
      </c>
      <c r="AC162" s="57" t="n">
        <f aca="false">C147</f>
        <v>500</v>
      </c>
      <c r="AD162" s="57"/>
      <c r="AE162" s="62" t="n">
        <v>0</v>
      </c>
      <c r="AF162" s="35" t="n">
        <f aca="false">-AG161</f>
        <v>0.000999999833333342</v>
      </c>
      <c r="AG162" s="35" t="n">
        <f aca="false">AF161</f>
        <v>0.999999500000042</v>
      </c>
      <c r="AH162" s="63" t="n">
        <v>0</v>
      </c>
      <c r="AI162" s="86"/>
      <c r="AJ162" s="35" t="n">
        <f aca="false">-SIN(AK159)</f>
        <v>-0.000999999833333342</v>
      </c>
      <c r="AK162" s="35" t="n">
        <v>0</v>
      </c>
      <c r="AL162" s="35" t="n">
        <f aca="false">COS(AK159)</f>
        <v>0.999999500000042</v>
      </c>
      <c r="AM162" s="35" t="n">
        <v>0</v>
      </c>
      <c r="AN162" s="86"/>
      <c r="AO162" s="35" t="n">
        <v>0</v>
      </c>
      <c r="AP162" s="35" t="n">
        <v>0</v>
      </c>
      <c r="AQ162" s="35" t="n">
        <v>1</v>
      </c>
      <c r="AR162" s="35" t="n">
        <v>0</v>
      </c>
      <c r="AS162" s="86"/>
      <c r="AT162" s="57" t="s">
        <v>150</v>
      </c>
      <c r="AU162" s="35" t="n">
        <v>499.999750000021</v>
      </c>
      <c r="AV162" s="35" t="n">
        <f aca="false">AU162-$AC162</f>
        <v>-0.000249999979189397</v>
      </c>
      <c r="AW162" s="35" t="n">
        <f aca="false">AV162/AF159</f>
        <v>-0.249999979189397</v>
      </c>
      <c r="AX162" s="86"/>
      <c r="AY162" s="57" t="s">
        <v>150</v>
      </c>
      <c r="AZ162" s="35" t="n">
        <v>499.549750075021</v>
      </c>
      <c r="BA162" s="35" t="n">
        <f aca="false">AZ162-$AC162</f>
        <v>-0.450249924979175</v>
      </c>
      <c r="BB162" s="35" t="n">
        <f aca="false">BA162/AK159</f>
        <v>-450.249924979175</v>
      </c>
      <c r="BC162" s="86"/>
      <c r="BD162" s="57" t="s">
        <v>150</v>
      </c>
      <c r="BE162" s="35" t="n">
        <v>500</v>
      </c>
      <c r="BF162" s="35" t="n">
        <f aca="false">BE162-$AC162</f>
        <v>0</v>
      </c>
      <c r="BG162" s="35" t="n">
        <f aca="false">BF162/AP159</f>
        <v>0</v>
      </c>
    </row>
    <row r="163" customFormat="false" ht="15" hidden="false" customHeight="true" outlineLevel="0" collapsed="false">
      <c r="A163" s="112"/>
      <c r="B163" s="81" t="s">
        <v>101</v>
      </c>
      <c r="C163" s="59" t="n">
        <v>1</v>
      </c>
      <c r="E163" s="55" t="s">
        <v>97</v>
      </c>
      <c r="F163" s="35" t="n">
        <v>-5.383692177302E-006</v>
      </c>
      <c r="G163" s="83" t="n">
        <f aca="false">'CS_5 Bridge'!G8</f>
        <v>0</v>
      </c>
      <c r="H163" s="83" t="n">
        <f aca="false">'CS_5 Bridge'!H8</f>
        <v>0</v>
      </c>
      <c r="I163" s="83" t="n">
        <f aca="false">'CS_5 Bridge'!I8</f>
        <v>2.74678172311327E-008</v>
      </c>
      <c r="J163" s="83" t="n">
        <f aca="false">'CS_5 Bridge'!J8</f>
        <v>2.07182467576706E-010</v>
      </c>
      <c r="K163" s="83" t="n">
        <f aca="false">'CS_5 Bridge'!K8</f>
        <v>0</v>
      </c>
      <c r="L163" s="83" t="n">
        <f aca="false">'CS_5 Bridge'!L8</f>
        <v>0</v>
      </c>
      <c r="M163" s="57" t="n">
        <f aca="false">C164</f>
        <v>0</v>
      </c>
      <c r="N163" s="55" t="s">
        <v>35</v>
      </c>
      <c r="O163" s="71" t="n">
        <f aca="false">AW162</f>
        <v>-0.249999979189397</v>
      </c>
      <c r="P163" s="71" t="n">
        <f aca="false">BB162</f>
        <v>-450.249924979175</v>
      </c>
      <c r="Q163" s="71" t="n">
        <f aca="false">BG162</f>
        <v>0</v>
      </c>
      <c r="AC163" s="57" t="n">
        <v>1</v>
      </c>
      <c r="AD163" s="57"/>
      <c r="AE163" s="62" t="n">
        <v>0</v>
      </c>
      <c r="AF163" s="35" t="n">
        <v>0</v>
      </c>
      <c r="AG163" s="35" t="n">
        <v>0</v>
      </c>
      <c r="AH163" s="63" t="n">
        <v>1</v>
      </c>
      <c r="AI163" s="86"/>
      <c r="AJ163" s="35" t="n">
        <v>0</v>
      </c>
      <c r="AK163" s="35" t="n">
        <v>0</v>
      </c>
      <c r="AL163" s="35" t="n">
        <v>0</v>
      </c>
      <c r="AM163" s="35" t="n">
        <v>1</v>
      </c>
      <c r="AN163" s="86"/>
      <c r="AO163" s="35" t="n">
        <v>0</v>
      </c>
      <c r="AP163" s="35" t="n">
        <v>0</v>
      </c>
      <c r="AQ163" s="35" t="n">
        <v>0</v>
      </c>
      <c r="AR163" s="35" t="n">
        <v>1</v>
      </c>
      <c r="AS163" s="86"/>
      <c r="AT163" s="57"/>
      <c r="AU163" s="35" t="n">
        <v>1</v>
      </c>
      <c r="AV163" s="35"/>
      <c r="AW163" s="35"/>
      <c r="AX163" s="86"/>
      <c r="AY163" s="57"/>
      <c r="AZ163" s="35" t="n">
        <v>1</v>
      </c>
      <c r="BA163" s="35"/>
      <c r="BB163" s="35"/>
      <c r="BC163" s="86"/>
      <c r="BD163" s="57"/>
      <c r="BE163" s="35" t="n">
        <v>1</v>
      </c>
      <c r="BF163" s="35"/>
      <c r="BG163" s="35"/>
    </row>
    <row r="164" customFormat="false" ht="15" hidden="false" customHeight="true" outlineLevel="0" collapsed="false">
      <c r="A164" s="112"/>
      <c r="B164" s="81" t="s">
        <v>151</v>
      </c>
      <c r="C164" s="59" t="n">
        <f aca="false" t="array" ref="C164:C167">MMULT(O132:R135,E140:E143)</f>
        <v>0</v>
      </c>
      <c r="E164" s="55" t="s">
        <v>100</v>
      </c>
      <c r="F164" s="35" t="n">
        <v>1.35951718917443E-005</v>
      </c>
      <c r="G164" s="83" t="n">
        <f aca="false">'CS_5 Bridge'!G9</f>
        <v>0</v>
      </c>
      <c r="H164" s="83" t="n">
        <f aca="false">'CS_5 Bridge'!H9</f>
        <v>0</v>
      </c>
      <c r="I164" s="83" t="n">
        <f aca="false">'CS_5 Bridge'!I9</f>
        <v>0</v>
      </c>
      <c r="J164" s="83" t="n">
        <f aca="false">'CS_5 Bridge'!J9</f>
        <v>0</v>
      </c>
      <c r="K164" s="83" t="n">
        <f aca="false">'CS_5 Bridge'!K9</f>
        <v>1.54140270881455E-010</v>
      </c>
      <c r="L164" s="83" t="n">
        <f aca="false">'CS_5 Bridge'!L9</f>
        <v>0</v>
      </c>
      <c r="M164" s="57" t="n">
        <f aca="false">C165</f>
        <v>88200</v>
      </c>
      <c r="O164" s="89" t="s">
        <v>152</v>
      </c>
      <c r="T164" s="89" t="s">
        <v>153</v>
      </c>
      <c r="AE164" s="0" t="s">
        <v>154</v>
      </c>
      <c r="AJ164" s="0" t="s">
        <v>155</v>
      </c>
      <c r="AO164" s="0" t="s">
        <v>156</v>
      </c>
    </row>
    <row r="165" customFormat="false" ht="15" hidden="false" customHeight="true" outlineLevel="0" collapsed="false">
      <c r="A165" s="112"/>
      <c r="B165" s="81" t="s">
        <v>157</v>
      </c>
      <c r="C165" s="59" t="n">
        <v>88200</v>
      </c>
      <c r="E165" s="55" t="s">
        <v>104</v>
      </c>
      <c r="F165" s="35" t="n">
        <v>0</v>
      </c>
      <c r="G165" s="83" t="n">
        <f aca="false">'CS_5 Bridge'!G10</f>
        <v>-9.15593907704422E-009</v>
      </c>
      <c r="H165" s="83" t="n">
        <f aca="false">'CS_5 Bridge'!H10</f>
        <v>0</v>
      </c>
      <c r="I165" s="83" t="n">
        <f aca="false">'CS_5 Bridge'!I10</f>
        <v>0</v>
      </c>
      <c r="J165" s="83" t="n">
        <f aca="false">'CS_5 Bridge'!J10</f>
        <v>0</v>
      </c>
      <c r="K165" s="83" t="n">
        <f aca="false">'CS_5 Bridge'!K10</f>
        <v>0</v>
      </c>
      <c r="L165" s="83" t="n">
        <f aca="false">'CS_5 Bridge'!L10</f>
        <v>2.07182467576706E-010</v>
      </c>
      <c r="M165" s="57" t="n">
        <f aca="false">C166</f>
        <v>0</v>
      </c>
      <c r="O165" s="71" t="n">
        <f aca="false" t="array" ref="O165:R168">MMULT(AO165:AR168,MMULT(AJ165:AM168,AE165:AH168))</f>
        <v>1</v>
      </c>
      <c r="P165" s="71" t="n">
        <v>0</v>
      </c>
      <c r="Q165" s="71" t="n">
        <v>0</v>
      </c>
      <c r="R165" s="71" t="n">
        <v>0</v>
      </c>
      <c r="S165" s="90"/>
      <c r="T165" s="71" t="n">
        <f aca="false" t="array" ref="T165:W168">IF(A186=1,MMULT(T198:W201,O165:R168),T$363:W$366)</f>
        <v>1</v>
      </c>
      <c r="U165" s="71" t="n">
        <v>0</v>
      </c>
      <c r="V165" s="71" t="n">
        <v>0</v>
      </c>
      <c r="W165" s="71" t="n">
        <v>0</v>
      </c>
      <c r="X165" s="71"/>
      <c r="Y165" s="71"/>
      <c r="Z165" s="71"/>
      <c r="AA165" s="71"/>
      <c r="AB165" s="0" t="s">
        <v>158</v>
      </c>
      <c r="AC165" s="57" t="n">
        <f aca="false" t="array" ref="AC165:AC168">MMULT(O165:R168,AC160:AC163)</f>
        <v>450</v>
      </c>
      <c r="AD165" s="57"/>
      <c r="AE165" s="91" t="n">
        <v>1</v>
      </c>
      <c r="AF165" s="57" t="n">
        <v>0</v>
      </c>
      <c r="AG165" s="57" t="n">
        <v>0</v>
      </c>
      <c r="AH165" s="92" t="n">
        <v>0</v>
      </c>
      <c r="AJ165" s="91" t="n">
        <f aca="false">COS(PI()*C150/180)</f>
        <v>1</v>
      </c>
      <c r="AK165" s="57" t="n">
        <v>0</v>
      </c>
      <c r="AL165" s="57" t="n">
        <f aca="false">SIN(PI()*C150/180)</f>
        <v>0</v>
      </c>
      <c r="AM165" s="92" t="n">
        <v>0</v>
      </c>
      <c r="AO165" s="91" t="n">
        <f aca="false">COS(PI()*C151/180)</f>
        <v>1</v>
      </c>
      <c r="AP165" s="57" t="n">
        <f aca="false">-SIN(PI()*C151/180)</f>
        <v>0</v>
      </c>
      <c r="AQ165" s="57" t="n">
        <v>0</v>
      </c>
      <c r="AR165" s="92" t="n">
        <v>0</v>
      </c>
    </row>
    <row r="166" customFormat="false" ht="15" hidden="false" customHeight="true" outlineLevel="0" collapsed="false">
      <c r="A166" s="112"/>
      <c r="B166" s="81" t="s">
        <v>159</v>
      </c>
      <c r="C166" s="59" t="n">
        <v>0</v>
      </c>
      <c r="G166" s="113"/>
      <c r="H166" s="113"/>
      <c r="I166" s="113"/>
      <c r="J166" s="93"/>
      <c r="K166" s="93"/>
      <c r="L166" s="93"/>
      <c r="M166" s="93"/>
      <c r="O166" s="71" t="n">
        <v>0</v>
      </c>
      <c r="P166" s="71" t="n">
        <v>1</v>
      </c>
      <c r="Q166" s="71" t="n">
        <v>0</v>
      </c>
      <c r="R166" s="71" t="n">
        <v>0</v>
      </c>
      <c r="S166" s="90"/>
      <c r="T166" s="71" t="n">
        <v>0</v>
      </c>
      <c r="U166" s="71" t="n">
        <v>1</v>
      </c>
      <c r="V166" s="71" t="n">
        <v>0</v>
      </c>
      <c r="W166" s="71" t="n">
        <v>0</v>
      </c>
      <c r="X166" s="71"/>
      <c r="Y166" s="71"/>
      <c r="Z166" s="71"/>
      <c r="AA166" s="71"/>
      <c r="AB166" s="0" t="s">
        <v>160</v>
      </c>
      <c r="AC166" s="57" t="n">
        <v>0</v>
      </c>
      <c r="AD166" s="57"/>
      <c r="AE166" s="91" t="n">
        <v>0</v>
      </c>
      <c r="AF166" s="57" t="n">
        <f aca="false">COS(PI()*C149/180)</f>
        <v>1</v>
      </c>
      <c r="AG166" s="57" t="n">
        <f aca="false">-SIN(PI()*C149/180)</f>
        <v>0</v>
      </c>
      <c r="AH166" s="92" t="n">
        <v>0</v>
      </c>
      <c r="AJ166" s="91" t="n">
        <v>0</v>
      </c>
      <c r="AK166" s="57" t="n">
        <v>1</v>
      </c>
      <c r="AL166" s="57" t="n">
        <v>0</v>
      </c>
      <c r="AM166" s="92" t="n">
        <v>0</v>
      </c>
      <c r="AO166" s="91" t="n">
        <f aca="false">SIN(PI()*C151/180)</f>
        <v>0</v>
      </c>
      <c r="AP166" s="57" t="n">
        <f aca="false">AO165</f>
        <v>1</v>
      </c>
      <c r="AQ166" s="57" t="n">
        <v>0</v>
      </c>
      <c r="AR166" s="92" t="n">
        <v>0</v>
      </c>
    </row>
    <row r="167" customFormat="false" ht="15" hidden="false" customHeight="true" outlineLevel="0" collapsed="false">
      <c r="A167" s="112"/>
      <c r="B167" s="81" t="s">
        <v>101</v>
      </c>
      <c r="C167" s="59" t="n">
        <v>1</v>
      </c>
      <c r="G167" s="113"/>
      <c r="H167" s="113"/>
      <c r="I167" s="113"/>
      <c r="J167" s="93"/>
      <c r="K167" s="93"/>
      <c r="L167" s="93"/>
      <c r="M167" s="93"/>
      <c r="O167" s="71" t="n">
        <v>0</v>
      </c>
      <c r="P167" s="71" t="n">
        <v>0</v>
      </c>
      <c r="Q167" s="71" t="n">
        <v>1</v>
      </c>
      <c r="R167" s="71" t="n">
        <v>0</v>
      </c>
      <c r="S167" s="90"/>
      <c r="T167" s="71" t="n">
        <v>0</v>
      </c>
      <c r="U167" s="71" t="n">
        <v>0</v>
      </c>
      <c r="V167" s="71" t="n">
        <v>1</v>
      </c>
      <c r="W167" s="71" t="n">
        <v>0</v>
      </c>
      <c r="X167" s="71"/>
      <c r="Y167" s="71"/>
      <c r="Z167" s="71"/>
      <c r="AA167" s="71"/>
      <c r="AB167" s="0" t="s">
        <v>161</v>
      </c>
      <c r="AC167" s="57" t="n">
        <v>500</v>
      </c>
      <c r="AD167" s="57"/>
      <c r="AE167" s="91" t="n">
        <v>0</v>
      </c>
      <c r="AF167" s="57" t="n">
        <f aca="false">SIN(PI()*C149/180)</f>
        <v>0</v>
      </c>
      <c r="AG167" s="57" t="n">
        <f aca="false">AF166</f>
        <v>1</v>
      </c>
      <c r="AH167" s="92" t="n">
        <v>0</v>
      </c>
      <c r="AJ167" s="91" t="n">
        <f aca="false">-SIN(PI()*C150/180)</f>
        <v>0</v>
      </c>
      <c r="AK167" s="57" t="n">
        <v>0</v>
      </c>
      <c r="AL167" s="57" t="n">
        <f aca="false">AJ165</f>
        <v>1</v>
      </c>
      <c r="AM167" s="92" t="n">
        <v>0</v>
      </c>
      <c r="AO167" s="91" t="n">
        <v>0</v>
      </c>
      <c r="AP167" s="57" t="n">
        <v>0</v>
      </c>
      <c r="AQ167" s="57" t="n">
        <v>1</v>
      </c>
      <c r="AR167" s="92" t="n">
        <v>0</v>
      </c>
    </row>
    <row r="168" s="96" customFormat="true" ht="15.6" hidden="false" customHeight="false" outlineLevel="0" collapsed="false">
      <c r="A168" s="112"/>
      <c r="B168" s="11" t="s">
        <v>169</v>
      </c>
      <c r="D168" s="11" t="s">
        <v>163</v>
      </c>
      <c r="G168" s="102"/>
      <c r="H168" s="102"/>
      <c r="I168" s="102"/>
      <c r="J168" s="114"/>
      <c r="K168" s="114"/>
      <c r="L168" s="114"/>
      <c r="M168" s="114"/>
      <c r="O168" s="98" t="n">
        <v>0</v>
      </c>
      <c r="P168" s="98" t="n">
        <v>0</v>
      </c>
      <c r="Q168" s="98" t="n">
        <v>0</v>
      </c>
      <c r="R168" s="98" t="n">
        <v>1</v>
      </c>
      <c r="S168" s="99"/>
      <c r="T168" s="98" t="n">
        <v>0</v>
      </c>
      <c r="U168" s="98" t="n">
        <v>0</v>
      </c>
      <c r="V168" s="98" t="n">
        <v>0</v>
      </c>
      <c r="W168" s="98" t="n">
        <v>1</v>
      </c>
      <c r="X168" s="98"/>
      <c r="Y168" s="98"/>
      <c r="Z168" s="98"/>
      <c r="AA168" s="98"/>
      <c r="AC168" s="100" t="n">
        <v>1</v>
      </c>
      <c r="AD168" s="100"/>
      <c r="AE168" s="100" t="n">
        <v>0</v>
      </c>
      <c r="AF168" s="100" t="n">
        <v>0</v>
      </c>
      <c r="AG168" s="100" t="n">
        <v>0</v>
      </c>
      <c r="AH168" s="100" t="n">
        <v>1</v>
      </c>
      <c r="AJ168" s="100" t="n">
        <v>0</v>
      </c>
      <c r="AK168" s="100" t="n">
        <v>0</v>
      </c>
      <c r="AL168" s="100" t="n">
        <v>0</v>
      </c>
      <c r="AM168" s="100" t="n">
        <v>1</v>
      </c>
      <c r="AO168" s="100" t="n">
        <v>0</v>
      </c>
      <c r="AP168" s="100" t="n">
        <v>0</v>
      </c>
      <c r="AQ168" s="100" t="n">
        <v>0</v>
      </c>
      <c r="AR168" s="100" t="n">
        <v>1</v>
      </c>
    </row>
    <row r="169" customFormat="false" ht="15.6" hidden="false" customHeight="false" outlineLevel="0" collapsed="false">
      <c r="A169" s="112"/>
      <c r="B169" s="81" t="s">
        <v>139</v>
      </c>
      <c r="C169" s="82" t="n">
        <v>0</v>
      </c>
      <c r="D169" s="81" t="s">
        <v>139</v>
      </c>
      <c r="E169" s="59" t="n">
        <f aca="false">C160+C169</f>
        <v>0</v>
      </c>
      <c r="F169" s="103"/>
      <c r="G169" s="114"/>
      <c r="H169" s="120"/>
      <c r="I169" s="114"/>
      <c r="J169" s="114"/>
      <c r="K169" s="114"/>
      <c r="L169" s="114"/>
      <c r="M169" s="114"/>
      <c r="O169" s="98"/>
      <c r="P169" s="98"/>
      <c r="Q169" s="98"/>
      <c r="R169" s="98"/>
      <c r="S169" s="99"/>
      <c r="T169" s="98"/>
      <c r="U169" s="98"/>
      <c r="V169" s="98"/>
      <c r="W169" s="98"/>
      <c r="X169" s="98"/>
      <c r="Y169" s="98"/>
      <c r="Z169" s="98"/>
      <c r="AA169" s="98"/>
      <c r="AC169" s="100"/>
      <c r="AD169" s="100"/>
      <c r="AE169" s="100"/>
      <c r="AF169" s="100"/>
      <c r="AG169" s="100"/>
      <c r="AH169" s="100"/>
      <c r="AJ169" s="100"/>
      <c r="AK169" s="100"/>
      <c r="AL169" s="100"/>
      <c r="AM169" s="100"/>
      <c r="AO169" s="100"/>
      <c r="AP169" s="100"/>
      <c r="AQ169" s="100"/>
      <c r="AR169" s="100"/>
    </row>
    <row r="170" customFormat="false" ht="15.6" hidden="false" customHeight="false" outlineLevel="0" collapsed="false">
      <c r="A170" s="112"/>
      <c r="B170" s="81" t="s">
        <v>145</v>
      </c>
      <c r="C170" s="82" t="n">
        <v>0</v>
      </c>
      <c r="D170" s="81" t="s">
        <v>145</v>
      </c>
      <c r="E170" s="59" t="n">
        <f aca="false">C161+C170</f>
        <v>0</v>
      </c>
      <c r="F170" s="103"/>
      <c r="G170" s="114"/>
      <c r="H170" s="120"/>
      <c r="I170" s="114"/>
      <c r="J170" s="114"/>
      <c r="K170" s="114"/>
      <c r="L170" s="114"/>
      <c r="M170" s="114"/>
      <c r="O170" s="98"/>
      <c r="P170" s="98"/>
      <c r="Q170" s="98"/>
      <c r="R170" s="98"/>
      <c r="S170" s="99"/>
      <c r="T170" s="98"/>
      <c r="U170" s="98"/>
      <c r="V170" s="98"/>
      <c r="W170" s="98"/>
      <c r="X170" s="98"/>
      <c r="Y170" s="98"/>
      <c r="Z170" s="98"/>
      <c r="AA170" s="98"/>
      <c r="AC170" s="100"/>
      <c r="AD170" s="100"/>
      <c r="AE170" s="100"/>
      <c r="AF170" s="100"/>
      <c r="AG170" s="100"/>
      <c r="AH170" s="100"/>
      <c r="AJ170" s="100"/>
      <c r="AK170" s="100"/>
      <c r="AL170" s="100"/>
      <c r="AM170" s="100"/>
      <c r="AO170" s="100"/>
      <c r="AP170" s="100"/>
      <c r="AQ170" s="100"/>
      <c r="AR170" s="100"/>
    </row>
    <row r="171" customFormat="false" ht="15.6" hidden="false" customHeight="false" outlineLevel="0" collapsed="false">
      <c r="A171" s="112"/>
      <c r="B171" s="81" t="s">
        <v>148</v>
      </c>
      <c r="C171" s="82" t="n">
        <v>0</v>
      </c>
      <c r="D171" s="81" t="s">
        <v>148</v>
      </c>
      <c r="E171" s="59" t="n">
        <f aca="false">C162+C171</f>
        <v>-196</v>
      </c>
      <c r="F171" s="103"/>
      <c r="G171" s="114"/>
      <c r="H171" s="120"/>
      <c r="I171" s="114"/>
      <c r="J171" s="114"/>
      <c r="K171" s="114"/>
      <c r="L171" s="114"/>
      <c r="M171" s="114"/>
      <c r="O171" s="98"/>
      <c r="P171" s="98"/>
      <c r="Q171" s="98"/>
      <c r="R171" s="98"/>
      <c r="S171" s="99"/>
      <c r="T171" s="98"/>
      <c r="U171" s="98"/>
      <c r="V171" s="98"/>
      <c r="W171" s="98"/>
      <c r="X171" s="98"/>
      <c r="Y171" s="98"/>
      <c r="Z171" s="98"/>
      <c r="AA171" s="98"/>
      <c r="AC171" s="100"/>
      <c r="AD171" s="100"/>
      <c r="AE171" s="100"/>
      <c r="AF171" s="100"/>
      <c r="AG171" s="100"/>
      <c r="AH171" s="100"/>
      <c r="AJ171" s="100"/>
      <c r="AK171" s="100"/>
      <c r="AL171" s="100"/>
      <c r="AM171" s="100"/>
      <c r="AO171" s="100"/>
      <c r="AP171" s="100"/>
      <c r="AQ171" s="100"/>
      <c r="AR171" s="100"/>
    </row>
    <row r="172" customFormat="false" ht="15.6" hidden="false" customHeight="false" outlineLevel="0" collapsed="false">
      <c r="A172" s="112"/>
      <c r="B172" s="103" t="s">
        <v>101</v>
      </c>
      <c r="C172" s="115" t="n">
        <v>1</v>
      </c>
      <c r="D172" s="103" t="s">
        <v>101</v>
      </c>
      <c r="E172" s="115" t="n">
        <v>1</v>
      </c>
      <c r="F172" s="103"/>
      <c r="G172" s="114"/>
      <c r="H172" s="120"/>
      <c r="I172" s="114"/>
      <c r="J172" s="114"/>
      <c r="K172" s="114"/>
      <c r="L172" s="114"/>
      <c r="M172" s="114"/>
      <c r="O172" s="98"/>
      <c r="P172" s="98"/>
      <c r="Q172" s="98"/>
      <c r="R172" s="98"/>
      <c r="S172" s="99"/>
      <c r="T172" s="98"/>
      <c r="U172" s="98"/>
      <c r="V172" s="98"/>
      <c r="W172" s="98"/>
      <c r="X172" s="98"/>
      <c r="Y172" s="98"/>
      <c r="Z172" s="98"/>
      <c r="AA172" s="98"/>
      <c r="AC172" s="100"/>
      <c r="AD172" s="100"/>
      <c r="AE172" s="100"/>
      <c r="AF172" s="100"/>
      <c r="AG172" s="100"/>
      <c r="AH172" s="100"/>
      <c r="AJ172" s="100"/>
      <c r="AK172" s="100"/>
      <c r="AL172" s="100"/>
      <c r="AM172" s="100"/>
      <c r="AO172" s="100"/>
      <c r="AP172" s="100"/>
      <c r="AQ172" s="100"/>
      <c r="AR172" s="100"/>
    </row>
    <row r="173" customFormat="false" ht="15.6" hidden="false" customHeight="false" outlineLevel="0" collapsed="false">
      <c r="A173" s="112"/>
      <c r="B173" s="81" t="s">
        <v>151</v>
      </c>
      <c r="C173" s="82" t="n">
        <v>0</v>
      </c>
      <c r="D173" s="81" t="s">
        <v>151</v>
      </c>
      <c r="E173" s="59" t="n">
        <f aca="false">C164+C173+C162*C120-C161*C121</f>
        <v>0</v>
      </c>
      <c r="F173" s="103"/>
      <c r="G173" s="114"/>
      <c r="H173" s="120"/>
      <c r="I173" s="114"/>
      <c r="J173" s="114"/>
      <c r="K173" s="114"/>
      <c r="L173" s="114"/>
      <c r="M173" s="114"/>
      <c r="O173" s="98"/>
      <c r="P173" s="98"/>
      <c r="Q173" s="98"/>
      <c r="R173" s="98"/>
      <c r="S173" s="99"/>
      <c r="T173" s="98"/>
      <c r="U173" s="98"/>
      <c r="V173" s="98"/>
      <c r="W173" s="98"/>
      <c r="X173" s="98"/>
      <c r="Y173" s="98"/>
      <c r="Z173" s="98"/>
      <c r="AA173" s="98"/>
      <c r="AC173" s="100"/>
      <c r="AD173" s="100"/>
      <c r="AE173" s="100"/>
      <c r="AF173" s="100"/>
      <c r="AG173" s="100"/>
      <c r="AH173" s="100"/>
      <c r="AJ173" s="100"/>
      <c r="AK173" s="100"/>
      <c r="AL173" s="100"/>
      <c r="AM173" s="100"/>
      <c r="AO173" s="100"/>
      <c r="AP173" s="100"/>
      <c r="AQ173" s="100"/>
      <c r="AR173" s="100"/>
    </row>
    <row r="174" customFormat="false" ht="15.6" hidden="false" customHeight="false" outlineLevel="0" collapsed="false">
      <c r="A174" s="112"/>
      <c r="B174" s="81" t="s">
        <v>157</v>
      </c>
      <c r="C174" s="82" t="n">
        <v>0</v>
      </c>
      <c r="D174" s="81" t="s">
        <v>157</v>
      </c>
      <c r="E174" s="59" t="n">
        <f aca="false">C165+C174+C160*C121-C162*C119</f>
        <v>88200</v>
      </c>
      <c r="F174" s="103"/>
      <c r="G174" s="114"/>
      <c r="H174" s="120"/>
      <c r="I174" s="114"/>
      <c r="J174" s="114"/>
      <c r="K174" s="114"/>
      <c r="L174" s="114"/>
      <c r="M174" s="114"/>
      <c r="O174" s="98"/>
      <c r="P174" s="98"/>
      <c r="Q174" s="98"/>
      <c r="R174" s="98"/>
      <c r="S174" s="99"/>
      <c r="T174" s="98"/>
      <c r="U174" s="98"/>
      <c r="V174" s="98"/>
      <c r="W174" s="98"/>
      <c r="X174" s="98"/>
      <c r="Y174" s="98"/>
      <c r="Z174" s="98"/>
      <c r="AA174" s="98"/>
      <c r="AC174" s="100"/>
      <c r="AD174" s="100"/>
      <c r="AE174" s="100"/>
      <c r="AF174" s="100"/>
      <c r="AG174" s="100"/>
      <c r="AH174" s="100"/>
      <c r="AJ174" s="100"/>
      <c r="AK174" s="100"/>
      <c r="AL174" s="100"/>
      <c r="AM174" s="100"/>
      <c r="AO174" s="100"/>
      <c r="AP174" s="100"/>
      <c r="AQ174" s="100"/>
      <c r="AR174" s="100"/>
    </row>
    <row r="175" customFormat="false" ht="15.6" hidden="false" customHeight="false" outlineLevel="0" collapsed="false">
      <c r="A175" s="112"/>
      <c r="B175" s="81" t="s">
        <v>159</v>
      </c>
      <c r="C175" s="82" t="n">
        <v>0</v>
      </c>
      <c r="D175" s="81" t="s">
        <v>159</v>
      </c>
      <c r="E175" s="59" t="n">
        <f aca="false">C166+C175+C161*C119-C160*C120</f>
        <v>0</v>
      </c>
      <c r="F175" s="103"/>
      <c r="G175" s="114"/>
      <c r="H175" s="120"/>
      <c r="I175" s="114"/>
      <c r="J175" s="114"/>
      <c r="K175" s="114"/>
      <c r="L175" s="114"/>
      <c r="M175" s="114"/>
      <c r="O175" s="98"/>
      <c r="P175" s="98"/>
      <c r="Q175" s="98"/>
      <c r="R175" s="98"/>
      <c r="S175" s="99"/>
      <c r="T175" s="98"/>
      <c r="U175" s="98"/>
      <c r="V175" s="98"/>
      <c r="W175" s="98"/>
      <c r="X175" s="98"/>
      <c r="Y175" s="98"/>
      <c r="Z175" s="98"/>
      <c r="AA175" s="98"/>
      <c r="AC175" s="100"/>
      <c r="AD175" s="100"/>
      <c r="AE175" s="100"/>
      <c r="AF175" s="100"/>
      <c r="AG175" s="100"/>
      <c r="AH175" s="100"/>
      <c r="AJ175" s="100"/>
      <c r="AK175" s="100"/>
      <c r="AL175" s="100"/>
      <c r="AM175" s="100"/>
      <c r="AO175" s="100"/>
      <c r="AP175" s="100"/>
      <c r="AQ175" s="100"/>
      <c r="AR175" s="100"/>
    </row>
    <row r="176" s="36" customFormat="true" ht="16.2" hidden="false" customHeight="false" outlineLevel="0" collapsed="false">
      <c r="A176" s="112"/>
      <c r="B176" s="105" t="s">
        <v>101</v>
      </c>
      <c r="C176" s="106" t="n">
        <v>1</v>
      </c>
      <c r="D176" s="105" t="s">
        <v>101</v>
      </c>
      <c r="E176" s="106" t="n">
        <v>1</v>
      </c>
      <c r="F176" s="105"/>
      <c r="G176" s="116"/>
      <c r="H176" s="121"/>
      <c r="I176" s="116"/>
      <c r="J176" s="116"/>
      <c r="K176" s="116"/>
      <c r="L176" s="116"/>
      <c r="M176" s="116"/>
      <c r="O176" s="117"/>
      <c r="P176" s="117"/>
      <c r="Q176" s="117"/>
      <c r="R176" s="117"/>
      <c r="S176" s="109"/>
      <c r="T176" s="117"/>
      <c r="U176" s="117"/>
      <c r="V176" s="117"/>
      <c r="W176" s="117"/>
      <c r="X176" s="117"/>
      <c r="Y176" s="117"/>
      <c r="Z176" s="117"/>
      <c r="AA176" s="117"/>
      <c r="AC176" s="118"/>
      <c r="AD176" s="118"/>
      <c r="AE176" s="118"/>
      <c r="AF176" s="118"/>
      <c r="AG176" s="118"/>
      <c r="AH176" s="118"/>
      <c r="AJ176" s="118"/>
      <c r="AK176" s="118"/>
      <c r="AL176" s="118"/>
      <c r="AM176" s="118"/>
      <c r="AO176" s="118"/>
      <c r="AP176" s="118"/>
      <c r="AQ176" s="118"/>
      <c r="AR176" s="118"/>
    </row>
    <row r="177" customFormat="false" ht="15" hidden="false" customHeight="true" outlineLevel="0" collapsed="false">
      <c r="A177" s="50" t="s">
        <v>179</v>
      </c>
      <c r="B177" s="51" t="s">
        <v>165</v>
      </c>
      <c r="E177" s="9" t="s">
        <v>180</v>
      </c>
    </row>
    <row r="178" customFormat="false" ht="15" hidden="false" customHeight="true" outlineLevel="0" collapsed="false">
      <c r="A178" s="50"/>
      <c r="B178" s="52" t="s">
        <v>88</v>
      </c>
      <c r="C178" s="111" t="n">
        <f aca="false">C156</f>
        <v>450</v>
      </c>
      <c r="E178" s="1" t="s">
        <v>89</v>
      </c>
      <c r="F178" s="1"/>
      <c r="G178" s="1" t="s">
        <v>90</v>
      </c>
      <c r="H178" s="1"/>
      <c r="N178" s="11" t="s">
        <v>91</v>
      </c>
      <c r="O178" s="9"/>
      <c r="P178" s="54"/>
      <c r="Q178" s="9"/>
      <c r="R178" s="9"/>
      <c r="S178" s="11" t="s">
        <v>38</v>
      </c>
      <c r="Y178" s="11" t="s">
        <v>92</v>
      </c>
    </row>
    <row r="179" customFormat="false" ht="15" hidden="false" customHeight="true" outlineLevel="0" collapsed="false">
      <c r="A179" s="50"/>
      <c r="B179" s="52" t="s">
        <v>93</v>
      </c>
      <c r="C179" s="111" t="n">
        <f aca="false">C157</f>
        <v>0</v>
      </c>
      <c r="E179" s="55" t="s">
        <v>33</v>
      </c>
      <c r="F179" s="34" t="n">
        <f aca="false">'CS_6 X-axis'!B45</f>
        <v>0.005</v>
      </c>
      <c r="G179" s="55" t="s">
        <v>33</v>
      </c>
      <c r="H179" s="34" t="n">
        <f aca="false">'CS_6 X-axis'!B52</f>
        <v>0</v>
      </c>
      <c r="O179" s="0" t="s">
        <v>42</v>
      </c>
      <c r="P179" s="31" t="s">
        <v>43</v>
      </c>
      <c r="Q179" s="17" t="s">
        <v>44</v>
      </c>
      <c r="R179" s="17" t="s">
        <v>45</v>
      </c>
      <c r="T179" s="0" t="s">
        <v>42</v>
      </c>
      <c r="U179" s="31" t="s">
        <v>43</v>
      </c>
      <c r="V179" s="17" t="s">
        <v>44</v>
      </c>
      <c r="W179" s="17" t="s">
        <v>45</v>
      </c>
      <c r="Y179" s="0" t="s">
        <v>42</v>
      </c>
      <c r="Z179" s="31" t="s">
        <v>43</v>
      </c>
      <c r="AA179" s="17" t="s">
        <v>44</v>
      </c>
      <c r="AB179" s="17" t="s">
        <v>45</v>
      </c>
    </row>
    <row r="180" customFormat="false" ht="15" hidden="false" customHeight="true" outlineLevel="0" collapsed="false">
      <c r="A180" s="50"/>
      <c r="B180" s="52" t="s">
        <v>94</v>
      </c>
      <c r="C180" s="111" t="n">
        <f aca="false">C158</f>
        <v>1301.6</v>
      </c>
      <c r="E180" s="55" t="s">
        <v>34</v>
      </c>
      <c r="F180" s="34" t="n">
        <f aca="false">'CS_6 X-axis'!B46</f>
        <v>0.005</v>
      </c>
      <c r="G180" s="55" t="s">
        <v>34</v>
      </c>
      <c r="H180" s="34" t="n">
        <f aca="false">'CS_6 X-axis'!B53</f>
        <v>0</v>
      </c>
      <c r="N180" s="55" t="s">
        <v>33</v>
      </c>
      <c r="O180" s="56" t="n">
        <f aca="false">ABS(F179)</f>
        <v>0.005</v>
      </c>
      <c r="P180" s="56" t="n">
        <f aca="false">ABS(F182*O194)</f>
        <v>0</v>
      </c>
      <c r="Q180" s="56" t="n">
        <f aca="false">ABS(F183*P194)</f>
        <v>0.130137477007166</v>
      </c>
      <c r="R180" s="56" t="n">
        <f aca="false">ABS(F184*Q194)</f>
        <v>2.24999981242036E-005</v>
      </c>
      <c r="S180" s="55" t="s">
        <v>33</v>
      </c>
      <c r="T180" s="35" t="n">
        <f aca="false" t="array" ref="T180:W183">ABS(MMULT(T198:W201,O180:R183))</f>
        <v>0.005</v>
      </c>
      <c r="U180" s="35" t="n">
        <v>0</v>
      </c>
      <c r="V180" s="35" t="n">
        <v>0.130137477007166</v>
      </c>
      <c r="W180" s="35" t="n">
        <v>2.24999981242036E-005</v>
      </c>
      <c r="X180" s="32" t="s">
        <v>33</v>
      </c>
      <c r="Y180" s="35" t="n">
        <f aca="false">F186+F193</f>
        <v>-0.00133168731981821</v>
      </c>
      <c r="Z180" s="57" t="n">
        <f aca="false">F189*O194</f>
        <v>0</v>
      </c>
      <c r="AA180" s="57" t="n">
        <f aca="false">F190*P194</f>
        <v>0.0173784824201823</v>
      </c>
      <c r="AB180" s="57" t="n">
        <f aca="false">F191*Q194</f>
        <v>-0</v>
      </c>
    </row>
    <row r="181" customFormat="false" ht="15" hidden="false" customHeight="true" outlineLevel="0" collapsed="false">
      <c r="A181" s="58" t="n">
        <v>6</v>
      </c>
      <c r="B181" s="9" t="s">
        <v>95</v>
      </c>
      <c r="E181" s="55" t="s">
        <v>35</v>
      </c>
      <c r="F181" s="34" t="n">
        <f aca="false">'CS_6 X-axis'!B47</f>
        <v>0.005</v>
      </c>
      <c r="G181" s="55" t="s">
        <v>35</v>
      </c>
      <c r="H181" s="34" t="n">
        <f aca="false">'CS_6 X-axis'!B54</f>
        <v>0</v>
      </c>
      <c r="N181" s="55" t="s">
        <v>34</v>
      </c>
      <c r="O181" s="56" t="n">
        <f aca="false">ABS(F180)</f>
        <v>0.005</v>
      </c>
      <c r="P181" s="56" t="n">
        <f aca="false">ABS(F182*O195)</f>
        <v>0.130159978306668</v>
      </c>
      <c r="Q181" s="56" t="n">
        <f aca="false">ABS(F183*P195)</f>
        <v>0</v>
      </c>
      <c r="R181" s="56" t="n">
        <f aca="false">ABS(F184*Q195)</f>
        <v>0.0449999925000004</v>
      </c>
      <c r="S181" s="55" t="s">
        <v>34</v>
      </c>
      <c r="T181" s="35" t="n">
        <v>0.005</v>
      </c>
      <c r="U181" s="35" t="n">
        <v>0.130159978306668</v>
      </c>
      <c r="V181" s="35" t="n">
        <v>0</v>
      </c>
      <c r="W181" s="35" t="n">
        <v>0.0449999925000004</v>
      </c>
      <c r="X181" s="32" t="s">
        <v>34</v>
      </c>
      <c r="Y181" s="35" t="n">
        <f aca="false">F187+F194</f>
        <v>0</v>
      </c>
      <c r="Z181" s="57" t="n">
        <f aca="false">F189*O195</f>
        <v>-0</v>
      </c>
      <c r="AA181" s="57" t="n">
        <f aca="false">F190*P195</f>
        <v>0</v>
      </c>
      <c r="AB181" s="57" t="n">
        <f aca="false">F191*Q195</f>
        <v>0</v>
      </c>
    </row>
    <row r="182" customFormat="false" ht="15" hidden="false" customHeight="true" outlineLevel="0" collapsed="false">
      <c r="A182" s="59" t="n">
        <f aca="false">IF(A181&gt;Naxes,0,1)</f>
        <v>0</v>
      </c>
      <c r="B182" s="60" t="s">
        <v>96</v>
      </c>
      <c r="C182" s="47" t="n">
        <v>0</v>
      </c>
      <c r="E182" s="55" t="s">
        <v>97</v>
      </c>
      <c r="F182" s="34" t="n">
        <f aca="false">'CS_6 X-axis'!B48</f>
        <v>0.0001</v>
      </c>
      <c r="G182" s="55" t="s">
        <v>97</v>
      </c>
      <c r="H182" s="34" t="n">
        <f aca="false">'CS_6 X-axis'!B55</f>
        <v>0</v>
      </c>
      <c r="N182" s="55" t="s">
        <v>35</v>
      </c>
      <c r="O182" s="56" t="n">
        <f aca="false">ABS(F181)</f>
        <v>0.005</v>
      </c>
      <c r="P182" s="56" t="n">
        <f aca="false">ABS(F182*O196)</f>
        <v>6.50799945788095E-005</v>
      </c>
      <c r="Q182" s="56" t="n">
        <f aca="false">ABS(F183*P196)</f>
        <v>0.045065072043921</v>
      </c>
      <c r="R182" s="56" t="n">
        <f aca="false">ABS(F184*Q196)</f>
        <v>0</v>
      </c>
      <c r="S182" s="55" t="s">
        <v>35</v>
      </c>
      <c r="T182" s="35" t="n">
        <v>0.005</v>
      </c>
      <c r="U182" s="35" t="n">
        <v>6.50799945788095E-005</v>
      </c>
      <c r="V182" s="35" t="n">
        <v>0.045065072043921</v>
      </c>
      <c r="W182" s="35" t="n">
        <v>0</v>
      </c>
      <c r="X182" s="32" t="s">
        <v>35</v>
      </c>
      <c r="Y182" s="35" t="n">
        <f aca="false">F188+F195</f>
        <v>-0.000127101410143655</v>
      </c>
      <c r="Z182" s="57" t="n">
        <f aca="false">F189*O196</f>
        <v>-0</v>
      </c>
      <c r="AA182" s="57" t="n">
        <f aca="false">F190*P196</f>
        <v>-0.00601796331303091</v>
      </c>
      <c r="AB182" s="57" t="n">
        <f aca="false">F191*Q196</f>
        <v>0</v>
      </c>
    </row>
    <row r="183" customFormat="false" ht="15" hidden="false" customHeight="true" outlineLevel="0" collapsed="false">
      <c r="A183" s="61" t="s">
        <v>98</v>
      </c>
      <c r="B183" s="60" t="s">
        <v>99</v>
      </c>
      <c r="C183" s="47" t="n">
        <v>0</v>
      </c>
      <c r="E183" s="55" t="s">
        <v>100</v>
      </c>
      <c r="F183" s="34" t="n">
        <f aca="false">'CS_6 X-axis'!B49</f>
        <v>9.99999990000001E-005</v>
      </c>
      <c r="G183" s="55" t="s">
        <v>100</v>
      </c>
      <c r="H183" s="34" t="n">
        <f aca="false">'CS_6 X-axis'!B56</f>
        <v>0</v>
      </c>
      <c r="N183" s="41" t="s">
        <v>101</v>
      </c>
      <c r="O183" s="57" t="n">
        <v>1</v>
      </c>
      <c r="P183" s="57" t="n">
        <v>1</v>
      </c>
      <c r="Q183" s="57" t="n">
        <v>1</v>
      </c>
      <c r="R183" s="57" t="n">
        <v>1</v>
      </c>
      <c r="S183" s="41" t="s">
        <v>101</v>
      </c>
      <c r="T183" s="35" t="n">
        <v>1</v>
      </c>
      <c r="U183" s="35" t="n">
        <v>1</v>
      </c>
      <c r="V183" s="35" t="n">
        <v>1</v>
      </c>
      <c r="W183" s="35" t="n">
        <v>1</v>
      </c>
      <c r="X183" s="41" t="s">
        <v>101</v>
      </c>
      <c r="Y183" s="57" t="n">
        <v>1</v>
      </c>
      <c r="Z183" s="57" t="n">
        <v>1</v>
      </c>
      <c r="AA183" s="57" t="n">
        <v>1</v>
      </c>
      <c r="AB183" s="57" t="n">
        <v>1</v>
      </c>
    </row>
    <row r="184" customFormat="false" ht="15" hidden="false" customHeight="true" outlineLevel="0" collapsed="false">
      <c r="A184" s="61"/>
      <c r="B184" s="60" t="s">
        <v>102</v>
      </c>
      <c r="C184" s="47" t="n">
        <v>0</v>
      </c>
      <c r="E184" s="55" t="s">
        <v>104</v>
      </c>
      <c r="F184" s="34" t="n">
        <f aca="false">'CS_6 X-axis'!B50</f>
        <v>0.0001</v>
      </c>
      <c r="G184" s="55" t="s">
        <v>104</v>
      </c>
      <c r="H184" s="34" t="n">
        <f aca="false">'CS_6 X-axis'!B57</f>
        <v>0</v>
      </c>
      <c r="X184" s="41"/>
    </row>
    <row r="185" customFormat="false" ht="30" hidden="false" customHeight="true" outlineLevel="0" collapsed="false">
      <c r="A185" s="61"/>
      <c r="B185" s="60" t="s">
        <v>105</v>
      </c>
      <c r="C185" s="47" t="n">
        <f aca="false">-(C13+C20+C53+C86+C119+C152)</f>
        <v>-450</v>
      </c>
      <c r="E185" s="18" t="s">
        <v>106</v>
      </c>
      <c r="F185" s="18"/>
      <c r="G185" s="1" t="s">
        <v>107</v>
      </c>
      <c r="H185" s="1"/>
      <c r="I185" s="18" t="s">
        <v>108</v>
      </c>
      <c r="J185" s="18"/>
      <c r="K185" s="18" t="s">
        <v>109</v>
      </c>
      <c r="L185" s="18"/>
      <c r="N185" s="11" t="s">
        <v>110</v>
      </c>
      <c r="O185" s="9"/>
      <c r="P185" s="54"/>
      <c r="Q185" s="9"/>
      <c r="R185" s="9"/>
      <c r="S185" s="11" t="s">
        <v>39</v>
      </c>
      <c r="X185" s="41"/>
      <c r="Y185" s="11" t="s">
        <v>111</v>
      </c>
    </row>
    <row r="186" customFormat="false" ht="15" hidden="false" customHeight="true" outlineLevel="0" collapsed="false">
      <c r="A186" s="61"/>
      <c r="B186" s="60" t="s">
        <v>112</v>
      </c>
      <c r="C186" s="47" t="n">
        <f aca="false">-(C14+C21+C54+C87+C120+C153)</f>
        <v>-0</v>
      </c>
      <c r="E186" s="55" t="s">
        <v>33</v>
      </c>
      <c r="F186" s="35" t="n">
        <f aca="false">E202/IF(H186=0,1000000000000,H186)</f>
        <v>0</v>
      </c>
      <c r="G186" s="55" t="s">
        <v>113</v>
      </c>
      <c r="H186" s="57" t="n">
        <f aca="false">'CS_6 X-axis'!B25</f>
        <v>72722.0521664304</v>
      </c>
      <c r="I186" s="55" t="s">
        <v>97</v>
      </c>
      <c r="J186" s="35" t="n">
        <f aca="false">A215*F229</f>
        <v>-0</v>
      </c>
      <c r="K186" s="55" t="s">
        <v>97</v>
      </c>
      <c r="L186" s="68" t="n">
        <f aca="false" t="array" ref="L186:L189">MMULT(MINVERSE(O198:R201),J186:J189)</f>
        <v>0</v>
      </c>
      <c r="O186" s="0" t="s">
        <v>42</v>
      </c>
      <c r="P186" s="31" t="s">
        <v>43</v>
      </c>
      <c r="Q186" s="17" t="s">
        <v>44</v>
      </c>
      <c r="R186" s="17" t="s">
        <v>45</v>
      </c>
      <c r="T186" s="0" t="s">
        <v>42</v>
      </c>
      <c r="U186" s="31" t="s">
        <v>43</v>
      </c>
      <c r="V186" s="17" t="s">
        <v>44</v>
      </c>
      <c r="W186" s="17" t="s">
        <v>45</v>
      </c>
      <c r="X186" s="41"/>
      <c r="Y186" s="0" t="s">
        <v>42</v>
      </c>
      <c r="Z186" s="31" t="s">
        <v>43</v>
      </c>
      <c r="AA186" s="17" t="s">
        <v>44</v>
      </c>
      <c r="AB186" s="17" t="s">
        <v>45</v>
      </c>
    </row>
    <row r="187" customFormat="false" ht="15" hidden="false" customHeight="true" outlineLevel="0" collapsed="false">
      <c r="A187" s="112" t="s">
        <v>181</v>
      </c>
      <c r="B187" s="60" t="s">
        <v>115</v>
      </c>
      <c r="C187" s="47" t="n">
        <f aca="false">-(C15+C22+C55+C88+C121+C154)</f>
        <v>-1301.6</v>
      </c>
      <c r="E187" s="55" t="s">
        <v>34</v>
      </c>
      <c r="F187" s="35" t="n">
        <f aca="false">E203/IF(H187=0,1000000000000,H187)</f>
        <v>0</v>
      </c>
      <c r="G187" s="55" t="s">
        <v>116</v>
      </c>
      <c r="H187" s="57" t="n">
        <f aca="false">'CS_6 X-axis'!B26</f>
        <v>2588000</v>
      </c>
      <c r="I187" s="55" t="s">
        <v>100</v>
      </c>
      <c r="J187" s="35" t="n">
        <f aca="false">A215*F230</f>
        <v>0</v>
      </c>
      <c r="K187" s="55" t="s">
        <v>100</v>
      </c>
      <c r="L187" s="68" t="n">
        <v>0</v>
      </c>
      <c r="N187" s="55" t="s">
        <v>33</v>
      </c>
      <c r="O187" s="56" t="n">
        <f aca="false">H179</f>
        <v>0</v>
      </c>
      <c r="P187" s="56" t="n">
        <f aca="false">H182*O194</f>
        <v>0</v>
      </c>
      <c r="Q187" s="56" t="n">
        <f aca="false">H183*P194</f>
        <v>0</v>
      </c>
      <c r="R187" s="56" t="n">
        <f aca="false">H184*Q194</f>
        <v>-0</v>
      </c>
      <c r="S187" s="55" t="s">
        <v>33</v>
      </c>
      <c r="T187" s="56" t="n">
        <f aca="false" t="array" ref="T187:T190">MMULT(T198:W201,O187:O190)</f>
        <v>0</v>
      </c>
      <c r="U187" s="56" t="n">
        <f aca="false" t="array" ref="U187:U190">MMULT(T198:W201,P187:P190)</f>
        <v>0</v>
      </c>
      <c r="V187" s="56" t="n">
        <f aca="false" t="array" ref="V187:V190">MMULT(T198:W201,Q187:Q190)</f>
        <v>0</v>
      </c>
      <c r="W187" s="56" t="n">
        <f aca="false" t="array" ref="W187:W190">MMULT(T198:W201,R187:R190)</f>
        <v>0</v>
      </c>
      <c r="X187" s="32" t="s">
        <v>33</v>
      </c>
      <c r="Y187" s="57" t="n">
        <f aca="false" t="array" ref="Y187:Y190">MMULT(T198:W201,Y180:Y183)</f>
        <v>-0.00133168731981821</v>
      </c>
      <c r="Z187" s="57" t="n">
        <f aca="false" t="array" ref="Z187:Z190">MMULT(T198:W201,Z180:Z183)</f>
        <v>0</v>
      </c>
      <c r="AA187" s="57" t="n">
        <f aca="false" t="array" ref="AA187:AA190">MMULT(T198:W201,AA180:AA183)</f>
        <v>0.0173784824201823</v>
      </c>
      <c r="AB187" s="57" t="n">
        <f aca="false" t="array" ref="AB187:AB190">MMULT(T198:W201,AB180:AB183)</f>
        <v>0</v>
      </c>
    </row>
    <row r="188" customFormat="false" ht="15" hidden="false" customHeight="true" outlineLevel="0" collapsed="false">
      <c r="A188" s="112"/>
      <c r="B188" s="11" t="s">
        <v>117</v>
      </c>
      <c r="E188" s="55" t="s">
        <v>35</v>
      </c>
      <c r="F188" s="35" t="n">
        <f aca="false">E204/IF(H188=0,1000000000000,H188)</f>
        <v>-7.57341576506955E-005</v>
      </c>
      <c r="G188" s="55" t="s">
        <v>118</v>
      </c>
      <c r="H188" s="57" t="n">
        <f aca="false">'CS_6 X-axis'!B27</f>
        <v>2588000</v>
      </c>
      <c r="I188" s="55" t="s">
        <v>104</v>
      </c>
      <c r="J188" s="35" t="n">
        <f aca="false">A215*F231</f>
        <v>0</v>
      </c>
      <c r="K188" s="55" t="s">
        <v>104</v>
      </c>
      <c r="L188" s="68" t="n">
        <v>0</v>
      </c>
      <c r="N188" s="55" t="s">
        <v>34</v>
      </c>
      <c r="O188" s="56" t="n">
        <f aca="false">H180</f>
        <v>0</v>
      </c>
      <c r="P188" s="56" t="n">
        <f aca="false">H182*O195</f>
        <v>-0</v>
      </c>
      <c r="Q188" s="56" t="n">
        <f aca="false">H183*P195</f>
        <v>0</v>
      </c>
      <c r="R188" s="56" t="n">
        <f aca="false">H184*Q195</f>
        <v>0</v>
      </c>
      <c r="S188" s="55" t="s">
        <v>34</v>
      </c>
      <c r="T188" s="56" t="n">
        <v>0</v>
      </c>
      <c r="U188" s="56" t="n">
        <v>0</v>
      </c>
      <c r="V188" s="56" t="n">
        <v>0</v>
      </c>
      <c r="W188" s="56" t="n">
        <v>0</v>
      </c>
      <c r="X188" s="32" t="s">
        <v>34</v>
      </c>
      <c r="Y188" s="57" t="n">
        <v>0</v>
      </c>
      <c r="Z188" s="57" t="n">
        <v>0</v>
      </c>
      <c r="AA188" s="57" t="n">
        <v>0</v>
      </c>
      <c r="AB188" s="57" t="n">
        <v>0</v>
      </c>
    </row>
    <row r="189" customFormat="false" ht="15" hidden="false" customHeight="true" outlineLevel="0" collapsed="false">
      <c r="A189" s="112"/>
      <c r="B189" s="52" t="s">
        <v>119</v>
      </c>
      <c r="C189" s="71" t="n">
        <f aca="false">AC198+C185</f>
        <v>0</v>
      </c>
      <c r="E189" s="55" t="s">
        <v>97</v>
      </c>
      <c r="F189" s="35" t="n">
        <f aca="false">E206/IF(H189=0,1000000000000,H189)+L186</f>
        <v>0</v>
      </c>
      <c r="G189" s="55" t="s">
        <v>120</v>
      </c>
      <c r="H189" s="57" t="n">
        <f aca="false">'CS_6 X-axis'!B29</f>
        <v>6874375000</v>
      </c>
      <c r="I189" s="55" t="s">
        <v>121</v>
      </c>
      <c r="J189" s="57" t="n">
        <v>1</v>
      </c>
      <c r="K189" s="55" t="s">
        <v>121</v>
      </c>
      <c r="L189" s="68" t="n">
        <v>1</v>
      </c>
      <c r="N189" s="55" t="s">
        <v>35</v>
      </c>
      <c r="O189" s="56" t="n">
        <f aca="false">H181</f>
        <v>0</v>
      </c>
      <c r="P189" s="56" t="n">
        <f aca="false">H182*O196</f>
        <v>-0</v>
      </c>
      <c r="Q189" s="56" t="n">
        <f aca="false">H183*P196</f>
        <v>-0</v>
      </c>
      <c r="R189" s="56" t="n">
        <f aca="false">H184*Q196</f>
        <v>0</v>
      </c>
      <c r="S189" s="55" t="s">
        <v>35</v>
      </c>
      <c r="T189" s="56" t="n">
        <v>0</v>
      </c>
      <c r="U189" s="56" t="n">
        <v>0</v>
      </c>
      <c r="V189" s="56" t="n">
        <v>0</v>
      </c>
      <c r="W189" s="56" t="n">
        <v>0</v>
      </c>
      <c r="X189" s="32" t="s">
        <v>35</v>
      </c>
      <c r="Y189" s="57" t="n">
        <v>-0.000127101410143655</v>
      </c>
      <c r="Z189" s="57" t="n">
        <v>0</v>
      </c>
      <c r="AA189" s="57" t="n">
        <v>-0.00601796331303091</v>
      </c>
      <c r="AB189" s="57" t="n">
        <v>0</v>
      </c>
    </row>
    <row r="190" customFormat="false" ht="15" hidden="false" customHeight="true" outlineLevel="0" collapsed="false">
      <c r="A190" s="112"/>
      <c r="B190" s="52" t="s">
        <v>122</v>
      </c>
      <c r="C190" s="71" t="n">
        <f aca="false">AC199+C186</f>
        <v>0</v>
      </c>
      <c r="E190" s="55" t="s">
        <v>100</v>
      </c>
      <c r="F190" s="35" t="n">
        <f aca="false">E207/IF(H190=0,1000000000000,H190)+L187</f>
        <v>1.33539412673879E-005</v>
      </c>
      <c r="G190" s="55" t="s">
        <v>123</v>
      </c>
      <c r="H190" s="57" t="n">
        <f aca="false">'CS_6 X-axis'!B30</f>
        <v>6604791666.66667</v>
      </c>
      <c r="N190" s="41" t="s">
        <v>101</v>
      </c>
      <c r="O190" s="57" t="n">
        <v>1</v>
      </c>
      <c r="P190" s="57" t="n">
        <v>1</v>
      </c>
      <c r="Q190" s="57" t="n">
        <v>1</v>
      </c>
      <c r="R190" s="57" t="n">
        <v>1</v>
      </c>
      <c r="S190" s="41" t="s">
        <v>101</v>
      </c>
      <c r="T190" s="57" t="n">
        <v>1</v>
      </c>
      <c r="U190" s="57" t="n">
        <v>1</v>
      </c>
      <c r="V190" s="57" t="n">
        <v>1</v>
      </c>
      <c r="W190" s="57" t="n">
        <v>1</v>
      </c>
      <c r="X190" s="41" t="s">
        <v>101</v>
      </c>
      <c r="Y190" s="57" t="n">
        <v>1</v>
      </c>
      <c r="Z190" s="57" t="n">
        <v>1</v>
      </c>
      <c r="AA190" s="57" t="n">
        <v>1</v>
      </c>
      <c r="AB190" s="57" t="n">
        <v>1</v>
      </c>
    </row>
    <row r="191" customFormat="false" ht="15" hidden="false" customHeight="true" outlineLevel="0" collapsed="false">
      <c r="A191" s="112"/>
      <c r="B191" s="52" t="s">
        <v>124</v>
      </c>
      <c r="C191" s="71" t="n">
        <f aca="false">AC200+C187</f>
        <v>0</v>
      </c>
      <c r="E191" s="55" t="s">
        <v>104</v>
      </c>
      <c r="F191" s="35" t="n">
        <f aca="false">E208/IF(H191=0,1000000000000,H191)+L188</f>
        <v>0</v>
      </c>
      <c r="G191" s="55" t="s">
        <v>125</v>
      </c>
      <c r="H191" s="57" t="n">
        <f aca="false">'CS_6 X-axis'!B31</f>
        <v>6604791666.66667</v>
      </c>
      <c r="AB191" s="73"/>
      <c r="AU191" s="73" t="s">
        <v>126</v>
      </c>
      <c r="AZ191" s="73" t="s">
        <v>127</v>
      </c>
      <c r="BE191" s="73" t="s">
        <v>128</v>
      </c>
      <c r="BJ191" s="73" t="s">
        <v>128</v>
      </c>
    </row>
    <row r="192" customFormat="false" ht="31.2" hidden="false" customHeight="false" outlineLevel="0" collapsed="false">
      <c r="A192" s="112"/>
      <c r="B192" s="74" t="s">
        <v>168</v>
      </c>
      <c r="E192" s="1" t="s">
        <v>130</v>
      </c>
      <c r="F192" s="1"/>
      <c r="G192" s="75" t="s">
        <v>131</v>
      </c>
      <c r="H192" s="75"/>
      <c r="I192" s="75"/>
      <c r="J192" s="75"/>
      <c r="K192" s="75"/>
      <c r="L192" s="75"/>
      <c r="M192" s="3" t="s">
        <v>132</v>
      </c>
      <c r="N192" s="76" t="s">
        <v>133</v>
      </c>
      <c r="AE192" s="44" t="s">
        <v>134</v>
      </c>
      <c r="AF192" s="79" t="n">
        <v>0.001</v>
      </c>
      <c r="AG192" s="44"/>
      <c r="AH192" s="44"/>
      <c r="AI192" s="44"/>
      <c r="AJ192" s="44" t="s">
        <v>135</v>
      </c>
      <c r="AK192" s="80" t="n">
        <v>0.001</v>
      </c>
      <c r="AL192" s="31"/>
      <c r="AM192" s="31"/>
      <c r="AN192" s="44"/>
      <c r="AO192" s="44" t="s">
        <v>136</v>
      </c>
      <c r="AP192" s="79" t="n">
        <v>0.001</v>
      </c>
      <c r="AU192" s="31" t="s">
        <v>18</v>
      </c>
      <c r="AV192" s="31" t="s">
        <v>137</v>
      </c>
      <c r="AW192" s="31" t="s">
        <v>138</v>
      </c>
      <c r="AZ192" s="31" t="s">
        <v>18</v>
      </c>
      <c r="BA192" s="31" t="s">
        <v>137</v>
      </c>
      <c r="BB192" s="31" t="s">
        <v>138</v>
      </c>
      <c r="BE192" s="31" t="s">
        <v>18</v>
      </c>
      <c r="BF192" s="31" t="s">
        <v>137</v>
      </c>
      <c r="BG192" s="31" t="s">
        <v>138</v>
      </c>
    </row>
    <row r="193" customFormat="false" ht="15" hidden="false" customHeight="true" outlineLevel="0" collapsed="false">
      <c r="A193" s="112"/>
      <c r="B193" s="81" t="s">
        <v>139</v>
      </c>
      <c r="C193" s="59" t="n">
        <f aca="false" t="array" ref="C193:C196">MMULT(O165:R168,E169:E172)</f>
        <v>0</v>
      </c>
      <c r="E193" s="55" t="s">
        <v>33</v>
      </c>
      <c r="F193" s="35" t="n">
        <f aca="false" t="array" ref="F193:F198">MMULT(G193:L198,M193:M198)</f>
        <v>-0.00133168731981821</v>
      </c>
      <c r="G193" s="83" t="n">
        <f aca="false">'CS_6 X-axis'!G5</f>
        <v>7.04596465512281E-006</v>
      </c>
      <c r="H193" s="83" t="n">
        <f aca="false">'CS_6 X-axis'!H5</f>
        <v>0</v>
      </c>
      <c r="I193" s="83" t="n">
        <f aca="false">'CS_6 X-axis'!I5</f>
        <v>0</v>
      </c>
      <c r="J193" s="83" t="n">
        <f aca="false">'CS_6 X-axis'!J5</f>
        <v>0</v>
      </c>
      <c r="K193" s="83" t="n">
        <f aca="false">'CS_6 X-axis'!K5</f>
        <v>-1.50984956895489E-008</v>
      </c>
      <c r="L193" s="83" t="n">
        <f aca="false">'CS_6 X-axis'!L5</f>
        <v>0</v>
      </c>
      <c r="M193" s="57" t="n">
        <f aca="false">C193</f>
        <v>0</v>
      </c>
      <c r="O193" s="31" t="s">
        <v>140</v>
      </c>
      <c r="P193" s="17" t="s">
        <v>141</v>
      </c>
      <c r="Q193" s="17" t="s">
        <v>142</v>
      </c>
      <c r="R193" s="17"/>
      <c r="S193" s="17"/>
      <c r="T193" s="17"/>
      <c r="U193" s="17"/>
      <c r="V193" s="17"/>
      <c r="W193" s="17"/>
      <c r="X193" s="17"/>
      <c r="Y193" s="17"/>
      <c r="Z193" s="17"/>
      <c r="AA193" s="17"/>
      <c r="AB193" s="0" t="s">
        <v>143</v>
      </c>
      <c r="AC193" s="57" t="n">
        <f aca="false">C178</f>
        <v>450</v>
      </c>
      <c r="AD193" s="57"/>
      <c r="AE193" s="62" t="n">
        <v>1</v>
      </c>
      <c r="AF193" s="35" t="n">
        <v>0</v>
      </c>
      <c r="AG193" s="35" t="n">
        <v>0</v>
      </c>
      <c r="AH193" s="63" t="n">
        <v>0</v>
      </c>
      <c r="AI193" s="86"/>
      <c r="AJ193" s="35" t="n">
        <f aca="false">COS(AK192)</f>
        <v>0.999999500000042</v>
      </c>
      <c r="AK193" s="35" t="n">
        <v>0</v>
      </c>
      <c r="AL193" s="35" t="n">
        <f aca="false">-AJ195</f>
        <v>0.000999999833333342</v>
      </c>
      <c r="AM193" s="35" t="n">
        <v>0</v>
      </c>
      <c r="AN193" s="86"/>
      <c r="AO193" s="35" t="n">
        <f aca="false">COS(AP192)</f>
        <v>0.999999500000042</v>
      </c>
      <c r="AP193" s="35" t="n">
        <f aca="false">-AO194</f>
        <v>-0.000999999833333342</v>
      </c>
      <c r="AQ193" s="35" t="n">
        <v>0</v>
      </c>
      <c r="AR193" s="35" t="n">
        <v>0</v>
      </c>
      <c r="AS193" s="86"/>
      <c r="AT193" s="57" t="s">
        <v>144</v>
      </c>
      <c r="AU193" s="35" t="n">
        <f aca="false" t="array" ref="AU193:AU196">MMULT(AE193:AH196,$AC193:$AC196)</f>
        <v>450</v>
      </c>
      <c r="AV193" s="35" t="n">
        <f aca="false">AU193-$AC193</f>
        <v>0</v>
      </c>
      <c r="AW193" s="35" t="n">
        <f aca="false">AV193/AF192</f>
        <v>0</v>
      </c>
      <c r="AX193" s="86"/>
      <c r="AY193" s="57" t="s">
        <v>144</v>
      </c>
      <c r="AZ193" s="35" t="n">
        <f aca="false" t="array" ref="AZ193:AZ196">MMULT(AJ193:AM196,$AC193:$AC196)</f>
        <v>451.301374783085</v>
      </c>
      <c r="BA193" s="35" t="n">
        <f aca="false">AZ193-$AC193</f>
        <v>1.30137478308541</v>
      </c>
      <c r="BB193" s="35" t="n">
        <f aca="false">BA193/AK192</f>
        <v>1301.37478308541</v>
      </c>
      <c r="BC193" s="86"/>
      <c r="BD193" s="57" t="s">
        <v>144</v>
      </c>
      <c r="BE193" s="35" t="n">
        <f aca="false" t="array" ref="BE193:BE196">MMULT(AO193:AR196,$AC193:$AC196)</f>
        <v>449.999775000019</v>
      </c>
      <c r="BF193" s="35" t="n">
        <f aca="false">BE193-$AC193</f>
        <v>-0.000224999981242036</v>
      </c>
      <c r="BG193" s="35" t="n">
        <f aca="false">BF193/AP192</f>
        <v>-0.224999981242036</v>
      </c>
    </row>
    <row r="194" customFormat="false" ht="15.6" hidden="false" customHeight="false" outlineLevel="0" collapsed="false">
      <c r="A194" s="112"/>
      <c r="B194" s="81" t="s">
        <v>145</v>
      </c>
      <c r="C194" s="59" t="n">
        <v>0</v>
      </c>
      <c r="E194" s="55" t="s">
        <v>34</v>
      </c>
      <c r="F194" s="35" t="n">
        <v>0</v>
      </c>
      <c r="G194" s="83" t="n">
        <f aca="false">'CS_6 X-axis'!G6</f>
        <v>0</v>
      </c>
      <c r="H194" s="83" t="n">
        <f aca="false">'CS_6 X-axis'!H6</f>
        <v>7.04596465512281E-006</v>
      </c>
      <c r="I194" s="83" t="n">
        <f aca="false">'CS_6 X-axis'!I6</f>
        <v>0</v>
      </c>
      <c r="J194" s="83" t="n">
        <f aca="false">'CS_6 X-axis'!J6</f>
        <v>-1.50984956895489E-008</v>
      </c>
      <c r="K194" s="83" t="n">
        <f aca="false">'CS_6 X-axis'!K6</f>
        <v>0</v>
      </c>
      <c r="L194" s="83" t="n">
        <f aca="false">'CS_6 X-axis'!L6</f>
        <v>0</v>
      </c>
      <c r="M194" s="57" t="n">
        <f aca="false">C194</f>
        <v>0</v>
      </c>
      <c r="N194" s="55" t="s">
        <v>33</v>
      </c>
      <c r="O194" s="71" t="n">
        <f aca="false">AW193</f>
        <v>0</v>
      </c>
      <c r="P194" s="71" t="n">
        <f aca="false">BB193</f>
        <v>1301.37478308541</v>
      </c>
      <c r="Q194" s="71" t="n">
        <f aca="false">BG193</f>
        <v>-0.224999981242036</v>
      </c>
      <c r="AB194" s="0" t="s">
        <v>146</v>
      </c>
      <c r="AC194" s="57" t="n">
        <f aca="false">C179</f>
        <v>0</v>
      </c>
      <c r="AD194" s="57"/>
      <c r="AE194" s="62" t="n">
        <v>0</v>
      </c>
      <c r="AF194" s="35" t="n">
        <f aca="false">COS(AF192)</f>
        <v>0.999999500000042</v>
      </c>
      <c r="AG194" s="35" t="n">
        <f aca="false">-SIN(AF192)</f>
        <v>-0.000999999833333342</v>
      </c>
      <c r="AH194" s="63" t="n">
        <v>0</v>
      </c>
      <c r="AI194" s="86"/>
      <c r="AJ194" s="35" t="n">
        <v>0</v>
      </c>
      <c r="AK194" s="35" t="n">
        <v>1</v>
      </c>
      <c r="AL194" s="35" t="n">
        <v>0</v>
      </c>
      <c r="AM194" s="35" t="n">
        <v>0</v>
      </c>
      <c r="AN194" s="86"/>
      <c r="AO194" s="35" t="n">
        <f aca="false">SIN(AP192)</f>
        <v>0.000999999833333342</v>
      </c>
      <c r="AP194" s="35" t="n">
        <f aca="false">AO193</f>
        <v>0.999999500000042</v>
      </c>
      <c r="AQ194" s="35" t="n">
        <v>0</v>
      </c>
      <c r="AR194" s="35" t="n">
        <v>0</v>
      </c>
      <c r="AS194" s="86"/>
      <c r="AT194" s="57" t="s">
        <v>147</v>
      </c>
      <c r="AU194" s="35" t="n">
        <v>-1.30159978306668</v>
      </c>
      <c r="AV194" s="35" t="n">
        <f aca="false">AU194-$AC194</f>
        <v>-1.30159978306668</v>
      </c>
      <c r="AW194" s="35" t="n">
        <f aca="false">AV194/AF192</f>
        <v>-1301.59978306668</v>
      </c>
      <c r="AX194" s="86"/>
      <c r="AY194" s="57" t="s">
        <v>147</v>
      </c>
      <c r="AZ194" s="35" t="n">
        <v>0</v>
      </c>
      <c r="BA194" s="35" t="n">
        <f aca="false">AZ194-$AC194</f>
        <v>0</v>
      </c>
      <c r="BB194" s="35" t="n">
        <f aca="false">BA194/AK192</f>
        <v>0</v>
      </c>
      <c r="BC194" s="86"/>
      <c r="BD194" s="57" t="s">
        <v>147</v>
      </c>
      <c r="BE194" s="35" t="n">
        <v>0.449999925000004</v>
      </c>
      <c r="BF194" s="35" t="n">
        <f aca="false">BE194-$AC194</f>
        <v>0.449999925000004</v>
      </c>
      <c r="BG194" s="35" t="n">
        <f aca="false">BF194/AP192</f>
        <v>449.999925000004</v>
      </c>
    </row>
    <row r="195" customFormat="false" ht="15.6" hidden="false" customHeight="false" outlineLevel="0" collapsed="false">
      <c r="A195" s="112"/>
      <c r="B195" s="81" t="s">
        <v>148</v>
      </c>
      <c r="C195" s="59" t="n">
        <v>-196</v>
      </c>
      <c r="E195" s="55" t="s">
        <v>35</v>
      </c>
      <c r="F195" s="35" t="n">
        <v>-5.13672524929591E-005</v>
      </c>
      <c r="G195" s="83" t="n">
        <f aca="false">'CS_6 X-axis'!G7</f>
        <v>0</v>
      </c>
      <c r="H195" s="83" t="n">
        <f aca="false">'CS_6 X-axis'!H7</f>
        <v>0</v>
      </c>
      <c r="I195" s="83" t="n">
        <f aca="false">'CS_6 X-axis'!I7</f>
        <v>2.62077818841628E-007</v>
      </c>
      <c r="J195" s="83" t="n">
        <f aca="false">'CS_6 X-axis'!J7</f>
        <v>0</v>
      </c>
      <c r="K195" s="83" t="n">
        <f aca="false">'CS_6 X-axis'!K7</f>
        <v>0</v>
      </c>
      <c r="L195" s="83" t="n">
        <f aca="false">'CS_6 X-axis'!L7</f>
        <v>0</v>
      </c>
      <c r="M195" s="57" t="n">
        <f aca="false">C195</f>
        <v>-196</v>
      </c>
      <c r="N195" s="55" t="s">
        <v>34</v>
      </c>
      <c r="O195" s="71" t="n">
        <f aca="false">AW194</f>
        <v>-1301.59978306668</v>
      </c>
      <c r="P195" s="71" t="n">
        <f aca="false">BB194</f>
        <v>0</v>
      </c>
      <c r="Q195" s="71" t="n">
        <f aca="false">BG194</f>
        <v>449.999925000004</v>
      </c>
      <c r="AB195" s="0" t="s">
        <v>149</v>
      </c>
      <c r="AC195" s="57" t="n">
        <f aca="false">C180</f>
        <v>1301.6</v>
      </c>
      <c r="AD195" s="57"/>
      <c r="AE195" s="62" t="n">
        <v>0</v>
      </c>
      <c r="AF195" s="35" t="n">
        <f aca="false">-AG194</f>
        <v>0.000999999833333342</v>
      </c>
      <c r="AG195" s="35" t="n">
        <f aca="false">AF194</f>
        <v>0.999999500000042</v>
      </c>
      <c r="AH195" s="63" t="n">
        <v>0</v>
      </c>
      <c r="AI195" s="86"/>
      <c r="AJ195" s="35" t="n">
        <f aca="false">-SIN(AK192)</f>
        <v>-0.000999999833333342</v>
      </c>
      <c r="AK195" s="35" t="n">
        <v>0</v>
      </c>
      <c r="AL195" s="35" t="n">
        <f aca="false">COS(AK192)</f>
        <v>0.999999500000042</v>
      </c>
      <c r="AM195" s="35" t="n">
        <v>0</v>
      </c>
      <c r="AN195" s="86"/>
      <c r="AO195" s="35" t="n">
        <v>0</v>
      </c>
      <c r="AP195" s="35" t="n">
        <v>0</v>
      </c>
      <c r="AQ195" s="35" t="n">
        <v>1</v>
      </c>
      <c r="AR195" s="35" t="n">
        <v>0</v>
      </c>
      <c r="AS195" s="86"/>
      <c r="AT195" s="57" t="s">
        <v>150</v>
      </c>
      <c r="AU195" s="35" t="n">
        <v>1301.59934920005</v>
      </c>
      <c r="AV195" s="35" t="n">
        <f aca="false">AU195-$AC195</f>
        <v>-0.000650799945788094</v>
      </c>
      <c r="AW195" s="35" t="n">
        <f aca="false">AV195/AF192</f>
        <v>-0.650799945788094</v>
      </c>
      <c r="AX195" s="86"/>
      <c r="AY195" s="57" t="s">
        <v>150</v>
      </c>
      <c r="AZ195" s="35" t="n">
        <v>1301.14934927505</v>
      </c>
      <c r="BA195" s="35" t="n">
        <f aca="false">AZ195-$AC195</f>
        <v>-0.450650724945717</v>
      </c>
      <c r="BB195" s="35" t="n">
        <f aca="false">BA195/AK192</f>
        <v>-450.650724945717</v>
      </c>
      <c r="BC195" s="86"/>
      <c r="BD195" s="57" t="s">
        <v>150</v>
      </c>
      <c r="BE195" s="35" t="n">
        <v>1301.6</v>
      </c>
      <c r="BF195" s="35" t="n">
        <f aca="false">BE195-$AC195</f>
        <v>0</v>
      </c>
      <c r="BG195" s="35" t="n">
        <f aca="false">BF195/AP192</f>
        <v>0</v>
      </c>
    </row>
    <row r="196" customFormat="false" ht="15" hidden="false" customHeight="true" outlineLevel="0" collapsed="false">
      <c r="A196" s="112"/>
      <c r="B196" s="81" t="s">
        <v>101</v>
      </c>
      <c r="C196" s="59" t="n">
        <v>1</v>
      </c>
      <c r="E196" s="55" t="s">
        <v>97</v>
      </c>
      <c r="F196" s="35" t="n">
        <v>0</v>
      </c>
      <c r="G196" s="83" t="n">
        <f aca="false">'CS_6 X-axis'!G8</f>
        <v>0</v>
      </c>
      <c r="H196" s="83" t="n">
        <f aca="false">'CS_6 X-axis'!H8</f>
        <v>-1.50984956895489E-008</v>
      </c>
      <c r="I196" s="83" t="n">
        <f aca="false">'CS_6 X-axis'!I8</f>
        <v>0</v>
      </c>
      <c r="J196" s="83" t="n">
        <f aca="false">'CS_6 X-axis'!J8</f>
        <v>2.67426345756763E-013</v>
      </c>
      <c r="K196" s="83" t="n">
        <f aca="false">'CS_6 X-axis'!K8</f>
        <v>0</v>
      </c>
      <c r="L196" s="83" t="n">
        <f aca="false">'CS_6 X-axis'!L8</f>
        <v>0</v>
      </c>
      <c r="M196" s="57" t="n">
        <f aca="false">C197</f>
        <v>0</v>
      </c>
      <c r="N196" s="55" t="s">
        <v>35</v>
      </c>
      <c r="O196" s="71" t="n">
        <f aca="false">AW195</f>
        <v>-0.650799945788094</v>
      </c>
      <c r="P196" s="71" t="n">
        <f aca="false">BB195</f>
        <v>-450.650724945717</v>
      </c>
      <c r="Q196" s="71" t="n">
        <f aca="false">BG195</f>
        <v>0</v>
      </c>
      <c r="AC196" s="57" t="n">
        <v>1</v>
      </c>
      <c r="AD196" s="57"/>
      <c r="AE196" s="62" t="n">
        <v>0</v>
      </c>
      <c r="AF196" s="35" t="n">
        <v>0</v>
      </c>
      <c r="AG196" s="35" t="n">
        <v>0</v>
      </c>
      <c r="AH196" s="63" t="n">
        <v>1</v>
      </c>
      <c r="AI196" s="86"/>
      <c r="AJ196" s="35" t="n">
        <v>0</v>
      </c>
      <c r="AK196" s="35" t="n">
        <v>0</v>
      </c>
      <c r="AL196" s="35" t="n">
        <v>0</v>
      </c>
      <c r="AM196" s="35" t="n">
        <v>1</v>
      </c>
      <c r="AN196" s="86"/>
      <c r="AO196" s="35" t="n">
        <v>0</v>
      </c>
      <c r="AP196" s="35" t="n">
        <v>0</v>
      </c>
      <c r="AQ196" s="35" t="n">
        <v>0</v>
      </c>
      <c r="AR196" s="35" t="n">
        <v>1</v>
      </c>
      <c r="AS196" s="86"/>
      <c r="AT196" s="57"/>
      <c r="AU196" s="35" t="n">
        <v>1</v>
      </c>
      <c r="AV196" s="35"/>
      <c r="AW196" s="35"/>
      <c r="AX196" s="86"/>
      <c r="AY196" s="57"/>
      <c r="AZ196" s="35" t="n">
        <v>1</v>
      </c>
      <c r="BA196" s="35"/>
      <c r="BB196" s="35"/>
      <c r="BC196" s="86"/>
      <c r="BD196" s="57"/>
      <c r="BE196" s="35" t="n">
        <v>1</v>
      </c>
      <c r="BF196" s="35"/>
      <c r="BG196" s="35"/>
    </row>
    <row r="197" customFormat="false" ht="15" hidden="false" customHeight="true" outlineLevel="0" collapsed="false">
      <c r="A197" s="112"/>
      <c r="B197" s="81" t="s">
        <v>151</v>
      </c>
      <c r="C197" s="59" t="n">
        <f aca="false" t="array" ref="C197:C200">MMULT(O165:R168,E173:E176)</f>
        <v>0</v>
      </c>
      <c r="E197" s="55" t="s">
        <v>100</v>
      </c>
      <c r="F197" s="35" t="n">
        <v>3.80482091376632E-006</v>
      </c>
      <c r="G197" s="83" t="n">
        <f aca="false">'CS_6 X-axis'!G9</f>
        <v>-1.50984956895489E-008</v>
      </c>
      <c r="H197" s="83" t="n">
        <f aca="false">'CS_6 X-axis'!H9</f>
        <v>0</v>
      </c>
      <c r="I197" s="83" t="n">
        <f aca="false">'CS_6 X-axis'!I9</f>
        <v>0</v>
      </c>
      <c r="J197" s="83" t="n">
        <f aca="false">'CS_6 X-axis'!J9</f>
        <v>0</v>
      </c>
      <c r="K197" s="83" t="n">
        <f aca="false">'CS_6 X-axis'!K9</f>
        <v>4.31385591129968E-011</v>
      </c>
      <c r="L197" s="83" t="n">
        <f aca="false">'CS_6 X-axis'!L9</f>
        <v>0</v>
      </c>
      <c r="M197" s="57" t="n">
        <f aca="false">C198</f>
        <v>88200</v>
      </c>
      <c r="O197" s="89" t="s">
        <v>152</v>
      </c>
      <c r="T197" s="89" t="s">
        <v>153</v>
      </c>
      <c r="AE197" s="0" t="s">
        <v>154</v>
      </c>
      <c r="AJ197" s="0" t="s">
        <v>155</v>
      </c>
      <c r="AO197" s="0" t="s">
        <v>156</v>
      </c>
    </row>
    <row r="198" customFormat="false" ht="15" hidden="false" customHeight="true" outlineLevel="0" collapsed="false">
      <c r="A198" s="112"/>
      <c r="B198" s="81" t="s">
        <v>157</v>
      </c>
      <c r="C198" s="59" t="n">
        <v>88200</v>
      </c>
      <c r="E198" s="55" t="s">
        <v>104</v>
      </c>
      <c r="F198" s="35" t="n">
        <v>0</v>
      </c>
      <c r="G198" s="83" t="n">
        <f aca="false">'CS_6 X-axis'!G10</f>
        <v>0</v>
      </c>
      <c r="H198" s="83" t="n">
        <f aca="false">'CS_6 X-axis'!H10</f>
        <v>0</v>
      </c>
      <c r="I198" s="83" t="n">
        <f aca="false">'CS_6 X-axis'!I10</f>
        <v>0</v>
      </c>
      <c r="J198" s="83" t="n">
        <f aca="false">'CS_6 X-axis'!J10</f>
        <v>0</v>
      </c>
      <c r="K198" s="83" t="n">
        <f aca="false">'CS_6 X-axis'!K10</f>
        <v>0</v>
      </c>
      <c r="L198" s="83" t="n">
        <f aca="false">'CS_6 X-axis'!L10</f>
        <v>6.86934432570304E-012</v>
      </c>
      <c r="M198" s="57" t="n">
        <f aca="false">C199</f>
        <v>0</v>
      </c>
      <c r="O198" s="71" t="n">
        <f aca="false" t="array" ref="O198:R201">MMULT(AO198:AR201,MMULT(AJ198:AM201,AE198:AH201))</f>
        <v>1</v>
      </c>
      <c r="P198" s="71" t="n">
        <v>0</v>
      </c>
      <c r="Q198" s="71" t="n">
        <v>0</v>
      </c>
      <c r="R198" s="71" t="n">
        <v>0</v>
      </c>
      <c r="S198" s="90"/>
      <c r="T198" s="71" t="n">
        <f aca="false" t="array" ref="T198:W201">IF(A219=1,MMULT(T231:W234,O198:R201),T$363:W$366)</f>
        <v>1</v>
      </c>
      <c r="U198" s="71" t="n">
        <v>0</v>
      </c>
      <c r="V198" s="71" t="n">
        <v>0</v>
      </c>
      <c r="W198" s="71" t="n">
        <v>0</v>
      </c>
      <c r="X198" s="71"/>
      <c r="Y198" s="71"/>
      <c r="Z198" s="71"/>
      <c r="AA198" s="71"/>
      <c r="AB198" s="0" t="s">
        <v>158</v>
      </c>
      <c r="AC198" s="57" t="n">
        <f aca="false" t="array" ref="AC198:AC201">MMULT(O198:R201,AC193:AC196)</f>
        <v>450</v>
      </c>
      <c r="AD198" s="57"/>
      <c r="AE198" s="91" t="n">
        <v>1</v>
      </c>
      <c r="AF198" s="57" t="n">
        <v>0</v>
      </c>
      <c r="AG198" s="57" t="n">
        <v>0</v>
      </c>
      <c r="AH198" s="92" t="n">
        <v>0</v>
      </c>
      <c r="AJ198" s="91" t="n">
        <f aca="false">COS(PI()*C183/180)</f>
        <v>1</v>
      </c>
      <c r="AK198" s="57" t="n">
        <v>0</v>
      </c>
      <c r="AL198" s="57" t="n">
        <f aca="false">SIN(PI()*C183/180)</f>
        <v>0</v>
      </c>
      <c r="AM198" s="92" t="n">
        <v>0</v>
      </c>
      <c r="AO198" s="91" t="n">
        <f aca="false">COS(PI()*C184/180)</f>
        <v>1</v>
      </c>
      <c r="AP198" s="57" t="n">
        <f aca="false">-SIN(PI()*C184/180)</f>
        <v>0</v>
      </c>
      <c r="AQ198" s="57" t="n">
        <v>0</v>
      </c>
      <c r="AR198" s="92" t="n">
        <v>0</v>
      </c>
    </row>
    <row r="199" customFormat="false" ht="15" hidden="false" customHeight="true" outlineLevel="0" collapsed="false">
      <c r="A199" s="112"/>
      <c r="B199" s="81" t="s">
        <v>159</v>
      </c>
      <c r="C199" s="59" t="n">
        <v>0</v>
      </c>
      <c r="G199" s="113"/>
      <c r="H199" s="113"/>
      <c r="I199" s="113"/>
      <c r="J199" s="93"/>
      <c r="K199" s="93"/>
      <c r="L199" s="93"/>
      <c r="M199" s="93"/>
      <c r="O199" s="71" t="n">
        <v>0</v>
      </c>
      <c r="P199" s="71" t="n">
        <v>1</v>
      </c>
      <c r="Q199" s="71" t="n">
        <v>0</v>
      </c>
      <c r="R199" s="71" t="n">
        <v>0</v>
      </c>
      <c r="S199" s="90"/>
      <c r="T199" s="71" t="n">
        <v>0</v>
      </c>
      <c r="U199" s="71" t="n">
        <v>1</v>
      </c>
      <c r="V199" s="71" t="n">
        <v>0</v>
      </c>
      <c r="W199" s="71" t="n">
        <v>0</v>
      </c>
      <c r="X199" s="71"/>
      <c r="Y199" s="71"/>
      <c r="Z199" s="71"/>
      <c r="AA199" s="71"/>
      <c r="AB199" s="0" t="s">
        <v>160</v>
      </c>
      <c r="AC199" s="57" t="n">
        <v>0</v>
      </c>
      <c r="AD199" s="57"/>
      <c r="AE199" s="91" t="n">
        <v>0</v>
      </c>
      <c r="AF199" s="57" t="n">
        <f aca="false">COS(PI()*C182/180)</f>
        <v>1</v>
      </c>
      <c r="AG199" s="57" t="n">
        <f aca="false">-SIN(PI()*C182/180)</f>
        <v>0</v>
      </c>
      <c r="AH199" s="92" t="n">
        <v>0</v>
      </c>
      <c r="AJ199" s="91" t="n">
        <v>0</v>
      </c>
      <c r="AK199" s="57" t="n">
        <v>1</v>
      </c>
      <c r="AL199" s="57" t="n">
        <v>0</v>
      </c>
      <c r="AM199" s="92" t="n">
        <v>0</v>
      </c>
      <c r="AO199" s="91" t="n">
        <f aca="false">SIN(PI()*C184/180)</f>
        <v>0</v>
      </c>
      <c r="AP199" s="57" t="n">
        <f aca="false">AO198</f>
        <v>1</v>
      </c>
      <c r="AQ199" s="57" t="n">
        <v>0</v>
      </c>
      <c r="AR199" s="92" t="n">
        <v>0</v>
      </c>
    </row>
    <row r="200" customFormat="false" ht="15" hidden="false" customHeight="true" outlineLevel="0" collapsed="false">
      <c r="A200" s="112"/>
      <c r="B200" s="81" t="s">
        <v>101</v>
      </c>
      <c r="C200" s="59" t="n">
        <v>1</v>
      </c>
      <c r="G200" s="113"/>
      <c r="H200" s="113"/>
      <c r="I200" s="113"/>
      <c r="J200" s="93"/>
      <c r="K200" s="93"/>
      <c r="L200" s="93"/>
      <c r="M200" s="93"/>
      <c r="O200" s="71" t="n">
        <v>0</v>
      </c>
      <c r="P200" s="71" t="n">
        <v>0</v>
      </c>
      <c r="Q200" s="71" t="n">
        <v>1</v>
      </c>
      <c r="R200" s="71" t="n">
        <v>0</v>
      </c>
      <c r="S200" s="90"/>
      <c r="T200" s="71" t="n">
        <v>0</v>
      </c>
      <c r="U200" s="71" t="n">
        <v>0</v>
      </c>
      <c r="V200" s="71" t="n">
        <v>1</v>
      </c>
      <c r="W200" s="71" t="n">
        <v>0</v>
      </c>
      <c r="X200" s="71"/>
      <c r="Y200" s="71"/>
      <c r="Z200" s="71"/>
      <c r="AA200" s="71"/>
      <c r="AB200" s="0" t="s">
        <v>161</v>
      </c>
      <c r="AC200" s="57" t="n">
        <v>1301.6</v>
      </c>
      <c r="AD200" s="57"/>
      <c r="AE200" s="91" t="n">
        <v>0</v>
      </c>
      <c r="AF200" s="57" t="n">
        <f aca="false">SIN(PI()*C182/180)</f>
        <v>0</v>
      </c>
      <c r="AG200" s="57" t="n">
        <f aca="false">AF199</f>
        <v>1</v>
      </c>
      <c r="AH200" s="92" t="n">
        <v>0</v>
      </c>
      <c r="AJ200" s="91" t="n">
        <f aca="false">-SIN(PI()*C183/180)</f>
        <v>0</v>
      </c>
      <c r="AK200" s="57" t="n">
        <v>0</v>
      </c>
      <c r="AL200" s="57" t="n">
        <f aca="false">AJ198</f>
        <v>1</v>
      </c>
      <c r="AM200" s="92" t="n">
        <v>0</v>
      </c>
      <c r="AO200" s="91" t="n">
        <v>0</v>
      </c>
      <c r="AP200" s="57" t="n">
        <v>0</v>
      </c>
      <c r="AQ200" s="57" t="n">
        <v>1</v>
      </c>
      <c r="AR200" s="92" t="n">
        <v>0</v>
      </c>
    </row>
    <row r="201" s="96" customFormat="true" ht="15.6" hidden="false" customHeight="false" outlineLevel="0" collapsed="false">
      <c r="A201" s="112"/>
      <c r="B201" s="11" t="s">
        <v>169</v>
      </c>
      <c r="D201" s="11" t="s">
        <v>163</v>
      </c>
      <c r="G201" s="102"/>
      <c r="H201" s="102"/>
      <c r="I201" s="102"/>
      <c r="J201" s="114"/>
      <c r="K201" s="114"/>
      <c r="L201" s="114"/>
      <c r="M201" s="114"/>
      <c r="O201" s="98" t="n">
        <v>0</v>
      </c>
      <c r="P201" s="98" t="n">
        <v>0</v>
      </c>
      <c r="Q201" s="98" t="n">
        <v>0</v>
      </c>
      <c r="R201" s="98" t="n">
        <v>1</v>
      </c>
      <c r="S201" s="99"/>
      <c r="T201" s="98" t="n">
        <v>0</v>
      </c>
      <c r="U201" s="98" t="n">
        <v>0</v>
      </c>
      <c r="V201" s="98" t="n">
        <v>0</v>
      </c>
      <c r="W201" s="98" t="n">
        <v>1</v>
      </c>
      <c r="X201" s="98"/>
      <c r="Y201" s="98"/>
      <c r="Z201" s="98"/>
      <c r="AA201" s="98"/>
      <c r="AC201" s="100" t="n">
        <v>1</v>
      </c>
      <c r="AD201" s="100"/>
      <c r="AE201" s="100" t="n">
        <v>0</v>
      </c>
      <c r="AF201" s="100" t="n">
        <v>0</v>
      </c>
      <c r="AG201" s="100" t="n">
        <v>0</v>
      </c>
      <c r="AH201" s="100" t="n">
        <v>1</v>
      </c>
      <c r="AJ201" s="100" t="n">
        <v>0</v>
      </c>
      <c r="AK201" s="100" t="n">
        <v>0</v>
      </c>
      <c r="AL201" s="100" t="n">
        <v>0</v>
      </c>
      <c r="AM201" s="100" t="n">
        <v>1</v>
      </c>
      <c r="AO201" s="100" t="n">
        <v>0</v>
      </c>
      <c r="AP201" s="100" t="n">
        <v>0</v>
      </c>
      <c r="AQ201" s="100" t="n">
        <v>0</v>
      </c>
      <c r="AR201" s="100" t="n">
        <v>1</v>
      </c>
    </row>
    <row r="202" customFormat="false" ht="15.6" hidden="false" customHeight="false" outlineLevel="0" collapsed="false">
      <c r="A202" s="112"/>
      <c r="B202" s="81" t="s">
        <v>139</v>
      </c>
      <c r="C202" s="82" t="n">
        <v>0</v>
      </c>
      <c r="D202" s="81" t="s">
        <v>139</v>
      </c>
      <c r="E202" s="59" t="n">
        <f aca="false">C193+C202</f>
        <v>0</v>
      </c>
      <c r="F202" s="103"/>
      <c r="G202" s="114"/>
      <c r="H202" s="120"/>
      <c r="I202" s="114"/>
      <c r="J202" s="114"/>
      <c r="K202" s="114"/>
      <c r="L202" s="114"/>
      <c r="M202" s="114"/>
      <c r="O202" s="98"/>
      <c r="P202" s="98"/>
      <c r="Q202" s="98"/>
      <c r="R202" s="98"/>
      <c r="S202" s="99"/>
      <c r="T202" s="98"/>
      <c r="U202" s="98"/>
      <c r="V202" s="98"/>
      <c r="W202" s="98"/>
      <c r="X202" s="98"/>
      <c r="Y202" s="98"/>
      <c r="Z202" s="98"/>
      <c r="AA202" s="98"/>
      <c r="AC202" s="100"/>
      <c r="AD202" s="100"/>
      <c r="AE202" s="100"/>
      <c r="AF202" s="100"/>
      <c r="AG202" s="100"/>
      <c r="AH202" s="100"/>
      <c r="AJ202" s="100"/>
      <c r="AK202" s="100"/>
      <c r="AL202" s="100"/>
      <c r="AM202" s="100"/>
      <c r="AO202" s="100"/>
      <c r="AP202" s="100"/>
      <c r="AQ202" s="100"/>
      <c r="AR202" s="100"/>
    </row>
    <row r="203" customFormat="false" ht="15.6" hidden="false" customHeight="false" outlineLevel="0" collapsed="false">
      <c r="A203" s="112"/>
      <c r="B203" s="81" t="s">
        <v>145</v>
      </c>
      <c r="C203" s="82" t="n">
        <v>0</v>
      </c>
      <c r="D203" s="81" t="s">
        <v>145</v>
      </c>
      <c r="E203" s="59" t="n">
        <f aca="false">C194+C203</f>
        <v>0</v>
      </c>
      <c r="F203" s="103"/>
      <c r="G203" s="114"/>
      <c r="H203" s="120"/>
      <c r="I203" s="114"/>
      <c r="J203" s="114"/>
      <c r="K203" s="114"/>
      <c r="L203" s="114"/>
      <c r="M203" s="114"/>
      <c r="O203" s="98"/>
      <c r="P203" s="98"/>
      <c r="Q203" s="98"/>
      <c r="R203" s="98"/>
      <c r="S203" s="99"/>
      <c r="T203" s="98"/>
      <c r="U203" s="98"/>
      <c r="V203" s="98"/>
      <c r="W203" s="98"/>
      <c r="X203" s="98"/>
      <c r="Y203" s="98"/>
      <c r="Z203" s="98"/>
      <c r="AA203" s="98"/>
      <c r="AC203" s="100"/>
      <c r="AD203" s="100"/>
      <c r="AE203" s="100"/>
      <c r="AF203" s="100"/>
      <c r="AG203" s="100"/>
      <c r="AH203" s="100"/>
      <c r="AJ203" s="100"/>
      <c r="AK203" s="100"/>
      <c r="AL203" s="100"/>
      <c r="AM203" s="100"/>
      <c r="AO203" s="100"/>
      <c r="AP203" s="100"/>
      <c r="AQ203" s="100"/>
      <c r="AR203" s="100"/>
    </row>
    <row r="204" customFormat="false" ht="15.6" hidden="false" customHeight="false" outlineLevel="0" collapsed="false">
      <c r="A204" s="112"/>
      <c r="B204" s="81" t="s">
        <v>148</v>
      </c>
      <c r="C204" s="82" t="n">
        <v>0</v>
      </c>
      <c r="D204" s="81" t="s">
        <v>148</v>
      </c>
      <c r="E204" s="59" t="n">
        <f aca="false">C195+C204</f>
        <v>-196</v>
      </c>
      <c r="F204" s="103"/>
      <c r="G204" s="114"/>
      <c r="H204" s="120"/>
      <c r="I204" s="114"/>
      <c r="J204" s="114"/>
      <c r="K204" s="114"/>
      <c r="L204" s="114"/>
      <c r="M204" s="114"/>
      <c r="O204" s="98"/>
      <c r="P204" s="98"/>
      <c r="Q204" s="98"/>
      <c r="R204" s="98"/>
      <c r="S204" s="99"/>
      <c r="T204" s="98"/>
      <c r="U204" s="98"/>
      <c r="V204" s="98"/>
      <c r="W204" s="98"/>
      <c r="X204" s="98"/>
      <c r="Y204" s="98"/>
      <c r="Z204" s="98"/>
      <c r="AA204" s="98"/>
      <c r="AC204" s="100"/>
      <c r="AD204" s="100"/>
      <c r="AE204" s="100"/>
      <c r="AF204" s="100"/>
      <c r="AG204" s="100"/>
      <c r="AH204" s="100"/>
      <c r="AJ204" s="100"/>
      <c r="AK204" s="100"/>
      <c r="AL204" s="100"/>
      <c r="AM204" s="100"/>
      <c r="AO204" s="100"/>
      <c r="AP204" s="100"/>
      <c r="AQ204" s="100"/>
      <c r="AR204" s="100"/>
    </row>
    <row r="205" customFormat="false" ht="15.6" hidden="false" customHeight="false" outlineLevel="0" collapsed="false">
      <c r="A205" s="112"/>
      <c r="B205" s="103" t="s">
        <v>101</v>
      </c>
      <c r="C205" s="115" t="n">
        <v>1</v>
      </c>
      <c r="D205" s="103" t="s">
        <v>101</v>
      </c>
      <c r="E205" s="115" t="n">
        <v>1</v>
      </c>
      <c r="F205" s="103"/>
      <c r="G205" s="114"/>
      <c r="H205" s="120"/>
      <c r="I205" s="114"/>
      <c r="J205" s="114"/>
      <c r="K205" s="114"/>
      <c r="L205" s="114"/>
      <c r="M205" s="114"/>
      <c r="O205" s="98"/>
      <c r="P205" s="98"/>
      <c r="Q205" s="98"/>
      <c r="R205" s="98"/>
      <c r="S205" s="99"/>
      <c r="T205" s="98"/>
      <c r="U205" s="98"/>
      <c r="V205" s="98"/>
      <c r="W205" s="98"/>
      <c r="X205" s="98"/>
      <c r="Y205" s="98"/>
      <c r="Z205" s="98"/>
      <c r="AA205" s="98"/>
      <c r="AC205" s="100"/>
      <c r="AD205" s="100"/>
      <c r="AE205" s="100"/>
      <c r="AF205" s="100"/>
      <c r="AG205" s="100"/>
      <c r="AH205" s="100"/>
      <c r="AJ205" s="100"/>
      <c r="AK205" s="100"/>
      <c r="AL205" s="100"/>
      <c r="AM205" s="100"/>
      <c r="AO205" s="100"/>
      <c r="AP205" s="100"/>
      <c r="AQ205" s="100"/>
      <c r="AR205" s="100"/>
    </row>
    <row r="206" customFormat="false" ht="15.6" hidden="false" customHeight="false" outlineLevel="0" collapsed="false">
      <c r="A206" s="112"/>
      <c r="B206" s="81" t="s">
        <v>151</v>
      </c>
      <c r="C206" s="82" t="n">
        <v>0</v>
      </c>
      <c r="D206" s="81" t="s">
        <v>151</v>
      </c>
      <c r="E206" s="59" t="n">
        <f aca="false">C197+C206+C195*C153-C194*C154</f>
        <v>0</v>
      </c>
      <c r="F206" s="103"/>
      <c r="G206" s="114"/>
      <c r="H206" s="120"/>
      <c r="I206" s="114"/>
      <c r="J206" s="114"/>
      <c r="K206" s="114"/>
      <c r="L206" s="114"/>
      <c r="M206" s="114"/>
      <c r="O206" s="98"/>
      <c r="P206" s="98"/>
      <c r="Q206" s="98"/>
      <c r="R206" s="98"/>
      <c r="S206" s="99"/>
      <c r="T206" s="98"/>
      <c r="U206" s="98"/>
      <c r="V206" s="98"/>
      <c r="W206" s="98"/>
      <c r="X206" s="98"/>
      <c r="Y206" s="98"/>
      <c r="Z206" s="98"/>
      <c r="AA206" s="98"/>
      <c r="AC206" s="100"/>
      <c r="AD206" s="100"/>
      <c r="AE206" s="100"/>
      <c r="AF206" s="100"/>
      <c r="AG206" s="100"/>
      <c r="AH206" s="100"/>
      <c r="AJ206" s="100"/>
      <c r="AK206" s="100"/>
      <c r="AL206" s="100"/>
      <c r="AM206" s="100"/>
      <c r="AO206" s="100"/>
      <c r="AP206" s="100"/>
      <c r="AQ206" s="100"/>
      <c r="AR206" s="100"/>
    </row>
    <row r="207" customFormat="false" ht="15.6" hidden="false" customHeight="false" outlineLevel="0" collapsed="false">
      <c r="A207" s="112"/>
      <c r="B207" s="81" t="s">
        <v>157</v>
      </c>
      <c r="C207" s="82" t="n">
        <v>0</v>
      </c>
      <c r="D207" s="81" t="s">
        <v>157</v>
      </c>
      <c r="E207" s="59" t="n">
        <f aca="false">C198+C207+C193*C154-C195*C152</f>
        <v>88200</v>
      </c>
      <c r="F207" s="103"/>
      <c r="G207" s="114"/>
      <c r="H207" s="120"/>
      <c r="I207" s="114"/>
      <c r="J207" s="114"/>
      <c r="K207" s="114"/>
      <c r="L207" s="114"/>
      <c r="M207" s="114"/>
      <c r="O207" s="98"/>
      <c r="P207" s="98"/>
      <c r="Q207" s="98"/>
      <c r="R207" s="98"/>
      <c r="S207" s="99"/>
      <c r="T207" s="98"/>
      <c r="U207" s="98"/>
      <c r="V207" s="98"/>
      <c r="W207" s="98"/>
      <c r="X207" s="98"/>
      <c r="Y207" s="98"/>
      <c r="Z207" s="98"/>
      <c r="AA207" s="98"/>
      <c r="AC207" s="100"/>
      <c r="AD207" s="100"/>
      <c r="AE207" s="100"/>
      <c r="AF207" s="100"/>
      <c r="AG207" s="100"/>
      <c r="AH207" s="100"/>
      <c r="AJ207" s="100"/>
      <c r="AK207" s="100"/>
      <c r="AL207" s="100"/>
      <c r="AM207" s="100"/>
      <c r="AO207" s="100"/>
      <c r="AP207" s="100"/>
      <c r="AQ207" s="100"/>
      <c r="AR207" s="100"/>
    </row>
    <row r="208" customFormat="false" ht="15.6" hidden="false" customHeight="false" outlineLevel="0" collapsed="false">
      <c r="A208" s="112"/>
      <c r="B208" s="81" t="s">
        <v>159</v>
      </c>
      <c r="C208" s="82" t="n">
        <v>0</v>
      </c>
      <c r="D208" s="81" t="s">
        <v>159</v>
      </c>
      <c r="E208" s="59" t="n">
        <f aca="false">C199+C208+C194*C152-C193*C153</f>
        <v>0</v>
      </c>
      <c r="F208" s="103"/>
      <c r="G208" s="114"/>
      <c r="H208" s="120"/>
      <c r="I208" s="114"/>
      <c r="J208" s="114"/>
      <c r="K208" s="114"/>
      <c r="L208" s="114"/>
      <c r="M208" s="114"/>
      <c r="O208" s="98"/>
      <c r="P208" s="98"/>
      <c r="Q208" s="98"/>
      <c r="R208" s="98"/>
      <c r="S208" s="99"/>
      <c r="T208" s="98"/>
      <c r="U208" s="98"/>
      <c r="V208" s="98"/>
      <c r="W208" s="98"/>
      <c r="X208" s="98"/>
      <c r="Y208" s="98"/>
      <c r="Z208" s="98"/>
      <c r="AA208" s="98"/>
      <c r="AC208" s="100"/>
      <c r="AD208" s="100"/>
      <c r="AE208" s="100"/>
      <c r="AF208" s="100"/>
      <c r="AG208" s="100"/>
      <c r="AH208" s="100"/>
      <c r="AJ208" s="100"/>
      <c r="AK208" s="100"/>
      <c r="AL208" s="100"/>
      <c r="AM208" s="100"/>
      <c r="AO208" s="100"/>
      <c r="AP208" s="100"/>
      <c r="AQ208" s="100"/>
      <c r="AR208" s="100"/>
    </row>
    <row r="209" s="36" customFormat="true" ht="16.2" hidden="false" customHeight="false" outlineLevel="0" collapsed="false">
      <c r="A209" s="112"/>
      <c r="B209" s="105" t="s">
        <v>101</v>
      </c>
      <c r="C209" s="106" t="n">
        <v>1</v>
      </c>
      <c r="D209" s="105" t="s">
        <v>101</v>
      </c>
      <c r="E209" s="106" t="n">
        <v>1</v>
      </c>
      <c r="F209" s="105"/>
      <c r="G209" s="116"/>
      <c r="H209" s="121"/>
      <c r="I209" s="116"/>
      <c r="J209" s="116"/>
      <c r="K209" s="116"/>
      <c r="L209" s="116"/>
      <c r="M209" s="116"/>
      <c r="O209" s="117"/>
      <c r="P209" s="117"/>
      <c r="Q209" s="117"/>
      <c r="R209" s="117"/>
      <c r="S209" s="109"/>
      <c r="T209" s="117"/>
      <c r="U209" s="117"/>
      <c r="V209" s="117"/>
      <c r="W209" s="117"/>
      <c r="X209" s="117"/>
      <c r="Y209" s="117"/>
      <c r="Z209" s="117"/>
      <c r="AA209" s="117"/>
      <c r="AC209" s="118"/>
      <c r="AD209" s="118"/>
      <c r="AE209" s="118"/>
      <c r="AF209" s="118"/>
      <c r="AG209" s="118"/>
      <c r="AH209" s="118"/>
      <c r="AJ209" s="118"/>
      <c r="AK209" s="118"/>
      <c r="AL209" s="118"/>
      <c r="AM209" s="118"/>
      <c r="AO209" s="118"/>
      <c r="AP209" s="118"/>
      <c r="AQ209" s="118"/>
      <c r="AR209" s="118"/>
    </row>
    <row r="210" customFormat="false" ht="15" hidden="false" customHeight="true" outlineLevel="0" collapsed="false">
      <c r="A210" s="50" t="s">
        <v>182</v>
      </c>
      <c r="B210" s="51" t="s">
        <v>165</v>
      </c>
      <c r="E210" s="9" t="s">
        <v>183</v>
      </c>
    </row>
    <row r="211" customFormat="false" ht="15" hidden="false" customHeight="true" outlineLevel="0" collapsed="false">
      <c r="A211" s="50"/>
      <c r="B211" s="52" t="s">
        <v>88</v>
      </c>
      <c r="C211" s="111" t="n">
        <f aca="false">C189</f>
        <v>0</v>
      </c>
      <c r="E211" s="1" t="s">
        <v>89</v>
      </c>
      <c r="F211" s="1"/>
      <c r="G211" s="1" t="s">
        <v>90</v>
      </c>
      <c r="H211" s="1"/>
      <c r="N211" s="11" t="s">
        <v>91</v>
      </c>
      <c r="O211" s="9"/>
      <c r="P211" s="54"/>
      <c r="Q211" s="9"/>
      <c r="R211" s="9"/>
      <c r="S211" s="11" t="s">
        <v>38</v>
      </c>
      <c r="Y211" s="11" t="s">
        <v>92</v>
      </c>
    </row>
    <row r="212" customFormat="false" ht="15" hidden="false" customHeight="true" outlineLevel="0" collapsed="false">
      <c r="A212" s="50"/>
      <c r="B212" s="52" t="s">
        <v>93</v>
      </c>
      <c r="C212" s="111" t="n">
        <f aca="false">C190</f>
        <v>0</v>
      </c>
      <c r="E212" s="55" t="s">
        <v>33</v>
      </c>
      <c r="F212" s="34" t="n">
        <f aca="false">'CS_7 Bed'!B45</f>
        <v>0.005</v>
      </c>
      <c r="G212" s="55" t="s">
        <v>33</v>
      </c>
      <c r="H212" s="34" t="n">
        <f aca="false">'CS_7 Bed'!B52</f>
        <v>0</v>
      </c>
      <c r="O212" s="0" t="s">
        <v>42</v>
      </c>
      <c r="P212" s="31" t="s">
        <v>43</v>
      </c>
      <c r="Q212" s="17" t="s">
        <v>44</v>
      </c>
      <c r="R212" s="17" t="s">
        <v>45</v>
      </c>
      <c r="T212" s="0" t="s">
        <v>42</v>
      </c>
      <c r="U212" s="31" t="s">
        <v>43</v>
      </c>
      <c r="V212" s="17" t="s">
        <v>44</v>
      </c>
      <c r="W212" s="17" t="s">
        <v>45</v>
      </c>
      <c r="Y212" s="0" t="s">
        <v>42</v>
      </c>
      <c r="Z212" s="31" t="s">
        <v>43</v>
      </c>
      <c r="AA212" s="17" t="s">
        <v>44</v>
      </c>
      <c r="AB212" s="17" t="s">
        <v>45</v>
      </c>
    </row>
    <row r="213" customFormat="false" ht="15" hidden="false" customHeight="true" outlineLevel="0" collapsed="false">
      <c r="A213" s="50"/>
      <c r="B213" s="52" t="s">
        <v>94</v>
      </c>
      <c r="C213" s="111" t="n">
        <f aca="false">C191</f>
        <v>0</v>
      </c>
      <c r="E213" s="55" t="s">
        <v>34</v>
      </c>
      <c r="F213" s="34" t="n">
        <f aca="false">'CS_7 Bed'!B46</f>
        <v>0.005</v>
      </c>
      <c r="G213" s="55" t="s">
        <v>34</v>
      </c>
      <c r="H213" s="34" t="n">
        <f aca="false">'CS_7 Bed'!B53</f>
        <v>0</v>
      </c>
      <c r="N213" s="55" t="s">
        <v>33</v>
      </c>
      <c r="O213" s="56" t="n">
        <f aca="false">ABS(F212)</f>
        <v>0.005</v>
      </c>
      <c r="P213" s="56" t="n">
        <f aca="false">ABS(F215*O227)</f>
        <v>0</v>
      </c>
      <c r="Q213" s="56" t="n">
        <f aca="false">ABS(F216*P227)</f>
        <v>0</v>
      </c>
      <c r="R213" s="56" t="n">
        <f aca="false">ABS(F217*Q227)</f>
        <v>0</v>
      </c>
      <c r="S213" s="55" t="s">
        <v>33</v>
      </c>
      <c r="T213" s="35" t="n">
        <f aca="false" t="array" ref="T213:W216">ABS(MMULT(T231:W234,O213:R216))</f>
        <v>0.005</v>
      </c>
      <c r="U213" s="35" t="n">
        <v>0</v>
      </c>
      <c r="V213" s="35" t="n">
        <v>0</v>
      </c>
      <c r="W213" s="35" t="n">
        <v>0</v>
      </c>
      <c r="X213" s="32" t="s">
        <v>33</v>
      </c>
      <c r="Y213" s="35" t="n">
        <f aca="false">F219+F226</f>
        <v>0</v>
      </c>
      <c r="Z213" s="57" t="n">
        <f aca="false">F222*O227</f>
        <v>0</v>
      </c>
      <c r="AA213" s="57" t="n">
        <f aca="false">F223*P227</f>
        <v>0</v>
      </c>
      <c r="AB213" s="57" t="n">
        <f aca="false">F224*Q227</f>
        <v>0</v>
      </c>
    </row>
    <row r="214" customFormat="false" ht="15" hidden="false" customHeight="true" outlineLevel="0" collapsed="false">
      <c r="A214" s="58" t="n">
        <v>7</v>
      </c>
      <c r="B214" s="9" t="s">
        <v>95</v>
      </c>
      <c r="E214" s="55" t="s">
        <v>35</v>
      </c>
      <c r="F214" s="34" t="n">
        <f aca="false">'CS_7 Bed'!B47</f>
        <v>0.005</v>
      </c>
      <c r="G214" s="55" t="s">
        <v>35</v>
      </c>
      <c r="H214" s="34" t="n">
        <f aca="false">'CS_7 Bed'!B54</f>
        <v>0</v>
      </c>
      <c r="N214" s="55" t="s">
        <v>34</v>
      </c>
      <c r="O214" s="56" t="n">
        <f aca="false">ABS(F213)</f>
        <v>0.005</v>
      </c>
      <c r="P214" s="56" t="n">
        <f aca="false">ABS(F215*O228)</f>
        <v>0</v>
      </c>
      <c r="Q214" s="56" t="n">
        <f aca="false">ABS(F216*P228)</f>
        <v>0</v>
      </c>
      <c r="R214" s="56" t="n">
        <f aca="false">ABS(F217*Q228)</f>
        <v>0</v>
      </c>
      <c r="S214" s="55" t="s">
        <v>34</v>
      </c>
      <c r="T214" s="35" t="n">
        <v>0.005</v>
      </c>
      <c r="U214" s="35" t="n">
        <v>0</v>
      </c>
      <c r="V214" s="35" t="n">
        <v>0</v>
      </c>
      <c r="W214" s="35" t="n">
        <v>0</v>
      </c>
      <c r="X214" s="32" t="s">
        <v>34</v>
      </c>
      <c r="Y214" s="35" t="n">
        <f aca="false">F220+F227</f>
        <v>0</v>
      </c>
      <c r="Z214" s="57" t="n">
        <f aca="false">F222*O228</f>
        <v>0</v>
      </c>
      <c r="AA214" s="57" t="n">
        <f aca="false">F223*P228</f>
        <v>0</v>
      </c>
      <c r="AB214" s="57" t="n">
        <f aca="false">F224*Q228</f>
        <v>0</v>
      </c>
    </row>
    <row r="215" customFormat="false" ht="15" hidden="false" customHeight="true" outlineLevel="0" collapsed="false">
      <c r="A215" s="59" t="n">
        <f aca="false">IF(A214&gt;Naxes,0,1)</f>
        <v>0</v>
      </c>
      <c r="B215" s="60" t="s">
        <v>96</v>
      </c>
      <c r="C215" s="47" t="n">
        <v>0</v>
      </c>
      <c r="E215" s="55" t="s">
        <v>97</v>
      </c>
      <c r="F215" s="34" t="n">
        <f aca="false">'CS_7 Bed'!B48</f>
        <v>5E-005</v>
      </c>
      <c r="G215" s="55" t="s">
        <v>97</v>
      </c>
      <c r="H215" s="34" t="n">
        <f aca="false">'CS_7 Bed'!B55</f>
        <v>0</v>
      </c>
      <c r="N215" s="55" t="s">
        <v>35</v>
      </c>
      <c r="O215" s="56" t="n">
        <f aca="false">ABS(F214)</f>
        <v>0.005</v>
      </c>
      <c r="P215" s="56" t="n">
        <f aca="false">ABS(F215*O229)</f>
        <v>0</v>
      </c>
      <c r="Q215" s="56" t="n">
        <f aca="false">ABS(F216*P229)</f>
        <v>0</v>
      </c>
      <c r="R215" s="56" t="n">
        <f aca="false">ABS(F217*Q229)</f>
        <v>0</v>
      </c>
      <c r="S215" s="55" t="s">
        <v>35</v>
      </c>
      <c r="T215" s="35" t="n">
        <v>0.005</v>
      </c>
      <c r="U215" s="35" t="n">
        <v>0</v>
      </c>
      <c r="V215" s="35" t="n">
        <v>0</v>
      </c>
      <c r="W215" s="35" t="n">
        <v>0</v>
      </c>
      <c r="X215" s="32" t="s">
        <v>35</v>
      </c>
      <c r="Y215" s="35" t="n">
        <f aca="false">F221+F228</f>
        <v>-0.000203901620587877</v>
      </c>
      <c r="Z215" s="57" t="n">
        <f aca="false">F222*O229</f>
        <v>0</v>
      </c>
      <c r="AA215" s="57" t="n">
        <f aca="false">F223*P229</f>
        <v>0</v>
      </c>
      <c r="AB215" s="57" t="n">
        <f aca="false">F224*Q229</f>
        <v>0</v>
      </c>
    </row>
    <row r="216" customFormat="false" ht="15" hidden="false" customHeight="true" outlineLevel="0" collapsed="false">
      <c r="A216" s="61" t="s">
        <v>98</v>
      </c>
      <c r="B216" s="60" t="s">
        <v>99</v>
      </c>
      <c r="C216" s="47" t="n">
        <v>0</v>
      </c>
      <c r="E216" s="55" t="s">
        <v>100</v>
      </c>
      <c r="F216" s="34" t="n">
        <f aca="false">'CS_7 Bed'!B49</f>
        <v>5E-005</v>
      </c>
      <c r="G216" s="55" t="s">
        <v>100</v>
      </c>
      <c r="H216" s="34" t="n">
        <f aca="false">'CS_7 Bed'!B56</f>
        <v>0</v>
      </c>
      <c r="N216" s="41" t="s">
        <v>101</v>
      </c>
      <c r="O216" s="57" t="n">
        <v>1</v>
      </c>
      <c r="P216" s="57" t="n">
        <v>1</v>
      </c>
      <c r="Q216" s="57" t="n">
        <v>1</v>
      </c>
      <c r="R216" s="57" t="n">
        <v>1</v>
      </c>
      <c r="S216" s="41" t="s">
        <v>101</v>
      </c>
      <c r="T216" s="35" t="n">
        <v>1</v>
      </c>
      <c r="U216" s="35" t="n">
        <v>1</v>
      </c>
      <c r="V216" s="35" t="n">
        <v>1</v>
      </c>
      <c r="W216" s="35" t="n">
        <v>1</v>
      </c>
      <c r="X216" s="41" t="s">
        <v>101</v>
      </c>
      <c r="Y216" s="57" t="n">
        <v>1</v>
      </c>
      <c r="Z216" s="57" t="n">
        <v>1</v>
      </c>
      <c r="AA216" s="57" t="n">
        <v>1</v>
      </c>
      <c r="AB216" s="57" t="n">
        <v>1</v>
      </c>
    </row>
    <row r="217" customFormat="false" ht="15" hidden="false" customHeight="true" outlineLevel="0" collapsed="false">
      <c r="A217" s="61"/>
      <c r="B217" s="60" t="s">
        <v>102</v>
      </c>
      <c r="C217" s="47" t="n">
        <v>0</v>
      </c>
      <c r="E217" s="55" t="s">
        <v>104</v>
      </c>
      <c r="F217" s="34" t="n">
        <f aca="false">'CS_7 Bed'!B50</f>
        <v>4.999999975E-005</v>
      </c>
      <c r="G217" s="55" t="s">
        <v>104</v>
      </c>
      <c r="H217" s="34" t="n">
        <f aca="false">'CS_7 Bed'!B57</f>
        <v>0</v>
      </c>
      <c r="X217" s="41"/>
    </row>
    <row r="218" customFormat="false" ht="31.95" hidden="false" customHeight="true" outlineLevel="0" collapsed="false">
      <c r="A218" s="61"/>
      <c r="B218" s="60" t="s">
        <v>105</v>
      </c>
      <c r="C218" s="65" t="n">
        <v>0</v>
      </c>
      <c r="E218" s="18" t="s">
        <v>106</v>
      </c>
      <c r="F218" s="18"/>
      <c r="G218" s="1" t="s">
        <v>107</v>
      </c>
      <c r="H218" s="1"/>
      <c r="I218" s="18" t="s">
        <v>108</v>
      </c>
      <c r="J218" s="18"/>
      <c r="K218" s="18" t="s">
        <v>109</v>
      </c>
      <c r="L218" s="18"/>
      <c r="N218" s="11" t="s">
        <v>110</v>
      </c>
      <c r="O218" s="9"/>
      <c r="P218" s="54"/>
      <c r="Q218" s="9"/>
      <c r="R218" s="9"/>
      <c r="S218" s="11" t="s">
        <v>39</v>
      </c>
      <c r="X218" s="41"/>
      <c r="Y218" s="11" t="s">
        <v>111</v>
      </c>
    </row>
    <row r="219" customFormat="false" ht="15" hidden="false" customHeight="true" outlineLevel="0" collapsed="false">
      <c r="A219" s="61"/>
      <c r="B219" s="60" t="s">
        <v>112</v>
      </c>
      <c r="C219" s="65" t="n">
        <v>0</v>
      </c>
      <c r="E219" s="55" t="s">
        <v>33</v>
      </c>
      <c r="F219" s="35" t="n">
        <f aca="false">E235/IF(H219=0,1000000000000,H219)</f>
        <v>0</v>
      </c>
      <c r="G219" s="55" t="s">
        <v>113</v>
      </c>
      <c r="H219" s="57" t="n">
        <f aca="false">'CS_7 Bed'!B25</f>
        <v>400000000</v>
      </c>
      <c r="I219" s="55" t="s">
        <v>97</v>
      </c>
      <c r="J219" s="35" t="n">
        <f aca="false">A248*F262</f>
        <v>0</v>
      </c>
      <c r="K219" s="55" t="s">
        <v>97</v>
      </c>
      <c r="L219" s="68" t="n">
        <f aca="false" t="array" ref="L219:L222">MMULT(MINVERSE(O231:R234),J219:J222)</f>
        <v>0</v>
      </c>
      <c r="O219" s="0" t="s">
        <v>42</v>
      </c>
      <c r="P219" s="31" t="s">
        <v>43</v>
      </c>
      <c r="Q219" s="17" t="s">
        <v>44</v>
      </c>
      <c r="R219" s="17" t="s">
        <v>45</v>
      </c>
      <c r="T219" s="0" t="s">
        <v>42</v>
      </c>
      <c r="U219" s="31" t="s">
        <v>43</v>
      </c>
      <c r="V219" s="17" t="s">
        <v>44</v>
      </c>
      <c r="W219" s="17" t="s">
        <v>45</v>
      </c>
      <c r="X219" s="41"/>
      <c r="Y219" s="0" t="s">
        <v>42</v>
      </c>
      <c r="Z219" s="31" t="s">
        <v>43</v>
      </c>
      <c r="AA219" s="17" t="s">
        <v>44</v>
      </c>
      <c r="AB219" s="17" t="s">
        <v>45</v>
      </c>
    </row>
    <row r="220" customFormat="false" ht="15" hidden="false" customHeight="true" outlineLevel="0" collapsed="false">
      <c r="A220" s="112" t="s">
        <v>184</v>
      </c>
      <c r="B220" s="60" t="s">
        <v>115</v>
      </c>
      <c r="C220" s="47" t="n">
        <v>0</v>
      </c>
      <c r="E220" s="55" t="s">
        <v>34</v>
      </c>
      <c r="F220" s="35" t="n">
        <f aca="false">E236/IF(H220=0,1000000000000,H220)</f>
        <v>0</v>
      </c>
      <c r="G220" s="55" t="s">
        <v>116</v>
      </c>
      <c r="H220" s="57" t="n">
        <f aca="false">'CS_7 Bed'!B26</f>
        <v>400000000</v>
      </c>
      <c r="I220" s="55" t="s">
        <v>100</v>
      </c>
      <c r="J220" s="35" t="n">
        <f aca="false">A248*F263</f>
        <v>0</v>
      </c>
      <c r="K220" s="55" t="s">
        <v>100</v>
      </c>
      <c r="L220" s="68" t="n">
        <v>0</v>
      </c>
      <c r="N220" s="55" t="s">
        <v>33</v>
      </c>
      <c r="O220" s="56" t="n">
        <f aca="false">H212</f>
        <v>0</v>
      </c>
      <c r="P220" s="56" t="n">
        <f aca="false">H215*O227</f>
        <v>0</v>
      </c>
      <c r="Q220" s="56" t="n">
        <f aca="false">H216*P227</f>
        <v>0</v>
      </c>
      <c r="R220" s="56" t="n">
        <f aca="false">H217*Q227</f>
        <v>0</v>
      </c>
      <c r="S220" s="55" t="s">
        <v>33</v>
      </c>
      <c r="T220" s="56" t="n">
        <f aca="false" t="array" ref="T220:T223">MMULT(T231:W234,O220:O223)</f>
        <v>0</v>
      </c>
      <c r="U220" s="56" t="n">
        <f aca="false" t="array" ref="U220:U223">MMULT(T231:W234,P220:P223)</f>
        <v>0</v>
      </c>
      <c r="V220" s="56" t="n">
        <f aca="false" t="array" ref="V220:V223">MMULT(T231:W234,Q220:Q223)</f>
        <v>0</v>
      </c>
      <c r="W220" s="56" t="n">
        <f aca="false" t="array" ref="W220:W223">MMULT(T231:W234,R220:R223)</f>
        <v>0</v>
      </c>
      <c r="X220" s="32" t="s">
        <v>33</v>
      </c>
      <c r="Y220" s="57" t="n">
        <f aca="false" t="array" ref="Y220:Y223">MMULT(T231:W234,Y213:Y216)</f>
        <v>0</v>
      </c>
      <c r="Z220" s="57" t="n">
        <f aca="false" t="array" ref="Z220:Z223">MMULT(T231:W234,Z213:Z216)</f>
        <v>0</v>
      </c>
      <c r="AA220" s="57" t="n">
        <f aca="false" t="array" ref="AA220:AA223">MMULT(T231:W234,AA213:AA216)</f>
        <v>0</v>
      </c>
      <c r="AB220" s="57" t="n">
        <f aca="false" t="array" ref="AB220:AB223">MMULT(T231:W234,AB213:AB216)</f>
        <v>0</v>
      </c>
    </row>
    <row r="221" customFormat="false" ht="15" hidden="false" customHeight="true" outlineLevel="0" collapsed="false">
      <c r="A221" s="112"/>
      <c r="B221" s="11" t="s">
        <v>117</v>
      </c>
      <c r="E221" s="55" t="s">
        <v>35</v>
      </c>
      <c r="F221" s="35" t="n">
        <f aca="false">E237/IF(H221=0,1000000000000,H221)</f>
        <v>-4.9E-007</v>
      </c>
      <c r="G221" s="55" t="s">
        <v>118</v>
      </c>
      <c r="H221" s="57" t="n">
        <f aca="false">'CS_7 Bed'!B27</f>
        <v>400000000</v>
      </c>
      <c r="I221" s="55" t="s">
        <v>104</v>
      </c>
      <c r="J221" s="35" t="n">
        <f aca="false">A248*F264</f>
        <v>0</v>
      </c>
      <c r="K221" s="55" t="s">
        <v>104</v>
      </c>
      <c r="L221" s="68" t="n">
        <v>0</v>
      </c>
      <c r="N221" s="55" t="s">
        <v>34</v>
      </c>
      <c r="O221" s="56" t="n">
        <f aca="false">H213</f>
        <v>0</v>
      </c>
      <c r="P221" s="56" t="n">
        <f aca="false">H215*O228</f>
        <v>0</v>
      </c>
      <c r="Q221" s="56" t="n">
        <f aca="false">H216*P228</f>
        <v>0</v>
      </c>
      <c r="R221" s="56" t="n">
        <f aca="false">H217*Q228</f>
        <v>0</v>
      </c>
      <c r="S221" s="55" t="s">
        <v>34</v>
      </c>
      <c r="T221" s="56" t="n">
        <v>0</v>
      </c>
      <c r="U221" s="56" t="n">
        <v>0</v>
      </c>
      <c r="V221" s="56" t="n">
        <v>0</v>
      </c>
      <c r="W221" s="56" t="n">
        <v>0</v>
      </c>
      <c r="X221" s="32" t="s">
        <v>34</v>
      </c>
      <c r="Y221" s="57" t="n">
        <v>0</v>
      </c>
      <c r="Z221" s="57" t="n">
        <v>0</v>
      </c>
      <c r="AA221" s="57" t="n">
        <v>0</v>
      </c>
      <c r="AB221" s="57" t="n">
        <v>0</v>
      </c>
    </row>
    <row r="222" customFormat="false" ht="15" hidden="false" customHeight="true" outlineLevel="0" collapsed="false">
      <c r="A222" s="112"/>
      <c r="B222" s="52" t="s">
        <v>119</v>
      </c>
      <c r="C222" s="71" t="n">
        <f aca="false">AC231+C218</f>
        <v>0</v>
      </c>
      <c r="E222" s="55" t="s">
        <v>97</v>
      </c>
      <c r="F222" s="35" t="n">
        <f aca="false">E239/IF(H222=0,1000000000000,H222)+L219</f>
        <v>0</v>
      </c>
      <c r="G222" s="55" t="s">
        <v>120</v>
      </c>
      <c r="H222" s="57" t="n">
        <f aca="false">'CS_7 Bed'!B29</f>
        <v>4000404375000</v>
      </c>
      <c r="I222" s="55" t="s">
        <v>121</v>
      </c>
      <c r="J222" s="57" t="n">
        <v>1</v>
      </c>
      <c r="K222" s="55" t="s">
        <v>121</v>
      </c>
      <c r="L222" s="68" t="n">
        <v>1</v>
      </c>
      <c r="N222" s="55" t="s">
        <v>35</v>
      </c>
      <c r="O222" s="56" t="n">
        <f aca="false">H214</f>
        <v>0</v>
      </c>
      <c r="P222" s="56" t="n">
        <f aca="false">H215*O229</f>
        <v>0</v>
      </c>
      <c r="Q222" s="56" t="n">
        <f aca="false">H216*P229</f>
        <v>0</v>
      </c>
      <c r="R222" s="56" t="n">
        <f aca="false">H217*Q229</f>
        <v>0</v>
      </c>
      <c r="S222" s="55" t="s">
        <v>35</v>
      </c>
      <c r="T222" s="56" t="n">
        <v>0</v>
      </c>
      <c r="U222" s="56" t="n">
        <v>0</v>
      </c>
      <c r="V222" s="56" t="n">
        <v>0</v>
      </c>
      <c r="W222" s="56" t="n">
        <v>0</v>
      </c>
      <c r="X222" s="32" t="s">
        <v>35</v>
      </c>
      <c r="Y222" s="57" t="n">
        <v>-0.000203901620587877</v>
      </c>
      <c r="Z222" s="57" t="n">
        <v>0</v>
      </c>
      <c r="AA222" s="57" t="n">
        <v>0</v>
      </c>
      <c r="AB222" s="57" t="n">
        <v>0</v>
      </c>
    </row>
    <row r="223" customFormat="false" ht="15" hidden="false" customHeight="true" outlineLevel="0" collapsed="false">
      <c r="A223" s="112"/>
      <c r="B223" s="52" t="s">
        <v>122</v>
      </c>
      <c r="C223" s="71" t="n">
        <f aca="false">AC232+C219</f>
        <v>0</v>
      </c>
      <c r="E223" s="55" t="s">
        <v>100</v>
      </c>
      <c r="F223" s="35" t="n">
        <f aca="false">E240/IF(H223=0,1000000000000,H223)+L220</f>
        <v>0</v>
      </c>
      <c r="G223" s="55" t="s">
        <v>123</v>
      </c>
      <c r="H223" s="57" t="n">
        <f aca="false">'CS_7 Bed'!B30</f>
        <v>4000134791666.67</v>
      </c>
      <c r="N223" s="41" t="s">
        <v>101</v>
      </c>
      <c r="O223" s="57" t="n">
        <v>1</v>
      </c>
      <c r="P223" s="57" t="n">
        <v>1</v>
      </c>
      <c r="Q223" s="57" t="n">
        <v>1</v>
      </c>
      <c r="R223" s="57" t="n">
        <v>1</v>
      </c>
      <c r="S223" s="41" t="s">
        <v>101</v>
      </c>
      <c r="T223" s="57" t="n">
        <v>1</v>
      </c>
      <c r="U223" s="57" t="n">
        <v>1</v>
      </c>
      <c r="V223" s="57" t="n">
        <v>1</v>
      </c>
      <c r="W223" s="57" t="n">
        <v>1</v>
      </c>
      <c r="X223" s="41" t="s">
        <v>101</v>
      </c>
      <c r="Y223" s="57" t="n">
        <v>1</v>
      </c>
      <c r="Z223" s="57" t="n">
        <v>1</v>
      </c>
      <c r="AA223" s="57" t="n">
        <v>1</v>
      </c>
      <c r="AB223" s="57" t="n">
        <v>1</v>
      </c>
    </row>
    <row r="224" customFormat="false" ht="15" hidden="false" customHeight="true" outlineLevel="0" collapsed="false">
      <c r="A224" s="112"/>
      <c r="B224" s="52" t="s">
        <v>124</v>
      </c>
      <c r="C224" s="71" t="n">
        <f aca="false">AC233+C220</f>
        <v>0</v>
      </c>
      <c r="E224" s="55" t="s">
        <v>104</v>
      </c>
      <c r="F224" s="35" t="n">
        <f aca="false">E241/IF(H224=0,1000000000000,H224)+L221</f>
        <v>0</v>
      </c>
      <c r="G224" s="55" t="s">
        <v>125</v>
      </c>
      <c r="H224" s="57" t="n">
        <f aca="false">'CS_7 Bed'!B31</f>
        <v>8000134791666.67</v>
      </c>
      <c r="AB224" s="73"/>
      <c r="AU224" s="73" t="s">
        <v>126</v>
      </c>
      <c r="AZ224" s="73" t="s">
        <v>127</v>
      </c>
      <c r="BE224" s="73" t="s">
        <v>128</v>
      </c>
      <c r="BJ224" s="73" t="s">
        <v>128</v>
      </c>
    </row>
    <row r="225" customFormat="false" ht="31.2" hidden="false" customHeight="false" outlineLevel="0" collapsed="false">
      <c r="A225" s="112"/>
      <c r="B225" s="74" t="s">
        <v>168</v>
      </c>
      <c r="E225" s="1" t="s">
        <v>130</v>
      </c>
      <c r="F225" s="1"/>
      <c r="G225" s="75" t="s">
        <v>131</v>
      </c>
      <c r="H225" s="75"/>
      <c r="I225" s="75"/>
      <c r="J225" s="75"/>
      <c r="K225" s="75"/>
      <c r="L225" s="75"/>
      <c r="M225" s="3" t="s">
        <v>132</v>
      </c>
      <c r="N225" s="76" t="s">
        <v>133</v>
      </c>
      <c r="AE225" s="44" t="s">
        <v>134</v>
      </c>
      <c r="AF225" s="79" t="n">
        <v>0.001</v>
      </c>
      <c r="AG225" s="44"/>
      <c r="AH225" s="44"/>
      <c r="AI225" s="44"/>
      <c r="AJ225" s="44" t="s">
        <v>135</v>
      </c>
      <c r="AK225" s="80" t="n">
        <v>0.001</v>
      </c>
      <c r="AL225" s="31"/>
      <c r="AM225" s="31"/>
      <c r="AN225" s="44"/>
      <c r="AO225" s="44" t="s">
        <v>136</v>
      </c>
      <c r="AP225" s="79" t="n">
        <v>0.001</v>
      </c>
      <c r="AU225" s="31" t="s">
        <v>18</v>
      </c>
      <c r="AV225" s="31" t="s">
        <v>137</v>
      </c>
      <c r="AW225" s="31" t="s">
        <v>138</v>
      </c>
      <c r="AZ225" s="31" t="s">
        <v>18</v>
      </c>
      <c r="BA225" s="31" t="s">
        <v>137</v>
      </c>
      <c r="BB225" s="31" t="s">
        <v>138</v>
      </c>
      <c r="BE225" s="31" t="s">
        <v>18</v>
      </c>
      <c r="BF225" s="31" t="s">
        <v>137</v>
      </c>
      <c r="BG225" s="31" t="s">
        <v>138</v>
      </c>
    </row>
    <row r="226" customFormat="false" ht="15" hidden="false" customHeight="true" outlineLevel="0" collapsed="false">
      <c r="A226" s="112"/>
      <c r="B226" s="81" t="s">
        <v>139</v>
      </c>
      <c r="C226" s="59" t="n">
        <f aca="false" t="array" ref="C226:C229">MMULT(O198:R201,E202:E205)</f>
        <v>0</v>
      </c>
      <c r="E226" s="55" t="s">
        <v>33</v>
      </c>
      <c r="F226" s="35" t="n">
        <f aca="false" t="array" ref="F226:F231">MMULT(G226:L231,M226:M231)</f>
        <v>0</v>
      </c>
      <c r="G226" s="83" t="n">
        <f aca="false">'CS_7 Bed'!G5</f>
        <v>5.7058085130663E-007</v>
      </c>
      <c r="H226" s="83" t="n">
        <f aca="false">'CS_7 Bed'!H5</f>
        <v>0</v>
      </c>
      <c r="I226" s="83" t="n">
        <f aca="false">'CS_7 Bed'!I5</f>
        <v>0</v>
      </c>
      <c r="J226" s="83" t="n">
        <f aca="false">'CS_7 Bed'!J5</f>
        <v>0</v>
      </c>
      <c r="K226" s="83" t="n">
        <f aca="false">'CS_7 Bed'!K5</f>
        <v>0</v>
      </c>
      <c r="L226" s="83" t="n">
        <f aca="false">'CS_7 Bed'!L5</f>
        <v>-9.5798251454259E-009</v>
      </c>
      <c r="M226" s="57" t="n">
        <f aca="false">C226</f>
        <v>0</v>
      </c>
      <c r="O226" s="31" t="s">
        <v>140</v>
      </c>
      <c r="P226" s="17" t="s">
        <v>141</v>
      </c>
      <c r="Q226" s="17" t="s">
        <v>142</v>
      </c>
      <c r="R226" s="17"/>
      <c r="S226" s="17"/>
      <c r="T226" s="17"/>
      <c r="U226" s="17"/>
      <c r="V226" s="17"/>
      <c r="W226" s="17"/>
      <c r="X226" s="17"/>
      <c r="Y226" s="17"/>
      <c r="Z226" s="17"/>
      <c r="AA226" s="17"/>
      <c r="AB226" s="0" t="s">
        <v>143</v>
      </c>
      <c r="AC226" s="57" t="n">
        <f aca="false">C211</f>
        <v>0</v>
      </c>
      <c r="AD226" s="57"/>
      <c r="AE226" s="62" t="n">
        <v>1</v>
      </c>
      <c r="AF226" s="35" t="n">
        <v>0</v>
      </c>
      <c r="AG226" s="35" t="n">
        <v>0</v>
      </c>
      <c r="AH226" s="63" t="n">
        <v>0</v>
      </c>
      <c r="AI226" s="86"/>
      <c r="AJ226" s="35" t="n">
        <f aca="false">COS(AK225)</f>
        <v>0.999999500000042</v>
      </c>
      <c r="AK226" s="35" t="n">
        <v>0</v>
      </c>
      <c r="AL226" s="35" t="n">
        <f aca="false">-AJ228</f>
        <v>0.000999999833333342</v>
      </c>
      <c r="AM226" s="35" t="n">
        <v>0</v>
      </c>
      <c r="AN226" s="86"/>
      <c r="AO226" s="35" t="n">
        <f aca="false">COS(AP225)</f>
        <v>0.999999500000042</v>
      </c>
      <c r="AP226" s="35" t="n">
        <f aca="false">-AO227</f>
        <v>-0.000999999833333342</v>
      </c>
      <c r="AQ226" s="35" t="n">
        <v>0</v>
      </c>
      <c r="AR226" s="35" t="n">
        <v>0</v>
      </c>
      <c r="AS226" s="86"/>
      <c r="AT226" s="57" t="s">
        <v>144</v>
      </c>
      <c r="AU226" s="35" t="n">
        <f aca="false" t="array" ref="AU226:AU229">MMULT(AE226:AH229,$AC226:$AC229)</f>
        <v>0</v>
      </c>
      <c r="AV226" s="35" t="n">
        <f aca="false">AU226-$AC226</f>
        <v>0</v>
      </c>
      <c r="AW226" s="35" t="n">
        <f aca="false">AV226/AF225</f>
        <v>0</v>
      </c>
      <c r="AX226" s="86"/>
      <c r="AY226" s="57" t="s">
        <v>144</v>
      </c>
      <c r="AZ226" s="35" t="n">
        <f aca="false" t="array" ref="AZ226:AZ229">MMULT(AJ226:AM229,$AC226:$AC229)</f>
        <v>0</v>
      </c>
      <c r="BA226" s="35" t="n">
        <f aca="false">AZ226-$AC226</f>
        <v>0</v>
      </c>
      <c r="BB226" s="35" t="n">
        <f aca="false">BA226/AK225</f>
        <v>0</v>
      </c>
      <c r="BC226" s="86"/>
      <c r="BD226" s="57" t="s">
        <v>144</v>
      </c>
      <c r="BE226" s="35" t="n">
        <f aca="false" t="array" ref="BE226:BE229">MMULT(AO226:AR229,$AC226:$AC229)</f>
        <v>0</v>
      </c>
      <c r="BF226" s="35" t="n">
        <f aca="false">BE226-$AC226</f>
        <v>0</v>
      </c>
      <c r="BG226" s="35" t="n">
        <f aca="false">BF226/AP225</f>
        <v>0</v>
      </c>
    </row>
    <row r="227" customFormat="false" ht="15.6" hidden="false" customHeight="false" outlineLevel="0" collapsed="false">
      <c r="A227" s="112"/>
      <c r="B227" s="81" t="s">
        <v>145</v>
      </c>
      <c r="C227" s="59" t="n">
        <v>0</v>
      </c>
      <c r="E227" s="55" t="s">
        <v>34</v>
      </c>
      <c r="F227" s="35" t="n">
        <v>0</v>
      </c>
      <c r="G227" s="83" t="n">
        <f aca="false">'CS_7 Bed'!G6</f>
        <v>0</v>
      </c>
      <c r="H227" s="83" t="n">
        <f aca="false">'CS_7 Bed'!H6</f>
        <v>5.7058085130663E-007</v>
      </c>
      <c r="I227" s="83" t="n">
        <f aca="false">'CS_7 Bed'!I6</f>
        <v>0</v>
      </c>
      <c r="J227" s="83" t="n">
        <f aca="false">'CS_7 Bed'!J6</f>
        <v>0</v>
      </c>
      <c r="K227" s="83" t="n">
        <f aca="false">'CS_7 Bed'!K6</f>
        <v>0</v>
      </c>
      <c r="L227" s="83" t="n">
        <f aca="false">'CS_7 Bed'!L6</f>
        <v>0</v>
      </c>
      <c r="M227" s="57" t="n">
        <f aca="false">C227</f>
        <v>0</v>
      </c>
      <c r="N227" s="55" t="s">
        <v>33</v>
      </c>
      <c r="O227" s="71" t="n">
        <f aca="false">AW226</f>
        <v>0</v>
      </c>
      <c r="P227" s="71" t="n">
        <f aca="false">BB226</f>
        <v>0</v>
      </c>
      <c r="Q227" s="71" t="n">
        <f aca="false">BG226</f>
        <v>0</v>
      </c>
      <c r="AB227" s="0" t="s">
        <v>146</v>
      </c>
      <c r="AC227" s="57" t="n">
        <f aca="false">C212</f>
        <v>0</v>
      </c>
      <c r="AD227" s="57"/>
      <c r="AE227" s="62" t="n">
        <v>0</v>
      </c>
      <c r="AF227" s="35" t="n">
        <f aca="false">COS(AF225)</f>
        <v>0.999999500000042</v>
      </c>
      <c r="AG227" s="35" t="n">
        <f aca="false">-SIN(AF225)</f>
        <v>-0.000999999833333342</v>
      </c>
      <c r="AH227" s="63" t="n">
        <v>0</v>
      </c>
      <c r="AI227" s="86"/>
      <c r="AJ227" s="35" t="n">
        <v>0</v>
      </c>
      <c r="AK227" s="35" t="n">
        <v>1</v>
      </c>
      <c r="AL227" s="35" t="n">
        <v>0</v>
      </c>
      <c r="AM227" s="35" t="n">
        <v>0</v>
      </c>
      <c r="AN227" s="86"/>
      <c r="AO227" s="35" t="n">
        <f aca="false">SIN(AP225)</f>
        <v>0.000999999833333342</v>
      </c>
      <c r="AP227" s="35" t="n">
        <f aca="false">AO226</f>
        <v>0.999999500000042</v>
      </c>
      <c r="AQ227" s="35" t="n">
        <v>0</v>
      </c>
      <c r="AR227" s="35" t="n">
        <v>0</v>
      </c>
      <c r="AS227" s="86"/>
      <c r="AT227" s="57" t="s">
        <v>147</v>
      </c>
      <c r="AU227" s="35" t="n">
        <v>0</v>
      </c>
      <c r="AV227" s="35" t="n">
        <f aca="false">AU227-$AC227</f>
        <v>0</v>
      </c>
      <c r="AW227" s="35" t="n">
        <f aca="false">AV227/AF225</f>
        <v>0</v>
      </c>
      <c r="AX227" s="86"/>
      <c r="AY227" s="57" t="s">
        <v>147</v>
      </c>
      <c r="AZ227" s="35" t="n">
        <v>0</v>
      </c>
      <c r="BA227" s="35" t="n">
        <f aca="false">AZ227-$AC227</f>
        <v>0</v>
      </c>
      <c r="BB227" s="35" t="n">
        <f aca="false">BA227/AK225</f>
        <v>0</v>
      </c>
      <c r="BC227" s="86"/>
      <c r="BD227" s="57" t="s">
        <v>147</v>
      </c>
      <c r="BE227" s="35" t="n">
        <v>0</v>
      </c>
      <c r="BF227" s="35" t="n">
        <f aca="false">BE227-$AC227</f>
        <v>0</v>
      </c>
      <c r="BG227" s="35" t="n">
        <f aca="false">BF227/AP225</f>
        <v>0</v>
      </c>
    </row>
    <row r="228" customFormat="false" ht="15.6" hidden="false" customHeight="false" outlineLevel="0" collapsed="false">
      <c r="A228" s="112"/>
      <c r="B228" s="81" t="s">
        <v>148</v>
      </c>
      <c r="C228" s="59" t="n">
        <v>-196</v>
      </c>
      <c r="E228" s="55" t="s">
        <v>35</v>
      </c>
      <c r="F228" s="35" t="n">
        <v>-0.000203411620587877</v>
      </c>
      <c r="G228" s="83" t="n">
        <f aca="false">'CS_7 Bed'!G7</f>
        <v>0</v>
      </c>
      <c r="H228" s="83" t="n">
        <f aca="false">'CS_7 Bed'!H7</f>
        <v>0</v>
      </c>
      <c r="I228" s="83" t="n">
        <f aca="false">'CS_7 Bed'!I7</f>
        <v>1.03781439075447E-006</v>
      </c>
      <c r="J228" s="83" t="n">
        <f aca="false">'CS_7 Bed'!J7</f>
        <v>3.12849718320623E-008</v>
      </c>
      <c r="K228" s="83" t="n">
        <f aca="false">'CS_7 Bed'!K7</f>
        <v>0</v>
      </c>
      <c r="L228" s="83" t="n">
        <f aca="false">'CS_7 Bed'!L7</f>
        <v>0</v>
      </c>
      <c r="M228" s="57" t="n">
        <f aca="false">C228</f>
        <v>-196</v>
      </c>
      <c r="N228" s="55" t="s">
        <v>34</v>
      </c>
      <c r="O228" s="71" t="n">
        <f aca="false">AW227</f>
        <v>0</v>
      </c>
      <c r="P228" s="71" t="n">
        <f aca="false">BB227</f>
        <v>0</v>
      </c>
      <c r="Q228" s="71" t="n">
        <f aca="false">BG227</f>
        <v>0</v>
      </c>
      <c r="AB228" s="0" t="s">
        <v>149</v>
      </c>
      <c r="AC228" s="57" t="n">
        <f aca="false">C213</f>
        <v>0</v>
      </c>
      <c r="AD228" s="57"/>
      <c r="AE228" s="62" t="n">
        <v>0</v>
      </c>
      <c r="AF228" s="35" t="n">
        <f aca="false">-AG227</f>
        <v>0.000999999833333342</v>
      </c>
      <c r="AG228" s="35" t="n">
        <f aca="false">AF227</f>
        <v>0.999999500000042</v>
      </c>
      <c r="AH228" s="63" t="n">
        <v>0</v>
      </c>
      <c r="AI228" s="86"/>
      <c r="AJ228" s="35" t="n">
        <f aca="false">-SIN(AK225)</f>
        <v>-0.000999999833333342</v>
      </c>
      <c r="AK228" s="35" t="n">
        <v>0</v>
      </c>
      <c r="AL228" s="35" t="n">
        <f aca="false">COS(AK225)</f>
        <v>0.999999500000042</v>
      </c>
      <c r="AM228" s="35" t="n">
        <v>0</v>
      </c>
      <c r="AN228" s="86"/>
      <c r="AO228" s="35" t="n">
        <v>0</v>
      </c>
      <c r="AP228" s="35" t="n">
        <v>0</v>
      </c>
      <c r="AQ228" s="35" t="n">
        <v>1</v>
      </c>
      <c r="AR228" s="35" t="n">
        <v>0</v>
      </c>
      <c r="AS228" s="86"/>
      <c r="AT228" s="57" t="s">
        <v>150</v>
      </c>
      <c r="AU228" s="35" t="n">
        <v>0</v>
      </c>
      <c r="AV228" s="35" t="n">
        <f aca="false">AU228-$AC228</f>
        <v>0</v>
      </c>
      <c r="AW228" s="35" t="n">
        <f aca="false">AV228/AF225</f>
        <v>0</v>
      </c>
      <c r="AX228" s="86"/>
      <c r="AY228" s="57" t="s">
        <v>150</v>
      </c>
      <c r="AZ228" s="35" t="n">
        <v>0</v>
      </c>
      <c r="BA228" s="35" t="n">
        <f aca="false">AZ228-$AC228</f>
        <v>0</v>
      </c>
      <c r="BB228" s="35" t="n">
        <f aca="false">BA228/AK225</f>
        <v>0</v>
      </c>
      <c r="BC228" s="86"/>
      <c r="BD228" s="57" t="s">
        <v>150</v>
      </c>
      <c r="BE228" s="35" t="n">
        <v>0</v>
      </c>
      <c r="BF228" s="35" t="n">
        <f aca="false">BE228-$AC228</f>
        <v>0</v>
      </c>
      <c r="BG228" s="35" t="n">
        <f aca="false">BF228/AP225</f>
        <v>0</v>
      </c>
    </row>
    <row r="229" customFormat="false" ht="15" hidden="false" customHeight="true" outlineLevel="0" collapsed="false">
      <c r="A229" s="112"/>
      <c r="B229" s="81" t="s">
        <v>101</v>
      </c>
      <c r="C229" s="59" t="n">
        <v>1</v>
      </c>
      <c r="E229" s="55" t="s">
        <v>97</v>
      </c>
      <c r="F229" s="35" t="n">
        <v>-6.13185447908421E-006</v>
      </c>
      <c r="G229" s="83" t="n">
        <f aca="false">'CS_7 Bed'!G8</f>
        <v>0</v>
      </c>
      <c r="H229" s="83" t="n">
        <f aca="false">'CS_7 Bed'!H8</f>
        <v>0</v>
      </c>
      <c r="I229" s="83" t="n">
        <f aca="false">'CS_7 Bed'!I8</f>
        <v>3.12849718320623E-008</v>
      </c>
      <c r="J229" s="83" t="n">
        <f aca="false">'CS_7 Bed'!J8</f>
        <v>2.35974253348675E-010</v>
      </c>
      <c r="K229" s="83" t="n">
        <f aca="false">'CS_7 Bed'!K8</f>
        <v>0</v>
      </c>
      <c r="L229" s="83" t="n">
        <f aca="false">'CS_7 Bed'!L8</f>
        <v>0</v>
      </c>
      <c r="M229" s="57" t="n">
        <f aca="false">C230</f>
        <v>0</v>
      </c>
      <c r="N229" s="55" t="s">
        <v>35</v>
      </c>
      <c r="O229" s="71" t="n">
        <f aca="false">AW228</f>
        <v>0</v>
      </c>
      <c r="P229" s="71" t="n">
        <f aca="false">BB228</f>
        <v>0</v>
      </c>
      <c r="Q229" s="71" t="n">
        <f aca="false">BG228</f>
        <v>0</v>
      </c>
      <c r="AC229" s="57" t="n">
        <v>1</v>
      </c>
      <c r="AD229" s="57"/>
      <c r="AE229" s="62" t="n">
        <v>0</v>
      </c>
      <c r="AF229" s="35" t="n">
        <v>0</v>
      </c>
      <c r="AG229" s="35" t="n">
        <v>0</v>
      </c>
      <c r="AH229" s="63" t="n">
        <v>1</v>
      </c>
      <c r="AI229" s="86"/>
      <c r="AJ229" s="35" t="n">
        <v>0</v>
      </c>
      <c r="AK229" s="35" t="n">
        <v>0</v>
      </c>
      <c r="AL229" s="35" t="n">
        <v>0</v>
      </c>
      <c r="AM229" s="35" t="n">
        <v>1</v>
      </c>
      <c r="AN229" s="86"/>
      <c r="AO229" s="35" t="n">
        <v>0</v>
      </c>
      <c r="AP229" s="35" t="n">
        <v>0</v>
      </c>
      <c r="AQ229" s="35" t="n">
        <v>0</v>
      </c>
      <c r="AR229" s="35" t="n">
        <v>1</v>
      </c>
      <c r="AS229" s="86"/>
      <c r="AT229" s="57"/>
      <c r="AU229" s="35" t="n">
        <v>1</v>
      </c>
      <c r="AV229" s="35"/>
      <c r="AW229" s="35"/>
      <c r="AX229" s="86"/>
      <c r="AY229" s="57"/>
      <c r="AZ229" s="35" t="n">
        <v>1</v>
      </c>
      <c r="BA229" s="35"/>
      <c r="BB229" s="35"/>
      <c r="BC229" s="86"/>
      <c r="BD229" s="57"/>
      <c r="BE229" s="35" t="n">
        <v>1</v>
      </c>
      <c r="BF229" s="35"/>
      <c r="BG229" s="35"/>
    </row>
    <row r="230" customFormat="false" ht="15" hidden="false" customHeight="true" outlineLevel="0" collapsed="false">
      <c r="A230" s="112"/>
      <c r="B230" s="81" t="s">
        <v>151</v>
      </c>
      <c r="C230" s="59" t="n">
        <f aca="false" t="array" ref="C230:C233">MMULT(O198:R201,E206:E209)</f>
        <v>0</v>
      </c>
      <c r="E230" s="55" t="s">
        <v>100</v>
      </c>
      <c r="F230" s="35" t="n">
        <v>1.91194887162037E-005</v>
      </c>
      <c r="G230" s="83" t="n">
        <f aca="false">'CS_7 Bed'!G9</f>
        <v>0</v>
      </c>
      <c r="H230" s="83" t="n">
        <f aca="false">'CS_7 Bed'!H9</f>
        <v>0</v>
      </c>
      <c r="I230" s="83" t="n">
        <f aca="false">'CS_7 Bed'!I9</f>
        <v>0</v>
      </c>
      <c r="J230" s="83" t="n">
        <f aca="false">'CS_7 Bed'!J9</f>
        <v>0</v>
      </c>
      <c r="K230" s="83" t="n">
        <f aca="false">'CS_7 Bed'!K9</f>
        <v>2.16774248483035E-010</v>
      </c>
      <c r="L230" s="83" t="n">
        <f aca="false">'CS_7 Bed'!L9</f>
        <v>0</v>
      </c>
      <c r="M230" s="57" t="n">
        <f aca="false">C231</f>
        <v>88200</v>
      </c>
      <c r="O230" s="89" t="s">
        <v>152</v>
      </c>
      <c r="T230" s="89" t="s">
        <v>153</v>
      </c>
      <c r="AE230" s="0" t="s">
        <v>154</v>
      </c>
      <c r="AJ230" s="0" t="s">
        <v>155</v>
      </c>
      <c r="AO230" s="0" t="s">
        <v>156</v>
      </c>
    </row>
    <row r="231" customFormat="false" ht="15" hidden="false" customHeight="true" outlineLevel="0" collapsed="false">
      <c r="A231" s="112"/>
      <c r="B231" s="81" t="s">
        <v>157</v>
      </c>
      <c r="C231" s="59" t="n">
        <v>88200</v>
      </c>
      <c r="E231" s="55" t="s">
        <v>104</v>
      </c>
      <c r="F231" s="35" t="n">
        <v>0</v>
      </c>
      <c r="G231" s="83" t="n">
        <f aca="false">'CS_7 Bed'!G10</f>
        <v>-9.5798251454259E-009</v>
      </c>
      <c r="H231" s="83" t="n">
        <f aca="false">'CS_7 Bed'!H10</f>
        <v>0</v>
      </c>
      <c r="I231" s="83" t="n">
        <f aca="false">'CS_7 Bed'!I10</f>
        <v>0</v>
      </c>
      <c r="J231" s="83" t="n">
        <f aca="false">'CS_7 Bed'!J10</f>
        <v>0</v>
      </c>
      <c r="K231" s="83" t="n">
        <f aca="false">'CS_7 Bed'!K10</f>
        <v>0</v>
      </c>
      <c r="L231" s="83" t="n">
        <f aca="false">'CS_7 Bed'!L10</f>
        <v>0</v>
      </c>
      <c r="M231" s="57" t="n">
        <f aca="false">C232</f>
        <v>0</v>
      </c>
      <c r="O231" s="71" t="n">
        <f aca="false" t="array" ref="O231:R234">MMULT(AO231:AR234,MMULT(AJ231:AM234,AE231:AH234))</f>
        <v>1</v>
      </c>
      <c r="P231" s="71" t="n">
        <v>0</v>
      </c>
      <c r="Q231" s="71" t="n">
        <v>0</v>
      </c>
      <c r="R231" s="71" t="n">
        <v>0</v>
      </c>
      <c r="S231" s="90"/>
      <c r="T231" s="71" t="n">
        <f aca="false" t="array" ref="T231:W234">IF(A252=1,MMULT(T264:W267,O231:R234),T$363:W$366)</f>
        <v>1</v>
      </c>
      <c r="U231" s="71" t="n">
        <v>0</v>
      </c>
      <c r="V231" s="71" t="n">
        <v>0</v>
      </c>
      <c r="W231" s="71" t="n">
        <v>0</v>
      </c>
      <c r="X231" s="71"/>
      <c r="Y231" s="71"/>
      <c r="Z231" s="71"/>
      <c r="AA231" s="71"/>
      <c r="AB231" s="0" t="s">
        <v>158</v>
      </c>
      <c r="AC231" s="57" t="n">
        <f aca="false" t="array" ref="AC231:AC234">MMULT(O231:R234,AC226:AC229)</f>
        <v>0</v>
      </c>
      <c r="AD231" s="57"/>
      <c r="AE231" s="91" t="n">
        <v>1</v>
      </c>
      <c r="AF231" s="57" t="n">
        <v>0</v>
      </c>
      <c r="AG231" s="57" t="n">
        <v>0</v>
      </c>
      <c r="AH231" s="92" t="n">
        <v>0</v>
      </c>
      <c r="AJ231" s="91" t="n">
        <f aca="false">COS(PI()*C216/180)</f>
        <v>1</v>
      </c>
      <c r="AK231" s="57" t="n">
        <v>0</v>
      </c>
      <c r="AL231" s="57" t="n">
        <f aca="false">SIN(PI()*C216/180)</f>
        <v>0</v>
      </c>
      <c r="AM231" s="92" t="n">
        <v>0</v>
      </c>
      <c r="AO231" s="91" t="n">
        <f aca="false">COS(PI()*C217/180)</f>
        <v>1</v>
      </c>
      <c r="AP231" s="57" t="n">
        <f aca="false">-SIN(PI()*C217/180)</f>
        <v>0</v>
      </c>
      <c r="AQ231" s="57" t="n">
        <v>0</v>
      </c>
      <c r="AR231" s="92" t="n">
        <v>0</v>
      </c>
    </row>
    <row r="232" customFormat="false" ht="15" hidden="false" customHeight="true" outlineLevel="0" collapsed="false">
      <c r="A232" s="112"/>
      <c r="B232" s="81" t="s">
        <v>159</v>
      </c>
      <c r="C232" s="59" t="n">
        <v>0</v>
      </c>
      <c r="G232" s="113"/>
      <c r="H232" s="113"/>
      <c r="I232" s="113"/>
      <c r="J232" s="93"/>
      <c r="K232" s="93"/>
      <c r="L232" s="93"/>
      <c r="M232" s="93"/>
      <c r="O232" s="71" t="n">
        <v>0</v>
      </c>
      <c r="P232" s="71" t="n">
        <v>1</v>
      </c>
      <c r="Q232" s="71" t="n">
        <v>0</v>
      </c>
      <c r="R232" s="71" t="n">
        <v>0</v>
      </c>
      <c r="S232" s="90"/>
      <c r="T232" s="71" t="n">
        <v>0</v>
      </c>
      <c r="U232" s="71" t="n">
        <v>1</v>
      </c>
      <c r="V232" s="71" t="n">
        <v>0</v>
      </c>
      <c r="W232" s="71" t="n">
        <v>0</v>
      </c>
      <c r="X232" s="71"/>
      <c r="Y232" s="71"/>
      <c r="Z232" s="71"/>
      <c r="AA232" s="71"/>
      <c r="AB232" s="0" t="s">
        <v>160</v>
      </c>
      <c r="AC232" s="57" t="n">
        <v>0</v>
      </c>
      <c r="AD232" s="57"/>
      <c r="AE232" s="91" t="n">
        <v>0</v>
      </c>
      <c r="AF232" s="57" t="n">
        <f aca="false">COS(PI()*C215/180)</f>
        <v>1</v>
      </c>
      <c r="AG232" s="57" t="n">
        <f aca="false">-SIN(PI()*C215/180)</f>
        <v>0</v>
      </c>
      <c r="AH232" s="92" t="n">
        <v>0</v>
      </c>
      <c r="AJ232" s="91" t="n">
        <v>0</v>
      </c>
      <c r="AK232" s="57" t="n">
        <v>1</v>
      </c>
      <c r="AL232" s="57" t="n">
        <v>0</v>
      </c>
      <c r="AM232" s="92" t="n">
        <v>0</v>
      </c>
      <c r="AO232" s="91" t="n">
        <f aca="false">SIN(PI()*C217/180)</f>
        <v>0</v>
      </c>
      <c r="AP232" s="57" t="n">
        <f aca="false">AO231</f>
        <v>1</v>
      </c>
      <c r="AQ232" s="57" t="n">
        <v>0</v>
      </c>
      <c r="AR232" s="92" t="n">
        <v>0</v>
      </c>
    </row>
    <row r="233" customFormat="false" ht="15" hidden="false" customHeight="true" outlineLevel="0" collapsed="false">
      <c r="A233" s="112"/>
      <c r="B233" s="81" t="s">
        <v>101</v>
      </c>
      <c r="C233" s="59" t="n">
        <v>1</v>
      </c>
      <c r="G233" s="113"/>
      <c r="H233" s="113"/>
      <c r="I233" s="113"/>
      <c r="J233" s="93"/>
      <c r="K233" s="93"/>
      <c r="L233" s="93"/>
      <c r="M233" s="93"/>
      <c r="O233" s="71" t="n">
        <v>0</v>
      </c>
      <c r="P233" s="71" t="n">
        <v>0</v>
      </c>
      <c r="Q233" s="71" t="n">
        <v>1</v>
      </c>
      <c r="R233" s="71" t="n">
        <v>0</v>
      </c>
      <c r="S233" s="90"/>
      <c r="T233" s="71" t="n">
        <v>0</v>
      </c>
      <c r="U233" s="71" t="n">
        <v>0</v>
      </c>
      <c r="V233" s="71" t="n">
        <v>1</v>
      </c>
      <c r="W233" s="71" t="n">
        <v>0</v>
      </c>
      <c r="X233" s="71"/>
      <c r="Y233" s="71"/>
      <c r="Z233" s="71"/>
      <c r="AA233" s="71"/>
      <c r="AB233" s="0" t="s">
        <v>161</v>
      </c>
      <c r="AC233" s="57" t="n">
        <v>0</v>
      </c>
      <c r="AD233" s="57"/>
      <c r="AE233" s="91" t="n">
        <v>0</v>
      </c>
      <c r="AF233" s="57" t="n">
        <f aca="false">SIN(PI()*C215/180)</f>
        <v>0</v>
      </c>
      <c r="AG233" s="57" t="n">
        <f aca="false">AF232</f>
        <v>1</v>
      </c>
      <c r="AH233" s="92" t="n">
        <v>0</v>
      </c>
      <c r="AJ233" s="91" t="n">
        <f aca="false">-SIN(PI()*C216/180)</f>
        <v>0</v>
      </c>
      <c r="AK233" s="57" t="n">
        <v>0</v>
      </c>
      <c r="AL233" s="57" t="n">
        <f aca="false">AJ231</f>
        <v>1</v>
      </c>
      <c r="AM233" s="92" t="n">
        <v>0</v>
      </c>
      <c r="AO233" s="91" t="n">
        <v>0</v>
      </c>
      <c r="AP233" s="57" t="n">
        <v>0</v>
      </c>
      <c r="AQ233" s="57" t="n">
        <v>1</v>
      </c>
      <c r="AR233" s="92" t="n">
        <v>0</v>
      </c>
    </row>
    <row r="234" s="96" customFormat="true" ht="15.6" hidden="false" customHeight="false" outlineLevel="0" collapsed="false">
      <c r="A234" s="112"/>
      <c r="B234" s="11" t="s">
        <v>169</v>
      </c>
      <c r="D234" s="11" t="s">
        <v>163</v>
      </c>
      <c r="G234" s="102"/>
      <c r="H234" s="102"/>
      <c r="I234" s="102"/>
      <c r="J234" s="114"/>
      <c r="K234" s="114"/>
      <c r="L234" s="114"/>
      <c r="M234" s="114"/>
      <c r="O234" s="98" t="n">
        <v>0</v>
      </c>
      <c r="P234" s="98" t="n">
        <v>0</v>
      </c>
      <c r="Q234" s="98" t="n">
        <v>0</v>
      </c>
      <c r="R234" s="98" t="n">
        <v>1</v>
      </c>
      <c r="S234" s="99"/>
      <c r="T234" s="98" t="n">
        <v>0</v>
      </c>
      <c r="U234" s="98" t="n">
        <v>0</v>
      </c>
      <c r="V234" s="98" t="n">
        <v>0</v>
      </c>
      <c r="W234" s="98" t="n">
        <v>1</v>
      </c>
      <c r="X234" s="98"/>
      <c r="Y234" s="98"/>
      <c r="Z234" s="98"/>
      <c r="AA234" s="98"/>
      <c r="AC234" s="100" t="n">
        <v>1</v>
      </c>
      <c r="AD234" s="100"/>
      <c r="AE234" s="100" t="n">
        <v>0</v>
      </c>
      <c r="AF234" s="100" t="n">
        <v>0</v>
      </c>
      <c r="AG234" s="100" t="n">
        <v>0</v>
      </c>
      <c r="AH234" s="100" t="n">
        <v>1</v>
      </c>
      <c r="AJ234" s="100" t="n">
        <v>0</v>
      </c>
      <c r="AK234" s="100" t="n">
        <v>0</v>
      </c>
      <c r="AL234" s="100" t="n">
        <v>0</v>
      </c>
      <c r="AM234" s="100" t="n">
        <v>1</v>
      </c>
      <c r="AO234" s="100" t="n">
        <v>0</v>
      </c>
      <c r="AP234" s="100" t="n">
        <v>0</v>
      </c>
      <c r="AQ234" s="100" t="n">
        <v>0</v>
      </c>
      <c r="AR234" s="100" t="n">
        <v>1</v>
      </c>
    </row>
    <row r="235" customFormat="false" ht="15.6" hidden="false" customHeight="false" outlineLevel="0" collapsed="false">
      <c r="A235" s="112"/>
      <c r="B235" s="81" t="s">
        <v>139</v>
      </c>
      <c r="C235" s="82" t="n">
        <v>0</v>
      </c>
      <c r="D235" s="81" t="s">
        <v>139</v>
      </c>
      <c r="E235" s="59" t="n">
        <f aca="false">C226+C235</f>
        <v>0</v>
      </c>
      <c r="F235" s="103"/>
      <c r="G235" s="114"/>
      <c r="H235" s="120"/>
      <c r="I235" s="114"/>
      <c r="J235" s="114"/>
      <c r="K235" s="114"/>
      <c r="L235" s="114"/>
      <c r="M235" s="114"/>
      <c r="O235" s="98"/>
      <c r="P235" s="98"/>
      <c r="Q235" s="98"/>
      <c r="R235" s="98"/>
      <c r="S235" s="99"/>
      <c r="T235" s="98"/>
      <c r="U235" s="98"/>
      <c r="V235" s="98"/>
      <c r="W235" s="98"/>
      <c r="X235" s="98"/>
      <c r="Y235" s="98"/>
      <c r="Z235" s="98"/>
      <c r="AA235" s="98"/>
      <c r="AC235" s="100"/>
      <c r="AD235" s="100"/>
      <c r="AE235" s="100"/>
      <c r="AF235" s="100"/>
      <c r="AG235" s="100"/>
      <c r="AH235" s="100"/>
      <c r="AJ235" s="100"/>
      <c r="AK235" s="100"/>
      <c r="AL235" s="100"/>
      <c r="AM235" s="100"/>
      <c r="AO235" s="100"/>
      <c r="AP235" s="100"/>
      <c r="AQ235" s="100"/>
      <c r="AR235" s="100"/>
    </row>
    <row r="236" customFormat="false" ht="15.6" hidden="false" customHeight="false" outlineLevel="0" collapsed="false">
      <c r="A236" s="112"/>
      <c r="B236" s="81" t="s">
        <v>145</v>
      </c>
      <c r="C236" s="82" t="n">
        <v>0</v>
      </c>
      <c r="D236" s="81" t="s">
        <v>145</v>
      </c>
      <c r="E236" s="59" t="n">
        <f aca="false">C227+C236</f>
        <v>0</v>
      </c>
      <c r="F236" s="103"/>
      <c r="G236" s="114"/>
      <c r="H236" s="120"/>
      <c r="I236" s="114"/>
      <c r="J236" s="114"/>
      <c r="K236" s="114"/>
      <c r="L236" s="114"/>
      <c r="M236" s="114"/>
      <c r="O236" s="98"/>
      <c r="P236" s="98"/>
      <c r="Q236" s="98"/>
      <c r="R236" s="98"/>
      <c r="S236" s="99"/>
      <c r="T236" s="98"/>
      <c r="U236" s="98"/>
      <c r="V236" s="98"/>
      <c r="W236" s="98"/>
      <c r="X236" s="98"/>
      <c r="Y236" s="98"/>
      <c r="Z236" s="98"/>
      <c r="AA236" s="98"/>
      <c r="AC236" s="100"/>
      <c r="AD236" s="100"/>
      <c r="AE236" s="100"/>
      <c r="AF236" s="100"/>
      <c r="AG236" s="100"/>
      <c r="AH236" s="100"/>
      <c r="AJ236" s="100"/>
      <c r="AK236" s="100"/>
      <c r="AL236" s="100"/>
      <c r="AM236" s="100"/>
      <c r="AO236" s="100"/>
      <c r="AP236" s="100"/>
      <c r="AQ236" s="100"/>
      <c r="AR236" s="100"/>
    </row>
    <row r="237" customFormat="false" ht="15.6" hidden="false" customHeight="false" outlineLevel="0" collapsed="false">
      <c r="A237" s="112"/>
      <c r="B237" s="81" t="s">
        <v>148</v>
      </c>
      <c r="C237" s="82" t="n">
        <v>0</v>
      </c>
      <c r="D237" s="81" t="s">
        <v>148</v>
      </c>
      <c r="E237" s="59" t="n">
        <f aca="false">C228+C237</f>
        <v>-196</v>
      </c>
      <c r="F237" s="103"/>
      <c r="G237" s="114"/>
      <c r="H237" s="120"/>
      <c r="I237" s="114"/>
      <c r="J237" s="114"/>
      <c r="K237" s="114"/>
      <c r="L237" s="114"/>
      <c r="M237" s="114"/>
      <c r="O237" s="98"/>
      <c r="P237" s="98"/>
      <c r="Q237" s="98"/>
      <c r="R237" s="98"/>
      <c r="S237" s="99"/>
      <c r="T237" s="98"/>
      <c r="U237" s="98"/>
      <c r="V237" s="98"/>
      <c r="W237" s="98"/>
      <c r="X237" s="98"/>
      <c r="Y237" s="98"/>
      <c r="Z237" s="98"/>
      <c r="AA237" s="98"/>
      <c r="AC237" s="100"/>
      <c r="AD237" s="100"/>
      <c r="AE237" s="100"/>
      <c r="AF237" s="100"/>
      <c r="AG237" s="100"/>
      <c r="AH237" s="100"/>
      <c r="AJ237" s="100"/>
      <c r="AK237" s="100"/>
      <c r="AL237" s="100"/>
      <c r="AM237" s="100"/>
      <c r="AO237" s="100"/>
      <c r="AP237" s="100"/>
      <c r="AQ237" s="100"/>
      <c r="AR237" s="100"/>
    </row>
    <row r="238" customFormat="false" ht="15.6" hidden="false" customHeight="false" outlineLevel="0" collapsed="false">
      <c r="A238" s="112"/>
      <c r="B238" s="103" t="s">
        <v>101</v>
      </c>
      <c r="C238" s="115" t="n">
        <v>1</v>
      </c>
      <c r="D238" s="103" t="s">
        <v>101</v>
      </c>
      <c r="E238" s="115" t="n">
        <v>1</v>
      </c>
      <c r="F238" s="103"/>
      <c r="G238" s="114"/>
      <c r="H238" s="120"/>
      <c r="I238" s="114"/>
      <c r="J238" s="114"/>
      <c r="K238" s="114"/>
      <c r="L238" s="114"/>
      <c r="M238" s="114"/>
      <c r="O238" s="98"/>
      <c r="P238" s="98"/>
      <c r="Q238" s="98"/>
      <c r="R238" s="98"/>
      <c r="S238" s="99"/>
      <c r="T238" s="98"/>
      <c r="U238" s="98"/>
      <c r="V238" s="98"/>
      <c r="W238" s="98"/>
      <c r="X238" s="98"/>
      <c r="Y238" s="98"/>
      <c r="Z238" s="98"/>
      <c r="AA238" s="98"/>
      <c r="AC238" s="100"/>
      <c r="AD238" s="100"/>
      <c r="AE238" s="100"/>
      <c r="AF238" s="100"/>
      <c r="AG238" s="100"/>
      <c r="AH238" s="100"/>
      <c r="AJ238" s="100"/>
      <c r="AK238" s="100"/>
      <c r="AL238" s="100"/>
      <c r="AM238" s="100"/>
      <c r="AO238" s="100"/>
      <c r="AP238" s="100"/>
      <c r="AQ238" s="100"/>
      <c r="AR238" s="100"/>
    </row>
    <row r="239" customFormat="false" ht="15.6" hidden="false" customHeight="false" outlineLevel="0" collapsed="false">
      <c r="A239" s="112"/>
      <c r="B239" s="81" t="s">
        <v>151</v>
      </c>
      <c r="C239" s="82" t="n">
        <v>0</v>
      </c>
      <c r="D239" s="81" t="s">
        <v>151</v>
      </c>
      <c r="E239" s="59" t="n">
        <f aca="false">C230+C239+C228*C186-C227*C187</f>
        <v>0</v>
      </c>
      <c r="F239" s="103"/>
      <c r="G239" s="114"/>
      <c r="H239" s="120"/>
      <c r="I239" s="114"/>
      <c r="J239" s="114"/>
      <c r="K239" s="114"/>
      <c r="L239" s="114"/>
      <c r="M239" s="114"/>
      <c r="O239" s="98"/>
      <c r="P239" s="98"/>
      <c r="Q239" s="98"/>
      <c r="R239" s="98"/>
      <c r="S239" s="99"/>
      <c r="T239" s="98"/>
      <c r="U239" s="98"/>
      <c r="V239" s="98"/>
      <c r="W239" s="98"/>
      <c r="X239" s="98"/>
      <c r="Y239" s="98"/>
      <c r="Z239" s="98"/>
      <c r="AA239" s="98"/>
      <c r="AC239" s="100"/>
      <c r="AD239" s="100"/>
      <c r="AE239" s="100"/>
      <c r="AF239" s="100"/>
      <c r="AG239" s="100"/>
      <c r="AH239" s="100"/>
      <c r="AJ239" s="100"/>
      <c r="AK239" s="100"/>
      <c r="AL239" s="100"/>
      <c r="AM239" s="100"/>
      <c r="AO239" s="100"/>
      <c r="AP239" s="100"/>
      <c r="AQ239" s="100"/>
      <c r="AR239" s="100"/>
    </row>
    <row r="240" customFormat="false" ht="15.6" hidden="false" customHeight="false" outlineLevel="0" collapsed="false">
      <c r="A240" s="112"/>
      <c r="B240" s="81" t="s">
        <v>157</v>
      </c>
      <c r="C240" s="82" t="n">
        <v>0</v>
      </c>
      <c r="D240" s="81" t="s">
        <v>157</v>
      </c>
      <c r="E240" s="59" t="n">
        <f aca="false">C231+C240+C226*C187-C228*C185</f>
        <v>0</v>
      </c>
      <c r="F240" s="103"/>
      <c r="G240" s="114"/>
      <c r="H240" s="120"/>
      <c r="I240" s="114"/>
      <c r="J240" s="114"/>
      <c r="K240" s="114"/>
      <c r="L240" s="114"/>
      <c r="M240" s="114"/>
      <c r="O240" s="98"/>
      <c r="P240" s="98"/>
      <c r="Q240" s="98"/>
      <c r="R240" s="98"/>
      <c r="S240" s="99"/>
      <c r="T240" s="98"/>
      <c r="U240" s="98"/>
      <c r="V240" s="98"/>
      <c r="W240" s="98"/>
      <c r="X240" s="98"/>
      <c r="Y240" s="98"/>
      <c r="Z240" s="98"/>
      <c r="AA240" s="98"/>
      <c r="AC240" s="100"/>
      <c r="AD240" s="100"/>
      <c r="AE240" s="100"/>
      <c r="AF240" s="100"/>
      <c r="AG240" s="100"/>
      <c r="AH240" s="100"/>
      <c r="AJ240" s="100"/>
      <c r="AK240" s="100"/>
      <c r="AL240" s="100"/>
      <c r="AM240" s="100"/>
      <c r="AO240" s="100"/>
      <c r="AP240" s="100"/>
      <c r="AQ240" s="100"/>
      <c r="AR240" s="100"/>
    </row>
    <row r="241" customFormat="false" ht="15.6" hidden="false" customHeight="false" outlineLevel="0" collapsed="false">
      <c r="A241" s="112"/>
      <c r="B241" s="81" t="s">
        <v>159</v>
      </c>
      <c r="C241" s="82" t="n">
        <v>0</v>
      </c>
      <c r="D241" s="81" t="s">
        <v>159</v>
      </c>
      <c r="E241" s="59" t="n">
        <f aca="false">C232+C241+C227*C185-C226*C186</f>
        <v>0</v>
      </c>
      <c r="F241" s="103"/>
      <c r="G241" s="114"/>
      <c r="H241" s="120"/>
      <c r="I241" s="114"/>
      <c r="J241" s="114"/>
      <c r="K241" s="114"/>
      <c r="L241" s="114"/>
      <c r="M241" s="114"/>
      <c r="O241" s="98"/>
      <c r="P241" s="98"/>
      <c r="Q241" s="98"/>
      <c r="R241" s="98"/>
      <c r="S241" s="99"/>
      <c r="T241" s="98"/>
      <c r="U241" s="98"/>
      <c r="V241" s="98"/>
      <c r="W241" s="98"/>
      <c r="X241" s="98"/>
      <c r="Y241" s="98"/>
      <c r="Z241" s="98"/>
      <c r="AA241" s="98"/>
      <c r="AC241" s="100"/>
      <c r="AD241" s="100"/>
      <c r="AE241" s="100"/>
      <c r="AF241" s="100"/>
      <c r="AG241" s="100"/>
      <c r="AH241" s="100"/>
      <c r="AJ241" s="100"/>
      <c r="AK241" s="100"/>
      <c r="AL241" s="100"/>
      <c r="AM241" s="100"/>
      <c r="AO241" s="100"/>
      <c r="AP241" s="100"/>
      <c r="AQ241" s="100"/>
      <c r="AR241" s="100"/>
    </row>
    <row r="242" s="36" customFormat="true" ht="16.2" hidden="false" customHeight="false" outlineLevel="0" collapsed="false">
      <c r="A242" s="112"/>
      <c r="B242" s="105" t="s">
        <v>101</v>
      </c>
      <c r="C242" s="106" t="n">
        <v>1</v>
      </c>
      <c r="D242" s="105" t="s">
        <v>101</v>
      </c>
      <c r="E242" s="106" t="n">
        <v>1</v>
      </c>
      <c r="F242" s="105"/>
      <c r="G242" s="116"/>
      <c r="H242" s="121"/>
      <c r="I242" s="116"/>
      <c r="J242" s="116"/>
      <c r="K242" s="116"/>
      <c r="L242" s="116"/>
      <c r="M242" s="116"/>
      <c r="O242" s="117"/>
      <c r="P242" s="117"/>
      <c r="Q242" s="117"/>
      <c r="R242" s="117"/>
      <c r="S242" s="109"/>
      <c r="T242" s="117"/>
      <c r="U242" s="117"/>
      <c r="V242" s="117"/>
      <c r="W242" s="117"/>
      <c r="X242" s="117"/>
      <c r="Y242" s="117"/>
      <c r="Z242" s="117"/>
      <c r="AA242" s="117"/>
      <c r="AC242" s="118"/>
      <c r="AD242" s="118"/>
      <c r="AE242" s="118"/>
      <c r="AF242" s="118"/>
      <c r="AG242" s="118"/>
      <c r="AH242" s="118"/>
      <c r="AJ242" s="118"/>
      <c r="AK242" s="118"/>
      <c r="AL242" s="118"/>
      <c r="AM242" s="118"/>
      <c r="AO242" s="118"/>
      <c r="AP242" s="118"/>
      <c r="AQ242" s="118"/>
      <c r="AR242" s="118"/>
    </row>
    <row r="243" customFormat="false" ht="15" hidden="false" customHeight="true" outlineLevel="0" collapsed="false">
      <c r="A243" s="50" t="s">
        <v>185</v>
      </c>
      <c r="B243" s="51" t="s">
        <v>165</v>
      </c>
      <c r="E243" s="9" t="s">
        <v>186</v>
      </c>
    </row>
    <row r="244" customFormat="false" ht="15" hidden="false" customHeight="true" outlineLevel="0" collapsed="false">
      <c r="A244" s="50"/>
      <c r="B244" s="52" t="s">
        <v>88</v>
      </c>
      <c r="C244" s="111" t="n">
        <f aca="false">C222</f>
        <v>0</v>
      </c>
      <c r="E244" s="1" t="s">
        <v>89</v>
      </c>
      <c r="F244" s="1"/>
      <c r="G244" s="1" t="s">
        <v>90</v>
      </c>
      <c r="H244" s="1"/>
      <c r="N244" s="11" t="s">
        <v>91</v>
      </c>
      <c r="O244" s="9"/>
      <c r="P244" s="54"/>
      <c r="Q244" s="9"/>
      <c r="R244" s="9"/>
      <c r="S244" s="11" t="s">
        <v>38</v>
      </c>
      <c r="Y244" s="11" t="s">
        <v>92</v>
      </c>
    </row>
    <row r="245" customFormat="false" ht="15" hidden="false" customHeight="true" outlineLevel="0" collapsed="false">
      <c r="A245" s="50"/>
      <c r="B245" s="52" t="s">
        <v>93</v>
      </c>
      <c r="C245" s="111" t="n">
        <f aca="false">C223</f>
        <v>0</v>
      </c>
      <c r="E245" s="55" t="s">
        <v>33</v>
      </c>
      <c r="F245" s="34" t="n">
        <f aca="false">CS_8!B45</f>
        <v>0.005</v>
      </c>
      <c r="G245" s="55" t="s">
        <v>33</v>
      </c>
      <c r="H245" s="34" t="n">
        <f aca="false">CS_8!B52</f>
        <v>0</v>
      </c>
      <c r="O245" s="0" t="s">
        <v>42</v>
      </c>
      <c r="P245" s="31" t="s">
        <v>43</v>
      </c>
      <c r="Q245" s="17" t="s">
        <v>44</v>
      </c>
      <c r="R245" s="17" t="s">
        <v>45</v>
      </c>
      <c r="T245" s="0" t="s">
        <v>42</v>
      </c>
      <c r="U245" s="31" t="s">
        <v>43</v>
      </c>
      <c r="V245" s="17" t="s">
        <v>44</v>
      </c>
      <c r="W245" s="17" t="s">
        <v>45</v>
      </c>
      <c r="Y245" s="0" t="s">
        <v>42</v>
      </c>
      <c r="Z245" s="31" t="s">
        <v>43</v>
      </c>
      <c r="AA245" s="17" t="s">
        <v>44</v>
      </c>
      <c r="AB245" s="17" t="s">
        <v>45</v>
      </c>
    </row>
    <row r="246" customFormat="false" ht="15" hidden="false" customHeight="true" outlineLevel="0" collapsed="false">
      <c r="A246" s="50"/>
      <c r="B246" s="52" t="s">
        <v>94</v>
      </c>
      <c r="C246" s="111" t="n">
        <f aca="false">C224</f>
        <v>0</v>
      </c>
      <c r="E246" s="55" t="s">
        <v>34</v>
      </c>
      <c r="F246" s="34" t="n">
        <f aca="false">CS_8!B46</f>
        <v>0.005</v>
      </c>
      <c r="G246" s="55" t="s">
        <v>34</v>
      </c>
      <c r="H246" s="34" t="n">
        <f aca="false">CS_8!B53</f>
        <v>0</v>
      </c>
      <c r="N246" s="55" t="s">
        <v>33</v>
      </c>
      <c r="O246" s="56" t="n">
        <f aca="false">ABS(F245)</f>
        <v>0.005</v>
      </c>
      <c r="P246" s="56" t="n">
        <f aca="false">ABS(F248*O260)</f>
        <v>0</v>
      </c>
      <c r="Q246" s="56" t="n">
        <f aca="false">ABS(F249*P260)</f>
        <v>0</v>
      </c>
      <c r="R246" s="56" t="n">
        <f aca="false">ABS(F250*Q260)</f>
        <v>0</v>
      </c>
      <c r="S246" s="55" t="s">
        <v>33</v>
      </c>
      <c r="T246" s="35" t="n">
        <f aca="false" t="array" ref="T246:W249">ABS(MMULT(T264:W267,O246:R249))</f>
        <v>0.005</v>
      </c>
      <c r="U246" s="35" t="n">
        <v>0</v>
      </c>
      <c r="V246" s="35" t="n">
        <v>0</v>
      </c>
      <c r="W246" s="35" t="n">
        <v>0</v>
      </c>
      <c r="X246" s="32" t="s">
        <v>33</v>
      </c>
      <c r="Y246" s="35" t="n">
        <f aca="false">F252+F259</f>
        <v>0</v>
      </c>
      <c r="Z246" s="57" t="n">
        <f aca="false">F255*O260</f>
        <v>0</v>
      </c>
      <c r="AA246" s="57" t="n">
        <f aca="false">F256*P260</f>
        <v>0</v>
      </c>
      <c r="AB246" s="57" t="n">
        <f aca="false">F257*Q260</f>
        <v>0</v>
      </c>
    </row>
    <row r="247" customFormat="false" ht="15" hidden="false" customHeight="true" outlineLevel="0" collapsed="false">
      <c r="A247" s="58" t="n">
        <v>8</v>
      </c>
      <c r="B247" s="9" t="s">
        <v>95</v>
      </c>
      <c r="E247" s="55" t="s">
        <v>35</v>
      </c>
      <c r="F247" s="34" t="n">
        <f aca="false">CS_8!B47</f>
        <v>0.005</v>
      </c>
      <c r="G247" s="55" t="s">
        <v>35</v>
      </c>
      <c r="H247" s="34" t="n">
        <f aca="false">CS_8!B54</f>
        <v>0</v>
      </c>
      <c r="N247" s="55" t="s">
        <v>34</v>
      </c>
      <c r="O247" s="56" t="n">
        <f aca="false">ABS(F246)</f>
        <v>0.005</v>
      </c>
      <c r="P247" s="56" t="n">
        <f aca="false">ABS(F248*O261)</f>
        <v>0</v>
      </c>
      <c r="Q247" s="56" t="n">
        <f aca="false">ABS(F249*P261)</f>
        <v>0</v>
      </c>
      <c r="R247" s="56" t="n">
        <f aca="false">ABS(F250*Q261)</f>
        <v>0</v>
      </c>
      <c r="S247" s="55" t="s">
        <v>34</v>
      </c>
      <c r="T247" s="35" t="n">
        <v>0.005</v>
      </c>
      <c r="U247" s="35" t="n">
        <v>0</v>
      </c>
      <c r="V247" s="35" t="n">
        <v>0</v>
      </c>
      <c r="W247" s="35" t="n">
        <v>0</v>
      </c>
      <c r="X247" s="32" t="s">
        <v>34</v>
      </c>
      <c r="Y247" s="35" t="n">
        <f aca="false">F253+F260</f>
        <v>0</v>
      </c>
      <c r="Z247" s="57" t="n">
        <f aca="false">F255*O261</f>
        <v>0</v>
      </c>
      <c r="AA247" s="57" t="n">
        <f aca="false">F256*P261</f>
        <v>0</v>
      </c>
      <c r="AB247" s="57" t="n">
        <f aca="false">F257*Q261</f>
        <v>0</v>
      </c>
    </row>
    <row r="248" customFormat="false" ht="15" hidden="false" customHeight="true" outlineLevel="0" collapsed="false">
      <c r="A248" s="59" t="n">
        <f aca="false">IF(A247&gt;Naxes,0,1)</f>
        <v>0</v>
      </c>
      <c r="B248" s="60" t="s">
        <v>96</v>
      </c>
      <c r="C248" s="47" t="n">
        <v>0</v>
      </c>
      <c r="E248" s="55" t="s">
        <v>97</v>
      </c>
      <c r="F248" s="34" t="n">
        <f aca="false">CS_8!B48</f>
        <v>0.0001</v>
      </c>
      <c r="G248" s="55" t="s">
        <v>97</v>
      </c>
      <c r="H248" s="34" t="n">
        <f aca="false">CS_8!B55</f>
        <v>0</v>
      </c>
      <c r="N248" s="55" t="s">
        <v>35</v>
      </c>
      <c r="O248" s="56" t="n">
        <f aca="false">ABS(F247)</f>
        <v>0.005</v>
      </c>
      <c r="P248" s="56" t="n">
        <f aca="false">ABS(F248*O262)</f>
        <v>0</v>
      </c>
      <c r="Q248" s="56" t="n">
        <f aca="false">ABS(F249*P262)</f>
        <v>0</v>
      </c>
      <c r="R248" s="56" t="n">
        <f aca="false">ABS(F250*Q262)</f>
        <v>0</v>
      </c>
      <c r="S248" s="55" t="s">
        <v>35</v>
      </c>
      <c r="T248" s="35" t="n">
        <v>0.005</v>
      </c>
      <c r="U248" s="35" t="n">
        <v>0</v>
      </c>
      <c r="V248" s="35" t="n">
        <v>0</v>
      </c>
      <c r="W248" s="35" t="n">
        <v>0</v>
      </c>
      <c r="X248" s="32" t="s">
        <v>35</v>
      </c>
      <c r="Y248" s="35" t="n">
        <f aca="false">F254+F261</f>
        <v>-7.57341576506955E-005</v>
      </c>
      <c r="Z248" s="57" t="n">
        <f aca="false">F255*O262</f>
        <v>0</v>
      </c>
      <c r="AA248" s="57" t="n">
        <f aca="false">F256*P262</f>
        <v>0</v>
      </c>
      <c r="AB248" s="57" t="n">
        <f aca="false">F257*Q262</f>
        <v>0</v>
      </c>
    </row>
    <row r="249" customFormat="false" ht="15" hidden="false" customHeight="true" outlineLevel="0" collapsed="false">
      <c r="A249" s="61" t="s">
        <v>98</v>
      </c>
      <c r="B249" s="60" t="s">
        <v>99</v>
      </c>
      <c r="C249" s="47" t="n">
        <v>0</v>
      </c>
      <c r="E249" s="55" t="s">
        <v>100</v>
      </c>
      <c r="F249" s="34" t="n">
        <f aca="false">CS_8!B49</f>
        <v>9.99999990000001E-005</v>
      </c>
      <c r="G249" s="55" t="s">
        <v>100</v>
      </c>
      <c r="H249" s="34" t="n">
        <f aca="false">CS_8!B56</f>
        <v>0</v>
      </c>
      <c r="N249" s="41" t="s">
        <v>101</v>
      </c>
      <c r="O249" s="57" t="n">
        <v>1</v>
      </c>
      <c r="P249" s="57" t="n">
        <v>1</v>
      </c>
      <c r="Q249" s="57" t="n">
        <v>1</v>
      </c>
      <c r="R249" s="57" t="n">
        <v>1</v>
      </c>
      <c r="S249" s="41" t="s">
        <v>101</v>
      </c>
      <c r="T249" s="35" t="n">
        <v>1</v>
      </c>
      <c r="U249" s="35" t="n">
        <v>1</v>
      </c>
      <c r="V249" s="35" t="n">
        <v>1</v>
      </c>
      <c r="W249" s="35" t="n">
        <v>1</v>
      </c>
      <c r="X249" s="41" t="s">
        <v>101</v>
      </c>
      <c r="Y249" s="57" t="n">
        <v>1</v>
      </c>
      <c r="Z249" s="57" t="n">
        <v>1</v>
      </c>
      <c r="AA249" s="57" t="n">
        <v>1</v>
      </c>
      <c r="AB249" s="57" t="n">
        <v>1</v>
      </c>
    </row>
    <row r="250" customFormat="false" ht="15" hidden="false" customHeight="true" outlineLevel="0" collapsed="false">
      <c r="A250" s="61"/>
      <c r="B250" s="60" t="s">
        <v>102</v>
      </c>
      <c r="C250" s="47" t="n">
        <v>0</v>
      </c>
      <c r="E250" s="55" t="s">
        <v>104</v>
      </c>
      <c r="F250" s="34" t="n">
        <f aca="false">CS_8!B50</f>
        <v>0.0001</v>
      </c>
      <c r="G250" s="55" t="s">
        <v>104</v>
      </c>
      <c r="H250" s="34" t="n">
        <f aca="false">CS_8!B57</f>
        <v>0</v>
      </c>
      <c r="X250" s="41"/>
    </row>
    <row r="251" customFormat="false" ht="31.95" hidden="false" customHeight="true" outlineLevel="0" collapsed="false">
      <c r="A251" s="61"/>
      <c r="B251" s="60" t="s">
        <v>105</v>
      </c>
      <c r="C251" s="47" t="n">
        <v>10</v>
      </c>
      <c r="E251" s="18" t="s">
        <v>106</v>
      </c>
      <c r="F251" s="18"/>
      <c r="G251" s="1" t="s">
        <v>107</v>
      </c>
      <c r="H251" s="1"/>
      <c r="I251" s="18" t="s">
        <v>108</v>
      </c>
      <c r="J251" s="18"/>
      <c r="K251" s="18" t="s">
        <v>109</v>
      </c>
      <c r="L251" s="18"/>
      <c r="N251" s="11" t="s">
        <v>110</v>
      </c>
      <c r="O251" s="9"/>
      <c r="P251" s="54"/>
      <c r="Q251" s="9"/>
      <c r="R251" s="9"/>
      <c r="S251" s="11" t="s">
        <v>39</v>
      </c>
      <c r="X251" s="41"/>
      <c r="Y251" s="11" t="s">
        <v>111</v>
      </c>
    </row>
    <row r="252" customFormat="false" ht="15" hidden="false" customHeight="true" outlineLevel="0" collapsed="false">
      <c r="A252" s="61"/>
      <c r="B252" s="60" t="s">
        <v>112</v>
      </c>
      <c r="C252" s="65" t="n">
        <v>0</v>
      </c>
      <c r="E252" s="55" t="s">
        <v>33</v>
      </c>
      <c r="F252" s="35" t="n">
        <f aca="false">E268/IF(H252=0,1000000000000,H252)</f>
        <v>0</v>
      </c>
      <c r="G252" s="55" t="s">
        <v>113</v>
      </c>
      <c r="H252" s="57" t="n">
        <f aca="false">CS_8!B25</f>
        <v>6785.84013175395</v>
      </c>
      <c r="I252" s="55" t="s">
        <v>97</v>
      </c>
      <c r="J252" s="35" t="n">
        <f aca="false">A281*F295</f>
        <v>0</v>
      </c>
      <c r="K252" s="55" t="s">
        <v>97</v>
      </c>
      <c r="L252" s="68" t="n">
        <f aca="false" t="array" ref="L252:L255">MMULT(MINVERSE(O264:R267),J252:J255)</f>
        <v>0</v>
      </c>
      <c r="O252" s="0" t="s">
        <v>42</v>
      </c>
      <c r="P252" s="31" t="s">
        <v>43</v>
      </c>
      <c r="Q252" s="17" t="s">
        <v>44</v>
      </c>
      <c r="R252" s="17" t="s">
        <v>45</v>
      </c>
      <c r="T252" s="0" t="s">
        <v>42</v>
      </c>
      <c r="U252" s="31" t="s">
        <v>43</v>
      </c>
      <c r="V252" s="17" t="s">
        <v>44</v>
      </c>
      <c r="W252" s="17" t="s">
        <v>45</v>
      </c>
      <c r="X252" s="41"/>
      <c r="Y252" s="0" t="s">
        <v>42</v>
      </c>
      <c r="Z252" s="31" t="s">
        <v>43</v>
      </c>
      <c r="AA252" s="17" t="s">
        <v>44</v>
      </c>
      <c r="AB252" s="17" t="s">
        <v>45</v>
      </c>
    </row>
    <row r="253" customFormat="false" ht="15" hidden="false" customHeight="true" outlineLevel="0" collapsed="false">
      <c r="A253" s="112" t="s">
        <v>187</v>
      </c>
      <c r="B253" s="60" t="s">
        <v>115</v>
      </c>
      <c r="C253" s="47" t="n">
        <v>0</v>
      </c>
      <c r="E253" s="55" t="s">
        <v>34</v>
      </c>
      <c r="F253" s="35" t="n">
        <f aca="false">E269/IF(H253=0,1000000000000,H253)</f>
        <v>0</v>
      </c>
      <c r="G253" s="55" t="s">
        <v>116</v>
      </c>
      <c r="H253" s="57" t="n">
        <f aca="false">CS_8!B26</f>
        <v>2588000</v>
      </c>
      <c r="I253" s="55" t="s">
        <v>100</v>
      </c>
      <c r="J253" s="35" t="n">
        <f aca="false">A281*F296</f>
        <v>0</v>
      </c>
      <c r="K253" s="55" t="s">
        <v>100</v>
      </c>
      <c r="L253" s="68" t="n">
        <v>0</v>
      </c>
      <c r="N253" s="55" t="s">
        <v>33</v>
      </c>
      <c r="O253" s="56" t="n">
        <f aca="false">H245</f>
        <v>0</v>
      </c>
      <c r="P253" s="56" t="n">
        <f aca="false">H248*O260</f>
        <v>0</v>
      </c>
      <c r="Q253" s="56" t="n">
        <f aca="false">H249*P260</f>
        <v>0</v>
      </c>
      <c r="R253" s="56" t="n">
        <f aca="false">H250*Q260</f>
        <v>0</v>
      </c>
      <c r="S253" s="55" t="s">
        <v>33</v>
      </c>
      <c r="T253" s="56" t="n">
        <f aca="false" t="array" ref="T253:T256">MMULT(T264:W267,O253:O256)</f>
        <v>0</v>
      </c>
      <c r="U253" s="56" t="n">
        <f aca="false" t="array" ref="U253:U256">MMULT(T264:W267,P253:P256)</f>
        <v>0</v>
      </c>
      <c r="V253" s="56" t="n">
        <f aca="false" t="array" ref="V253:V256">MMULT(T264:W267,Q253:Q256)</f>
        <v>0</v>
      </c>
      <c r="W253" s="56" t="n">
        <f aca="false" t="array" ref="W253:W256">MMULT(T264:W267,R253:R256)</f>
        <v>0</v>
      </c>
      <c r="X253" s="32" t="s">
        <v>33</v>
      </c>
      <c r="Y253" s="57" t="n">
        <f aca="false" t="array" ref="Y253:Y256">MMULT(T264:W267,Y246:Y249)</f>
        <v>0</v>
      </c>
      <c r="Z253" s="57" t="n">
        <f aca="false" t="array" ref="Z253:Z256">MMULT(T264:W267,Z246:Z249)</f>
        <v>0</v>
      </c>
      <c r="AA253" s="57" t="n">
        <f aca="false" t="array" ref="AA253:AA256">MMULT(T264:W267,AA246:AA249)</f>
        <v>0</v>
      </c>
      <c r="AB253" s="57" t="n">
        <f aca="false" t="array" ref="AB253:AB256">MMULT(T264:W267,AB246:AB249)</f>
        <v>0</v>
      </c>
    </row>
    <row r="254" customFormat="false" ht="15" hidden="false" customHeight="true" outlineLevel="0" collapsed="false">
      <c r="A254" s="112"/>
      <c r="B254" s="11" t="s">
        <v>117</v>
      </c>
      <c r="E254" s="55" t="s">
        <v>35</v>
      </c>
      <c r="F254" s="35" t="n">
        <f aca="false">E270/IF(H254=0,1000000000000,H254)</f>
        <v>-7.57341576506955E-005</v>
      </c>
      <c r="G254" s="55" t="s">
        <v>118</v>
      </c>
      <c r="H254" s="57" t="n">
        <f aca="false">CS_8!B27</f>
        <v>2588000</v>
      </c>
      <c r="I254" s="55" t="s">
        <v>104</v>
      </c>
      <c r="J254" s="35" t="n">
        <f aca="false">A281*F297</f>
        <v>0</v>
      </c>
      <c r="K254" s="55" t="s">
        <v>104</v>
      </c>
      <c r="L254" s="68" t="n">
        <v>0</v>
      </c>
      <c r="N254" s="55" t="s">
        <v>34</v>
      </c>
      <c r="O254" s="56" t="n">
        <f aca="false">H246</f>
        <v>0</v>
      </c>
      <c r="P254" s="56" t="n">
        <f aca="false">H248*O261</f>
        <v>0</v>
      </c>
      <c r="Q254" s="56" t="n">
        <f aca="false">H249*P261</f>
        <v>0</v>
      </c>
      <c r="R254" s="56" t="n">
        <f aca="false">H250*Q261</f>
        <v>0</v>
      </c>
      <c r="S254" s="55" t="s">
        <v>34</v>
      </c>
      <c r="T254" s="56" t="n">
        <v>0</v>
      </c>
      <c r="U254" s="56" t="n">
        <v>0</v>
      </c>
      <c r="V254" s="56" t="n">
        <v>0</v>
      </c>
      <c r="W254" s="56" t="n">
        <v>0</v>
      </c>
      <c r="X254" s="32" t="s">
        <v>34</v>
      </c>
      <c r="Y254" s="57" t="n">
        <v>0</v>
      </c>
      <c r="Z254" s="57" t="n">
        <v>0</v>
      </c>
      <c r="AA254" s="57" t="n">
        <v>0</v>
      </c>
      <c r="AB254" s="57" t="n">
        <v>0</v>
      </c>
    </row>
    <row r="255" customFormat="false" ht="15" hidden="false" customHeight="true" outlineLevel="0" collapsed="false">
      <c r="A255" s="112"/>
      <c r="B255" s="52" t="s">
        <v>119</v>
      </c>
      <c r="C255" s="71" t="n">
        <f aca="false">AC264+C251</f>
        <v>10</v>
      </c>
      <c r="E255" s="55" t="s">
        <v>97</v>
      </c>
      <c r="F255" s="35" t="n">
        <f aca="false">E272/IF(H255=0,1000000000000,H255)+L252</f>
        <v>0</v>
      </c>
      <c r="G255" s="55" t="s">
        <v>120</v>
      </c>
      <c r="H255" s="57" t="n">
        <f aca="false">CS_8!B29</f>
        <v>6874375000</v>
      </c>
      <c r="I255" s="55" t="s">
        <v>121</v>
      </c>
      <c r="J255" s="57" t="n">
        <v>1</v>
      </c>
      <c r="K255" s="55" t="s">
        <v>121</v>
      </c>
      <c r="L255" s="68" t="n">
        <v>1</v>
      </c>
      <c r="N255" s="55" t="s">
        <v>35</v>
      </c>
      <c r="O255" s="56" t="n">
        <f aca="false">H247</f>
        <v>0</v>
      </c>
      <c r="P255" s="56" t="n">
        <f aca="false">H248*O262</f>
        <v>0</v>
      </c>
      <c r="Q255" s="56" t="n">
        <f aca="false">H249*P262</f>
        <v>0</v>
      </c>
      <c r="R255" s="56" t="n">
        <f aca="false">H250*Q262</f>
        <v>0</v>
      </c>
      <c r="S255" s="55" t="s">
        <v>35</v>
      </c>
      <c r="T255" s="56" t="n">
        <v>0</v>
      </c>
      <c r="U255" s="56" t="n">
        <v>0</v>
      </c>
      <c r="V255" s="56" t="n">
        <v>0</v>
      </c>
      <c r="W255" s="56" t="n">
        <v>0</v>
      </c>
      <c r="X255" s="32" t="s">
        <v>35</v>
      </c>
      <c r="Y255" s="57" t="n">
        <v>-7.57341576506955E-005</v>
      </c>
      <c r="Z255" s="57" t="n">
        <v>0</v>
      </c>
      <c r="AA255" s="57" t="n">
        <v>0</v>
      </c>
      <c r="AB255" s="57" t="n">
        <v>0</v>
      </c>
    </row>
    <row r="256" customFormat="false" ht="15" hidden="false" customHeight="true" outlineLevel="0" collapsed="false">
      <c r="A256" s="112"/>
      <c r="B256" s="52" t="s">
        <v>122</v>
      </c>
      <c r="C256" s="71" t="n">
        <f aca="false">AC265+C252</f>
        <v>0</v>
      </c>
      <c r="E256" s="55" t="s">
        <v>100</v>
      </c>
      <c r="F256" s="35" t="n">
        <f aca="false">E273/IF(H256=0,1000000000000,H256)+L253</f>
        <v>0</v>
      </c>
      <c r="G256" s="55" t="s">
        <v>123</v>
      </c>
      <c r="H256" s="57" t="n">
        <f aca="false">CS_8!B30</f>
        <v>6604791666.66667</v>
      </c>
      <c r="N256" s="41" t="s">
        <v>101</v>
      </c>
      <c r="O256" s="57" t="n">
        <v>1</v>
      </c>
      <c r="P256" s="57" t="n">
        <v>1</v>
      </c>
      <c r="Q256" s="57" t="n">
        <v>1</v>
      </c>
      <c r="R256" s="57" t="n">
        <v>1</v>
      </c>
      <c r="S256" s="41" t="s">
        <v>101</v>
      </c>
      <c r="T256" s="57" t="n">
        <v>1</v>
      </c>
      <c r="U256" s="57" t="n">
        <v>1</v>
      </c>
      <c r="V256" s="57" t="n">
        <v>1</v>
      </c>
      <c r="W256" s="57" t="n">
        <v>1</v>
      </c>
      <c r="X256" s="41" t="s">
        <v>101</v>
      </c>
      <c r="Y256" s="57" t="n">
        <v>1</v>
      </c>
      <c r="Z256" s="57" t="n">
        <v>1</v>
      </c>
      <c r="AA256" s="57" t="n">
        <v>1</v>
      </c>
      <c r="AB256" s="57" t="n">
        <v>1</v>
      </c>
    </row>
    <row r="257" customFormat="false" ht="15" hidden="false" customHeight="true" outlineLevel="0" collapsed="false">
      <c r="A257" s="112"/>
      <c r="B257" s="52" t="s">
        <v>124</v>
      </c>
      <c r="C257" s="71" t="n">
        <f aca="false">AC266+C253</f>
        <v>0</v>
      </c>
      <c r="E257" s="55" t="s">
        <v>104</v>
      </c>
      <c r="F257" s="35" t="n">
        <f aca="false">E274/IF(H257=0,1000000000000,H257)+L254</f>
        <v>0</v>
      </c>
      <c r="G257" s="55" t="s">
        <v>125</v>
      </c>
      <c r="H257" s="57" t="n">
        <f aca="false">CS_8!B31</f>
        <v>6604791666.66667</v>
      </c>
      <c r="AB257" s="73"/>
      <c r="AU257" s="73" t="s">
        <v>126</v>
      </c>
      <c r="AZ257" s="73" t="s">
        <v>127</v>
      </c>
      <c r="BE257" s="73" t="s">
        <v>128</v>
      </c>
      <c r="BJ257" s="73" t="s">
        <v>128</v>
      </c>
    </row>
    <row r="258" customFormat="false" ht="31.2" hidden="false" customHeight="false" outlineLevel="0" collapsed="false">
      <c r="A258" s="112"/>
      <c r="B258" s="74" t="s">
        <v>168</v>
      </c>
      <c r="E258" s="1" t="s">
        <v>130</v>
      </c>
      <c r="F258" s="1"/>
      <c r="G258" s="75" t="s">
        <v>131</v>
      </c>
      <c r="H258" s="75"/>
      <c r="I258" s="75"/>
      <c r="J258" s="75"/>
      <c r="K258" s="75"/>
      <c r="L258" s="75"/>
      <c r="M258" s="3" t="s">
        <v>132</v>
      </c>
      <c r="N258" s="76" t="s">
        <v>133</v>
      </c>
      <c r="AE258" s="44" t="s">
        <v>134</v>
      </c>
      <c r="AF258" s="79" t="n">
        <v>0.001</v>
      </c>
      <c r="AG258" s="44"/>
      <c r="AH258" s="44"/>
      <c r="AI258" s="44"/>
      <c r="AJ258" s="44" t="s">
        <v>135</v>
      </c>
      <c r="AK258" s="80" t="n">
        <v>0.001</v>
      </c>
      <c r="AL258" s="31"/>
      <c r="AM258" s="31"/>
      <c r="AN258" s="44"/>
      <c r="AO258" s="44" t="s">
        <v>136</v>
      </c>
      <c r="AP258" s="79" t="n">
        <v>0.001</v>
      </c>
      <c r="AU258" s="31" t="s">
        <v>18</v>
      </c>
      <c r="AV258" s="31" t="s">
        <v>137</v>
      </c>
      <c r="AW258" s="31" t="s">
        <v>138</v>
      </c>
      <c r="AZ258" s="31" t="s">
        <v>18</v>
      </c>
      <c r="BA258" s="31" t="s">
        <v>137</v>
      </c>
      <c r="BB258" s="31" t="s">
        <v>138</v>
      </c>
      <c r="BE258" s="31" t="s">
        <v>18</v>
      </c>
      <c r="BF258" s="31" t="s">
        <v>137</v>
      </c>
      <c r="BG258" s="31" t="s">
        <v>138</v>
      </c>
    </row>
    <row r="259" customFormat="false" ht="15" hidden="false" customHeight="true" outlineLevel="0" collapsed="false">
      <c r="A259" s="112"/>
      <c r="B259" s="81" t="s">
        <v>139</v>
      </c>
      <c r="C259" s="59" t="n">
        <f aca="false" t="array" ref="C259:C262">MMULT(O231:R234,E235:E238)</f>
        <v>0</v>
      </c>
      <c r="E259" s="55" t="s">
        <v>33</v>
      </c>
      <c r="F259" s="35" t="n">
        <f aca="false" t="array" ref="F259:F264">MMULT(G259:L264,M259:M264)</f>
        <v>0</v>
      </c>
      <c r="G259" s="83" t="n">
        <f aca="false">CS_8!G5</f>
        <v>0</v>
      </c>
      <c r="H259" s="83" t="n">
        <f aca="false">CS_8!H5</f>
        <v>0</v>
      </c>
      <c r="I259" s="83" t="n">
        <f aca="false">CS_8!I5</f>
        <v>0</v>
      </c>
      <c r="J259" s="83" t="n">
        <f aca="false">CS_8!J5</f>
        <v>0</v>
      </c>
      <c r="K259" s="83" t="n">
        <f aca="false">CS_8!K5</f>
        <v>0</v>
      </c>
      <c r="L259" s="83" t="n">
        <f aca="false">CS_8!L5</f>
        <v>0</v>
      </c>
      <c r="M259" s="57" t="n">
        <f aca="false">C259</f>
        <v>0</v>
      </c>
      <c r="O259" s="31" t="s">
        <v>140</v>
      </c>
      <c r="P259" s="17" t="s">
        <v>141</v>
      </c>
      <c r="Q259" s="17" t="s">
        <v>142</v>
      </c>
      <c r="R259" s="17"/>
      <c r="S259" s="17"/>
      <c r="T259" s="17"/>
      <c r="U259" s="17"/>
      <c r="V259" s="17"/>
      <c r="W259" s="17"/>
      <c r="X259" s="17"/>
      <c r="Y259" s="17"/>
      <c r="Z259" s="17"/>
      <c r="AA259" s="17"/>
      <c r="AB259" s="0" t="s">
        <v>143</v>
      </c>
      <c r="AC259" s="57" t="n">
        <f aca="false">C244</f>
        <v>0</v>
      </c>
      <c r="AD259" s="57"/>
      <c r="AE259" s="62" t="n">
        <v>1</v>
      </c>
      <c r="AF259" s="35" t="n">
        <v>0</v>
      </c>
      <c r="AG259" s="35" t="n">
        <v>0</v>
      </c>
      <c r="AH259" s="63" t="n">
        <v>0</v>
      </c>
      <c r="AI259" s="86"/>
      <c r="AJ259" s="35" t="n">
        <f aca="false">COS(AK258)</f>
        <v>0.999999500000042</v>
      </c>
      <c r="AK259" s="35" t="n">
        <v>0</v>
      </c>
      <c r="AL259" s="35" t="n">
        <f aca="false">-AJ261</f>
        <v>0.000999999833333342</v>
      </c>
      <c r="AM259" s="35" t="n">
        <v>0</v>
      </c>
      <c r="AN259" s="86"/>
      <c r="AO259" s="35" t="n">
        <f aca="false">COS(AP258)</f>
        <v>0.999999500000042</v>
      </c>
      <c r="AP259" s="35" t="n">
        <f aca="false">-AO260</f>
        <v>-0.000999999833333342</v>
      </c>
      <c r="AQ259" s="35" t="n">
        <v>0</v>
      </c>
      <c r="AR259" s="35" t="n">
        <v>0</v>
      </c>
      <c r="AS259" s="86"/>
      <c r="AT259" s="57" t="s">
        <v>144</v>
      </c>
      <c r="AU259" s="35" t="n">
        <f aca="false" t="array" ref="AU259:AU262">MMULT(AE259:AH262,$AC259:$AC262)</f>
        <v>0</v>
      </c>
      <c r="AV259" s="35" t="n">
        <f aca="false">AU259-$AC259</f>
        <v>0</v>
      </c>
      <c r="AW259" s="35" t="n">
        <f aca="false">AV259/AF258</f>
        <v>0</v>
      </c>
      <c r="AX259" s="86"/>
      <c r="AY259" s="57" t="s">
        <v>144</v>
      </c>
      <c r="AZ259" s="35" t="n">
        <f aca="false" t="array" ref="AZ259:AZ262">MMULT(AJ259:AM262,$AC259:$AC262)</f>
        <v>0</v>
      </c>
      <c r="BA259" s="35" t="n">
        <f aca="false">AZ259-$AC259</f>
        <v>0</v>
      </c>
      <c r="BB259" s="35" t="n">
        <f aca="false">BA259/AK258</f>
        <v>0</v>
      </c>
      <c r="BC259" s="86"/>
      <c r="BD259" s="57" t="s">
        <v>144</v>
      </c>
      <c r="BE259" s="35" t="n">
        <f aca="false" t="array" ref="BE259:BE262">MMULT(AO259:AR262,$AC259:$AC262)</f>
        <v>0</v>
      </c>
      <c r="BF259" s="35" t="n">
        <f aca="false">BE259-$AC259</f>
        <v>0</v>
      </c>
      <c r="BG259" s="35" t="n">
        <f aca="false">BF259/AP258</f>
        <v>0</v>
      </c>
    </row>
    <row r="260" customFormat="false" ht="15.6" hidden="false" customHeight="false" outlineLevel="0" collapsed="false">
      <c r="A260" s="112"/>
      <c r="B260" s="81" t="s">
        <v>145</v>
      </c>
      <c r="C260" s="59" t="n">
        <v>0</v>
      </c>
      <c r="E260" s="55" t="s">
        <v>34</v>
      </c>
      <c r="F260" s="35" t="n">
        <v>0</v>
      </c>
      <c r="G260" s="83" t="n">
        <f aca="false">CS_8!G6</f>
        <v>0</v>
      </c>
      <c r="H260" s="83" t="n">
        <f aca="false">CS_8!H6</f>
        <v>0</v>
      </c>
      <c r="I260" s="83" t="n">
        <f aca="false">CS_8!I6</f>
        <v>0</v>
      </c>
      <c r="J260" s="83" t="n">
        <f aca="false">CS_8!J6</f>
        <v>0</v>
      </c>
      <c r="K260" s="83" t="n">
        <f aca="false">CS_8!K6</f>
        <v>0</v>
      </c>
      <c r="L260" s="83" t="n">
        <f aca="false">CS_8!L6</f>
        <v>0</v>
      </c>
      <c r="M260" s="57" t="n">
        <f aca="false">C260</f>
        <v>0</v>
      </c>
      <c r="N260" s="55" t="s">
        <v>33</v>
      </c>
      <c r="O260" s="71" t="n">
        <f aca="false">AW259</f>
        <v>0</v>
      </c>
      <c r="P260" s="71" t="n">
        <f aca="false">BB259</f>
        <v>0</v>
      </c>
      <c r="Q260" s="71" t="n">
        <f aca="false">BG259</f>
        <v>0</v>
      </c>
      <c r="AB260" s="0" t="s">
        <v>146</v>
      </c>
      <c r="AC260" s="57" t="n">
        <f aca="false">C245</f>
        <v>0</v>
      </c>
      <c r="AD260" s="57"/>
      <c r="AE260" s="62" t="n">
        <v>0</v>
      </c>
      <c r="AF260" s="35" t="n">
        <f aca="false">COS(AF258)</f>
        <v>0.999999500000042</v>
      </c>
      <c r="AG260" s="35" t="n">
        <f aca="false">-SIN(AF258)</f>
        <v>-0.000999999833333342</v>
      </c>
      <c r="AH260" s="63" t="n">
        <v>0</v>
      </c>
      <c r="AI260" s="86"/>
      <c r="AJ260" s="35" t="n">
        <v>0</v>
      </c>
      <c r="AK260" s="35" t="n">
        <v>1</v>
      </c>
      <c r="AL260" s="35" t="n">
        <v>0</v>
      </c>
      <c r="AM260" s="35" t="n">
        <v>0</v>
      </c>
      <c r="AN260" s="86"/>
      <c r="AO260" s="35" t="n">
        <f aca="false">SIN(AP258)</f>
        <v>0.000999999833333342</v>
      </c>
      <c r="AP260" s="35" t="n">
        <f aca="false">AO259</f>
        <v>0.999999500000042</v>
      </c>
      <c r="AQ260" s="35" t="n">
        <v>0</v>
      </c>
      <c r="AR260" s="35" t="n">
        <v>0</v>
      </c>
      <c r="AS260" s="86"/>
      <c r="AT260" s="57" t="s">
        <v>147</v>
      </c>
      <c r="AU260" s="35" t="n">
        <v>0</v>
      </c>
      <c r="AV260" s="35" t="n">
        <f aca="false">AU260-$AC260</f>
        <v>0</v>
      </c>
      <c r="AW260" s="35" t="n">
        <f aca="false">AV260/AF258</f>
        <v>0</v>
      </c>
      <c r="AX260" s="86"/>
      <c r="AY260" s="57" t="s">
        <v>147</v>
      </c>
      <c r="AZ260" s="35" t="n">
        <v>0</v>
      </c>
      <c r="BA260" s="35" t="n">
        <f aca="false">AZ260-$AC260</f>
        <v>0</v>
      </c>
      <c r="BB260" s="35" t="n">
        <f aca="false">BA260/AK258</f>
        <v>0</v>
      </c>
      <c r="BC260" s="86"/>
      <c r="BD260" s="57" t="s">
        <v>147</v>
      </c>
      <c r="BE260" s="35" t="n">
        <v>0</v>
      </c>
      <c r="BF260" s="35" t="n">
        <f aca="false">BE260-$AC260</f>
        <v>0</v>
      </c>
      <c r="BG260" s="35" t="n">
        <f aca="false">BF260/AP258</f>
        <v>0</v>
      </c>
    </row>
    <row r="261" customFormat="false" ht="15.6" hidden="false" customHeight="false" outlineLevel="0" collapsed="false">
      <c r="A261" s="112"/>
      <c r="B261" s="81" t="s">
        <v>148</v>
      </c>
      <c r="C261" s="59" t="n">
        <v>-196</v>
      </c>
      <c r="E261" s="55" t="s">
        <v>35</v>
      </c>
      <c r="F261" s="35" t="n">
        <v>0</v>
      </c>
      <c r="G261" s="83" t="n">
        <f aca="false">CS_8!G7</f>
        <v>0</v>
      </c>
      <c r="H261" s="83" t="n">
        <f aca="false">CS_8!H7</f>
        <v>0</v>
      </c>
      <c r="I261" s="83" t="n">
        <f aca="false">CS_8!I7</f>
        <v>0</v>
      </c>
      <c r="J261" s="83" t="n">
        <f aca="false">CS_8!J7</f>
        <v>0</v>
      </c>
      <c r="K261" s="83" t="n">
        <f aca="false">CS_8!K7</f>
        <v>0</v>
      </c>
      <c r="L261" s="83" t="n">
        <f aca="false">CS_8!L7</f>
        <v>0</v>
      </c>
      <c r="M261" s="57" t="n">
        <f aca="false">C261</f>
        <v>-196</v>
      </c>
      <c r="N261" s="55" t="s">
        <v>34</v>
      </c>
      <c r="O261" s="71" t="n">
        <f aca="false">AW260</f>
        <v>0</v>
      </c>
      <c r="P261" s="71" t="n">
        <f aca="false">BB260</f>
        <v>0</v>
      </c>
      <c r="Q261" s="71" t="n">
        <f aca="false">BG260</f>
        <v>0</v>
      </c>
      <c r="AB261" s="0" t="s">
        <v>149</v>
      </c>
      <c r="AC261" s="57" t="n">
        <f aca="false">C246</f>
        <v>0</v>
      </c>
      <c r="AD261" s="57"/>
      <c r="AE261" s="62" t="n">
        <v>0</v>
      </c>
      <c r="AF261" s="35" t="n">
        <f aca="false">-AG260</f>
        <v>0.000999999833333342</v>
      </c>
      <c r="AG261" s="35" t="n">
        <f aca="false">AF260</f>
        <v>0.999999500000042</v>
      </c>
      <c r="AH261" s="63" t="n">
        <v>0</v>
      </c>
      <c r="AI261" s="86"/>
      <c r="AJ261" s="35" t="n">
        <f aca="false">-SIN(AK258)</f>
        <v>-0.000999999833333342</v>
      </c>
      <c r="AK261" s="35" t="n">
        <v>0</v>
      </c>
      <c r="AL261" s="35" t="n">
        <f aca="false">COS(AK258)</f>
        <v>0.999999500000042</v>
      </c>
      <c r="AM261" s="35" t="n">
        <v>0</v>
      </c>
      <c r="AN261" s="86"/>
      <c r="AO261" s="35" t="n">
        <v>0</v>
      </c>
      <c r="AP261" s="35" t="n">
        <v>0</v>
      </c>
      <c r="AQ261" s="35" t="n">
        <v>1</v>
      </c>
      <c r="AR261" s="35" t="n">
        <v>0</v>
      </c>
      <c r="AS261" s="86"/>
      <c r="AT261" s="57" t="s">
        <v>150</v>
      </c>
      <c r="AU261" s="35" t="n">
        <v>0</v>
      </c>
      <c r="AV261" s="35" t="n">
        <f aca="false">AU261-$AC261</f>
        <v>0</v>
      </c>
      <c r="AW261" s="35" t="n">
        <f aca="false">AV261/AF258</f>
        <v>0</v>
      </c>
      <c r="AX261" s="86"/>
      <c r="AY261" s="57" t="s">
        <v>150</v>
      </c>
      <c r="AZ261" s="35" t="n">
        <v>0</v>
      </c>
      <c r="BA261" s="35" t="n">
        <f aca="false">AZ261-$AC261</f>
        <v>0</v>
      </c>
      <c r="BB261" s="35" t="n">
        <f aca="false">BA261/AK258</f>
        <v>0</v>
      </c>
      <c r="BC261" s="86"/>
      <c r="BD261" s="57" t="s">
        <v>150</v>
      </c>
      <c r="BE261" s="35" t="n">
        <v>0</v>
      </c>
      <c r="BF261" s="35" t="n">
        <f aca="false">BE261-$AC261</f>
        <v>0</v>
      </c>
      <c r="BG261" s="35" t="n">
        <f aca="false">BF261/AP258</f>
        <v>0</v>
      </c>
    </row>
    <row r="262" customFormat="false" ht="15" hidden="false" customHeight="true" outlineLevel="0" collapsed="false">
      <c r="A262" s="112"/>
      <c r="B262" s="81" t="s">
        <v>101</v>
      </c>
      <c r="C262" s="59" t="n">
        <v>1</v>
      </c>
      <c r="E262" s="55" t="s">
        <v>97</v>
      </c>
      <c r="F262" s="35" t="n">
        <v>0</v>
      </c>
      <c r="G262" s="83" t="n">
        <f aca="false">CS_8!G8</f>
        <v>0</v>
      </c>
      <c r="H262" s="83" t="n">
        <f aca="false">CS_8!H8</f>
        <v>0</v>
      </c>
      <c r="I262" s="83" t="n">
        <f aca="false">CS_8!I8</f>
        <v>0</v>
      </c>
      <c r="J262" s="83" t="n">
        <f aca="false">CS_8!J8</f>
        <v>0</v>
      </c>
      <c r="K262" s="83" t="n">
        <f aca="false">CS_8!K8</f>
        <v>0</v>
      </c>
      <c r="L262" s="83" t="n">
        <f aca="false">CS_8!L8</f>
        <v>0</v>
      </c>
      <c r="M262" s="57" t="n">
        <f aca="false">C263</f>
        <v>0</v>
      </c>
      <c r="N262" s="55" t="s">
        <v>35</v>
      </c>
      <c r="O262" s="71" t="n">
        <f aca="false">AW261</f>
        <v>0</v>
      </c>
      <c r="P262" s="71" t="n">
        <f aca="false">BB261</f>
        <v>0</v>
      </c>
      <c r="Q262" s="71" t="n">
        <f aca="false">BG261</f>
        <v>0</v>
      </c>
      <c r="AC262" s="57" t="n">
        <v>1</v>
      </c>
      <c r="AD262" s="57"/>
      <c r="AE262" s="62" t="n">
        <v>0</v>
      </c>
      <c r="AF262" s="35" t="n">
        <v>0</v>
      </c>
      <c r="AG262" s="35" t="n">
        <v>0</v>
      </c>
      <c r="AH262" s="63" t="n">
        <v>1</v>
      </c>
      <c r="AI262" s="86"/>
      <c r="AJ262" s="35" t="n">
        <v>0</v>
      </c>
      <c r="AK262" s="35" t="n">
        <v>0</v>
      </c>
      <c r="AL262" s="35" t="n">
        <v>0</v>
      </c>
      <c r="AM262" s="35" t="n">
        <v>1</v>
      </c>
      <c r="AN262" s="86"/>
      <c r="AO262" s="35" t="n">
        <v>0</v>
      </c>
      <c r="AP262" s="35" t="n">
        <v>0</v>
      </c>
      <c r="AQ262" s="35" t="n">
        <v>0</v>
      </c>
      <c r="AR262" s="35" t="n">
        <v>1</v>
      </c>
      <c r="AS262" s="86"/>
      <c r="AT262" s="57"/>
      <c r="AU262" s="35" t="n">
        <v>1</v>
      </c>
      <c r="AV262" s="35"/>
      <c r="AW262" s="35"/>
      <c r="AX262" s="86"/>
      <c r="AY262" s="57"/>
      <c r="AZ262" s="35" t="n">
        <v>1</v>
      </c>
      <c r="BA262" s="35"/>
      <c r="BB262" s="35"/>
      <c r="BC262" s="86"/>
      <c r="BD262" s="57"/>
      <c r="BE262" s="35" t="n">
        <v>1</v>
      </c>
      <c r="BF262" s="35"/>
      <c r="BG262" s="35"/>
    </row>
    <row r="263" customFormat="false" ht="15" hidden="false" customHeight="true" outlineLevel="0" collapsed="false">
      <c r="A263" s="112"/>
      <c r="B263" s="81" t="s">
        <v>151</v>
      </c>
      <c r="C263" s="59" t="n">
        <f aca="false" t="array" ref="C263:C266">MMULT(O231:R234,E239:E242)</f>
        <v>0</v>
      </c>
      <c r="E263" s="55" t="s">
        <v>100</v>
      </c>
      <c r="F263" s="35" t="n">
        <v>0</v>
      </c>
      <c r="G263" s="83" t="n">
        <f aca="false">CS_8!G9</f>
        <v>0</v>
      </c>
      <c r="H263" s="83" t="n">
        <f aca="false">CS_8!H9</f>
        <v>0</v>
      </c>
      <c r="I263" s="83" t="n">
        <f aca="false">CS_8!I9</f>
        <v>0</v>
      </c>
      <c r="J263" s="83" t="n">
        <f aca="false">CS_8!J9</f>
        <v>0</v>
      </c>
      <c r="K263" s="83" t="n">
        <f aca="false">CS_8!K9</f>
        <v>0</v>
      </c>
      <c r="L263" s="83" t="n">
        <f aca="false">CS_8!L9</f>
        <v>0</v>
      </c>
      <c r="M263" s="57" t="n">
        <f aca="false">C264</f>
        <v>0</v>
      </c>
      <c r="O263" s="89" t="s">
        <v>152</v>
      </c>
      <c r="T263" s="89" t="s">
        <v>153</v>
      </c>
      <c r="AE263" s="0" t="s">
        <v>154</v>
      </c>
      <c r="AJ263" s="0" t="s">
        <v>155</v>
      </c>
      <c r="AO263" s="0" t="s">
        <v>156</v>
      </c>
    </row>
    <row r="264" customFormat="false" ht="15" hidden="false" customHeight="true" outlineLevel="0" collapsed="false">
      <c r="A264" s="112"/>
      <c r="B264" s="81" t="s">
        <v>157</v>
      </c>
      <c r="C264" s="59" t="n">
        <v>0</v>
      </c>
      <c r="E264" s="55" t="s">
        <v>104</v>
      </c>
      <c r="F264" s="35" t="n">
        <v>0</v>
      </c>
      <c r="G264" s="83" t="n">
        <f aca="false">CS_8!G10</f>
        <v>0</v>
      </c>
      <c r="H264" s="83" t="n">
        <f aca="false">CS_8!H10</f>
        <v>0</v>
      </c>
      <c r="I264" s="83" t="n">
        <f aca="false">CS_8!I10</f>
        <v>0</v>
      </c>
      <c r="J264" s="83" t="n">
        <f aca="false">CS_8!J10</f>
        <v>0</v>
      </c>
      <c r="K264" s="83" t="n">
        <f aca="false">CS_8!K10</f>
        <v>0</v>
      </c>
      <c r="L264" s="83" t="n">
        <f aca="false">CS_8!L10</f>
        <v>0</v>
      </c>
      <c r="M264" s="57" t="n">
        <f aca="false">C265</f>
        <v>0</v>
      </c>
      <c r="O264" s="71" t="n">
        <f aca="false" t="array" ref="O264:R267">MMULT(AO264:AR267,MMULT(AJ264:AM267,AE264:AH267))</f>
        <v>1</v>
      </c>
      <c r="P264" s="71" t="n">
        <v>0</v>
      </c>
      <c r="Q264" s="71" t="n">
        <v>0</v>
      </c>
      <c r="R264" s="71" t="n">
        <v>0</v>
      </c>
      <c r="S264" s="90"/>
      <c r="T264" s="71" t="n">
        <f aca="false" t="array" ref="T264:W267">IF(A285=1,MMULT(T297:W300,O264:R267),T$363:W$366)</f>
        <v>1</v>
      </c>
      <c r="U264" s="71" t="n">
        <v>0</v>
      </c>
      <c r="V264" s="71" t="n">
        <v>0</v>
      </c>
      <c r="W264" s="71" t="n">
        <v>0</v>
      </c>
      <c r="X264" s="71"/>
      <c r="Y264" s="71"/>
      <c r="Z264" s="71"/>
      <c r="AA264" s="71"/>
      <c r="AB264" s="0" t="s">
        <v>158</v>
      </c>
      <c r="AC264" s="57" t="n">
        <f aca="false" t="array" ref="AC264:AC267">MMULT(O264:R267,AC259:AC262)</f>
        <v>0</v>
      </c>
      <c r="AD264" s="57"/>
      <c r="AE264" s="91" t="n">
        <v>1</v>
      </c>
      <c r="AF264" s="57" t="n">
        <v>0</v>
      </c>
      <c r="AG264" s="57" t="n">
        <v>0</v>
      </c>
      <c r="AH264" s="92" t="n">
        <v>0</v>
      </c>
      <c r="AJ264" s="91" t="n">
        <f aca="false">COS(PI()*C249/180)</f>
        <v>1</v>
      </c>
      <c r="AK264" s="57" t="n">
        <v>0</v>
      </c>
      <c r="AL264" s="57" t="n">
        <f aca="false">SIN(PI()*C249/180)</f>
        <v>0</v>
      </c>
      <c r="AM264" s="92" t="n">
        <v>0</v>
      </c>
      <c r="AO264" s="91" t="n">
        <f aca="false">COS(PI()*C250/180)</f>
        <v>1</v>
      </c>
      <c r="AP264" s="57" t="n">
        <f aca="false">-SIN(PI()*C250/180)</f>
        <v>0</v>
      </c>
      <c r="AQ264" s="57" t="n">
        <v>0</v>
      </c>
      <c r="AR264" s="92" t="n">
        <v>0</v>
      </c>
    </row>
    <row r="265" customFormat="false" ht="15" hidden="false" customHeight="true" outlineLevel="0" collapsed="false">
      <c r="A265" s="112"/>
      <c r="B265" s="81" t="s">
        <v>159</v>
      </c>
      <c r="C265" s="59" t="n">
        <v>0</v>
      </c>
      <c r="G265" s="113"/>
      <c r="H265" s="113"/>
      <c r="I265" s="113"/>
      <c r="J265" s="93"/>
      <c r="K265" s="93"/>
      <c r="L265" s="93"/>
      <c r="M265" s="93"/>
      <c r="O265" s="71" t="n">
        <v>0</v>
      </c>
      <c r="P265" s="71" t="n">
        <v>1</v>
      </c>
      <c r="Q265" s="71" t="n">
        <v>0</v>
      </c>
      <c r="R265" s="71" t="n">
        <v>0</v>
      </c>
      <c r="S265" s="90"/>
      <c r="T265" s="71" t="n">
        <v>0</v>
      </c>
      <c r="U265" s="71" t="n">
        <v>1</v>
      </c>
      <c r="V265" s="71" t="n">
        <v>0</v>
      </c>
      <c r="W265" s="71" t="n">
        <v>0</v>
      </c>
      <c r="X265" s="71"/>
      <c r="Y265" s="71"/>
      <c r="Z265" s="71"/>
      <c r="AA265" s="71"/>
      <c r="AB265" s="0" t="s">
        <v>160</v>
      </c>
      <c r="AC265" s="57" t="n">
        <v>0</v>
      </c>
      <c r="AD265" s="57"/>
      <c r="AE265" s="91" t="n">
        <v>0</v>
      </c>
      <c r="AF265" s="57" t="n">
        <f aca="false">COS(PI()*C248/180)</f>
        <v>1</v>
      </c>
      <c r="AG265" s="57" t="n">
        <f aca="false">-SIN(PI()*C248/180)</f>
        <v>0</v>
      </c>
      <c r="AH265" s="92" t="n">
        <v>0</v>
      </c>
      <c r="AJ265" s="91" t="n">
        <v>0</v>
      </c>
      <c r="AK265" s="57" t="n">
        <v>1</v>
      </c>
      <c r="AL265" s="57" t="n">
        <v>0</v>
      </c>
      <c r="AM265" s="92" t="n">
        <v>0</v>
      </c>
      <c r="AO265" s="91" t="n">
        <f aca="false">SIN(PI()*C250/180)</f>
        <v>0</v>
      </c>
      <c r="AP265" s="57" t="n">
        <f aca="false">AO264</f>
        <v>1</v>
      </c>
      <c r="AQ265" s="57" t="n">
        <v>0</v>
      </c>
      <c r="AR265" s="92" t="n">
        <v>0</v>
      </c>
    </row>
    <row r="266" customFormat="false" ht="15" hidden="false" customHeight="true" outlineLevel="0" collapsed="false">
      <c r="A266" s="112"/>
      <c r="B266" s="81" t="s">
        <v>101</v>
      </c>
      <c r="C266" s="59" t="n">
        <v>1</v>
      </c>
      <c r="G266" s="113"/>
      <c r="H266" s="113"/>
      <c r="I266" s="113"/>
      <c r="J266" s="93"/>
      <c r="K266" s="93"/>
      <c r="L266" s="93"/>
      <c r="M266" s="93"/>
      <c r="O266" s="71" t="n">
        <v>0</v>
      </c>
      <c r="P266" s="71" t="n">
        <v>0</v>
      </c>
      <c r="Q266" s="71" t="n">
        <v>1</v>
      </c>
      <c r="R266" s="71" t="n">
        <v>0</v>
      </c>
      <c r="S266" s="90"/>
      <c r="T266" s="71" t="n">
        <v>0</v>
      </c>
      <c r="U266" s="71" t="n">
        <v>0</v>
      </c>
      <c r="V266" s="71" t="n">
        <v>1</v>
      </c>
      <c r="W266" s="71" t="n">
        <v>0</v>
      </c>
      <c r="X266" s="71"/>
      <c r="Y266" s="71"/>
      <c r="Z266" s="71"/>
      <c r="AA266" s="71"/>
      <c r="AB266" s="0" t="s">
        <v>161</v>
      </c>
      <c r="AC266" s="57" t="n">
        <v>0</v>
      </c>
      <c r="AD266" s="57"/>
      <c r="AE266" s="91" t="n">
        <v>0</v>
      </c>
      <c r="AF266" s="57" t="n">
        <f aca="false">SIN(PI()*C248/180)</f>
        <v>0</v>
      </c>
      <c r="AG266" s="57" t="n">
        <f aca="false">AF265</f>
        <v>1</v>
      </c>
      <c r="AH266" s="92" t="n">
        <v>0</v>
      </c>
      <c r="AJ266" s="91" t="n">
        <f aca="false">-SIN(PI()*C249/180)</f>
        <v>0</v>
      </c>
      <c r="AK266" s="57" t="n">
        <v>0</v>
      </c>
      <c r="AL266" s="57" t="n">
        <f aca="false">AJ264</f>
        <v>1</v>
      </c>
      <c r="AM266" s="92" t="n">
        <v>0</v>
      </c>
      <c r="AO266" s="91" t="n">
        <v>0</v>
      </c>
      <c r="AP266" s="57" t="n">
        <v>0</v>
      </c>
      <c r="AQ266" s="57" t="n">
        <v>1</v>
      </c>
      <c r="AR266" s="92" t="n">
        <v>0</v>
      </c>
    </row>
    <row r="267" s="96" customFormat="true" ht="15.6" hidden="false" customHeight="false" outlineLevel="0" collapsed="false">
      <c r="A267" s="112"/>
      <c r="B267" s="11" t="s">
        <v>169</v>
      </c>
      <c r="D267" s="11" t="s">
        <v>163</v>
      </c>
      <c r="G267" s="102"/>
      <c r="H267" s="102"/>
      <c r="I267" s="102"/>
      <c r="J267" s="114"/>
      <c r="K267" s="114"/>
      <c r="L267" s="114"/>
      <c r="M267" s="114"/>
      <c r="O267" s="98" t="n">
        <v>0</v>
      </c>
      <c r="P267" s="98" t="n">
        <v>0</v>
      </c>
      <c r="Q267" s="98" t="n">
        <v>0</v>
      </c>
      <c r="R267" s="98" t="n">
        <v>1</v>
      </c>
      <c r="S267" s="99"/>
      <c r="T267" s="98" t="n">
        <v>0</v>
      </c>
      <c r="U267" s="98" t="n">
        <v>0</v>
      </c>
      <c r="V267" s="98" t="n">
        <v>0</v>
      </c>
      <c r="W267" s="98" t="n">
        <v>1</v>
      </c>
      <c r="X267" s="98"/>
      <c r="Y267" s="98"/>
      <c r="Z267" s="98"/>
      <c r="AA267" s="98"/>
      <c r="AC267" s="100" t="n">
        <v>1</v>
      </c>
      <c r="AD267" s="100"/>
      <c r="AE267" s="100" t="n">
        <v>0</v>
      </c>
      <c r="AF267" s="100" t="n">
        <v>0</v>
      </c>
      <c r="AG267" s="100" t="n">
        <v>0</v>
      </c>
      <c r="AH267" s="100" t="n">
        <v>1</v>
      </c>
      <c r="AJ267" s="100" t="n">
        <v>0</v>
      </c>
      <c r="AK267" s="100" t="n">
        <v>0</v>
      </c>
      <c r="AL267" s="100" t="n">
        <v>0</v>
      </c>
      <c r="AM267" s="100" t="n">
        <v>1</v>
      </c>
      <c r="AO267" s="100" t="n">
        <v>0</v>
      </c>
      <c r="AP267" s="100" t="n">
        <v>0</v>
      </c>
      <c r="AQ267" s="100" t="n">
        <v>0</v>
      </c>
      <c r="AR267" s="100" t="n">
        <v>1</v>
      </c>
    </row>
    <row r="268" customFormat="false" ht="15.6" hidden="false" customHeight="false" outlineLevel="0" collapsed="false">
      <c r="A268" s="112"/>
      <c r="B268" s="81" t="s">
        <v>139</v>
      </c>
      <c r="C268" s="82" t="n">
        <v>0</v>
      </c>
      <c r="D268" s="81" t="s">
        <v>139</v>
      </c>
      <c r="E268" s="59" t="n">
        <f aca="false">C259+C268</f>
        <v>0</v>
      </c>
      <c r="F268" s="103"/>
      <c r="G268" s="114"/>
      <c r="H268" s="120"/>
      <c r="I268" s="114"/>
      <c r="J268" s="114"/>
      <c r="K268" s="114"/>
      <c r="L268" s="114"/>
      <c r="M268" s="114"/>
      <c r="O268" s="98"/>
      <c r="P268" s="98"/>
      <c r="Q268" s="98"/>
      <c r="R268" s="98"/>
      <c r="S268" s="99"/>
      <c r="T268" s="98"/>
      <c r="U268" s="98"/>
      <c r="V268" s="98"/>
      <c r="W268" s="98"/>
      <c r="X268" s="98"/>
      <c r="Y268" s="98"/>
      <c r="Z268" s="98"/>
      <c r="AA268" s="98"/>
      <c r="AC268" s="100"/>
      <c r="AD268" s="100"/>
      <c r="AE268" s="100"/>
      <c r="AF268" s="100"/>
      <c r="AG268" s="100"/>
      <c r="AH268" s="100"/>
      <c r="AJ268" s="100"/>
      <c r="AK268" s="100"/>
      <c r="AL268" s="100"/>
      <c r="AM268" s="100"/>
      <c r="AO268" s="100"/>
      <c r="AP268" s="100"/>
      <c r="AQ268" s="100"/>
      <c r="AR268" s="100"/>
    </row>
    <row r="269" customFormat="false" ht="15.6" hidden="false" customHeight="false" outlineLevel="0" collapsed="false">
      <c r="A269" s="112"/>
      <c r="B269" s="81" t="s">
        <v>145</v>
      </c>
      <c r="C269" s="82" t="n">
        <v>0</v>
      </c>
      <c r="D269" s="81" t="s">
        <v>145</v>
      </c>
      <c r="E269" s="59" t="n">
        <f aca="false">C260+C269</f>
        <v>0</v>
      </c>
      <c r="F269" s="103"/>
      <c r="G269" s="114"/>
      <c r="H269" s="120"/>
      <c r="I269" s="114"/>
      <c r="J269" s="114"/>
      <c r="K269" s="114"/>
      <c r="L269" s="114"/>
      <c r="M269" s="114"/>
      <c r="O269" s="98"/>
      <c r="P269" s="98"/>
      <c r="Q269" s="98"/>
      <c r="R269" s="98"/>
      <c r="S269" s="99"/>
      <c r="T269" s="98"/>
      <c r="U269" s="98"/>
      <c r="V269" s="98"/>
      <c r="W269" s="98"/>
      <c r="X269" s="98"/>
      <c r="Y269" s="98"/>
      <c r="Z269" s="98"/>
      <c r="AA269" s="98"/>
      <c r="AC269" s="100"/>
      <c r="AD269" s="100"/>
      <c r="AE269" s="100"/>
      <c r="AF269" s="100"/>
      <c r="AG269" s="100"/>
      <c r="AH269" s="100"/>
      <c r="AJ269" s="100"/>
      <c r="AK269" s="100"/>
      <c r="AL269" s="100"/>
      <c r="AM269" s="100"/>
      <c r="AO269" s="100"/>
      <c r="AP269" s="100"/>
      <c r="AQ269" s="100"/>
      <c r="AR269" s="100"/>
    </row>
    <row r="270" customFormat="false" ht="15.6" hidden="false" customHeight="false" outlineLevel="0" collapsed="false">
      <c r="A270" s="112"/>
      <c r="B270" s="81" t="s">
        <v>148</v>
      </c>
      <c r="C270" s="82" t="n">
        <v>0</v>
      </c>
      <c r="D270" s="81" t="s">
        <v>148</v>
      </c>
      <c r="E270" s="59" t="n">
        <f aca="false">C261+C270</f>
        <v>-196</v>
      </c>
      <c r="F270" s="103"/>
      <c r="G270" s="114"/>
      <c r="H270" s="120"/>
      <c r="I270" s="114"/>
      <c r="J270" s="114"/>
      <c r="K270" s="114"/>
      <c r="L270" s="114"/>
      <c r="M270" s="114"/>
      <c r="O270" s="98"/>
      <c r="P270" s="98"/>
      <c r="Q270" s="98"/>
      <c r="R270" s="98"/>
      <c r="S270" s="99"/>
      <c r="T270" s="98"/>
      <c r="U270" s="98"/>
      <c r="V270" s="98"/>
      <c r="W270" s="98"/>
      <c r="X270" s="98"/>
      <c r="Y270" s="98"/>
      <c r="Z270" s="98"/>
      <c r="AA270" s="98"/>
      <c r="AC270" s="100"/>
      <c r="AD270" s="100"/>
      <c r="AE270" s="100"/>
      <c r="AF270" s="100"/>
      <c r="AG270" s="100"/>
      <c r="AH270" s="100"/>
      <c r="AJ270" s="100"/>
      <c r="AK270" s="100"/>
      <c r="AL270" s="100"/>
      <c r="AM270" s="100"/>
      <c r="AO270" s="100"/>
      <c r="AP270" s="100"/>
      <c r="AQ270" s="100"/>
      <c r="AR270" s="100"/>
    </row>
    <row r="271" customFormat="false" ht="15.6" hidden="false" customHeight="false" outlineLevel="0" collapsed="false">
      <c r="A271" s="112"/>
      <c r="B271" s="103" t="s">
        <v>101</v>
      </c>
      <c r="C271" s="115" t="n">
        <v>1</v>
      </c>
      <c r="D271" s="103" t="s">
        <v>101</v>
      </c>
      <c r="E271" s="115" t="n">
        <v>1</v>
      </c>
      <c r="F271" s="103"/>
      <c r="G271" s="114"/>
      <c r="H271" s="120"/>
      <c r="I271" s="114"/>
      <c r="J271" s="114"/>
      <c r="K271" s="114"/>
      <c r="L271" s="114"/>
      <c r="M271" s="114"/>
      <c r="O271" s="98"/>
      <c r="P271" s="98"/>
      <c r="Q271" s="98"/>
      <c r="R271" s="98"/>
      <c r="S271" s="99"/>
      <c r="T271" s="98"/>
      <c r="U271" s="98"/>
      <c r="V271" s="98"/>
      <c r="W271" s="98"/>
      <c r="X271" s="98"/>
      <c r="Y271" s="98"/>
      <c r="Z271" s="98"/>
      <c r="AA271" s="98"/>
      <c r="AC271" s="100"/>
      <c r="AD271" s="100"/>
      <c r="AE271" s="100"/>
      <c r="AF271" s="100"/>
      <c r="AG271" s="100"/>
      <c r="AH271" s="100"/>
      <c r="AJ271" s="100"/>
      <c r="AK271" s="100"/>
      <c r="AL271" s="100"/>
      <c r="AM271" s="100"/>
      <c r="AO271" s="100"/>
      <c r="AP271" s="100"/>
      <c r="AQ271" s="100"/>
      <c r="AR271" s="100"/>
    </row>
    <row r="272" customFormat="false" ht="15.6" hidden="false" customHeight="false" outlineLevel="0" collapsed="false">
      <c r="A272" s="112"/>
      <c r="B272" s="81" t="s">
        <v>151</v>
      </c>
      <c r="C272" s="82" t="n">
        <v>0</v>
      </c>
      <c r="D272" s="81" t="s">
        <v>151</v>
      </c>
      <c r="E272" s="59" t="n">
        <f aca="false">C263+C272+C261*C219-C260*C220</f>
        <v>0</v>
      </c>
      <c r="F272" s="103"/>
      <c r="G272" s="114"/>
      <c r="H272" s="120"/>
      <c r="I272" s="114"/>
      <c r="J272" s="114"/>
      <c r="K272" s="114"/>
      <c r="L272" s="114"/>
      <c r="M272" s="114"/>
      <c r="O272" s="98"/>
      <c r="P272" s="98"/>
      <c r="Q272" s="98"/>
      <c r="R272" s="98"/>
      <c r="S272" s="99"/>
      <c r="T272" s="98"/>
      <c r="U272" s="98"/>
      <c r="V272" s="98"/>
      <c r="W272" s="98"/>
      <c r="X272" s="98"/>
      <c r="Y272" s="98"/>
      <c r="Z272" s="98"/>
      <c r="AA272" s="98"/>
      <c r="AC272" s="100"/>
      <c r="AD272" s="100"/>
      <c r="AE272" s="100"/>
      <c r="AF272" s="100"/>
      <c r="AG272" s="100"/>
      <c r="AH272" s="100"/>
      <c r="AJ272" s="100"/>
      <c r="AK272" s="100"/>
      <c r="AL272" s="100"/>
      <c r="AM272" s="100"/>
      <c r="AO272" s="100"/>
      <c r="AP272" s="100"/>
      <c r="AQ272" s="100"/>
      <c r="AR272" s="100"/>
    </row>
    <row r="273" customFormat="false" ht="15.6" hidden="false" customHeight="false" outlineLevel="0" collapsed="false">
      <c r="A273" s="112"/>
      <c r="B273" s="81" t="s">
        <v>157</v>
      </c>
      <c r="C273" s="82" t="n">
        <v>0</v>
      </c>
      <c r="D273" s="81" t="s">
        <v>157</v>
      </c>
      <c r="E273" s="59" t="n">
        <f aca="false">C264+C273+C259*C220-C261*C218</f>
        <v>0</v>
      </c>
      <c r="F273" s="103"/>
      <c r="G273" s="114"/>
      <c r="H273" s="120"/>
      <c r="I273" s="114"/>
      <c r="J273" s="114"/>
      <c r="K273" s="114"/>
      <c r="L273" s="114"/>
      <c r="M273" s="114"/>
      <c r="O273" s="98"/>
      <c r="P273" s="98"/>
      <c r="Q273" s="98"/>
      <c r="R273" s="98"/>
      <c r="S273" s="99"/>
      <c r="T273" s="98"/>
      <c r="U273" s="98"/>
      <c r="V273" s="98"/>
      <c r="W273" s="98"/>
      <c r="X273" s="98"/>
      <c r="Y273" s="98"/>
      <c r="Z273" s="98"/>
      <c r="AA273" s="98"/>
      <c r="AC273" s="100"/>
      <c r="AD273" s="100"/>
      <c r="AE273" s="100"/>
      <c r="AF273" s="100"/>
      <c r="AG273" s="100"/>
      <c r="AH273" s="100"/>
      <c r="AJ273" s="100"/>
      <c r="AK273" s="100"/>
      <c r="AL273" s="100"/>
      <c r="AM273" s="100"/>
      <c r="AO273" s="100"/>
      <c r="AP273" s="100"/>
      <c r="AQ273" s="100"/>
      <c r="AR273" s="100"/>
    </row>
    <row r="274" customFormat="false" ht="15.6" hidden="false" customHeight="false" outlineLevel="0" collapsed="false">
      <c r="A274" s="112"/>
      <c r="B274" s="81" t="s">
        <v>159</v>
      </c>
      <c r="C274" s="82" t="n">
        <v>0</v>
      </c>
      <c r="D274" s="81" t="s">
        <v>159</v>
      </c>
      <c r="E274" s="59" t="n">
        <f aca="false">C265+C274+C260*C218-C259*C219</f>
        <v>0</v>
      </c>
      <c r="F274" s="103"/>
      <c r="G274" s="114"/>
      <c r="H274" s="120"/>
      <c r="I274" s="114"/>
      <c r="J274" s="114"/>
      <c r="K274" s="114"/>
      <c r="L274" s="114"/>
      <c r="M274" s="114"/>
      <c r="O274" s="98"/>
      <c r="P274" s="98"/>
      <c r="Q274" s="98"/>
      <c r="R274" s="98"/>
      <c r="S274" s="99"/>
      <c r="T274" s="98"/>
      <c r="U274" s="98"/>
      <c r="V274" s="98"/>
      <c r="W274" s="98"/>
      <c r="X274" s="98"/>
      <c r="Y274" s="98"/>
      <c r="Z274" s="98"/>
      <c r="AA274" s="98"/>
      <c r="AC274" s="100"/>
      <c r="AD274" s="100"/>
      <c r="AE274" s="100"/>
      <c r="AF274" s="100"/>
      <c r="AG274" s="100"/>
      <c r="AH274" s="100"/>
      <c r="AJ274" s="100"/>
      <c r="AK274" s="100"/>
      <c r="AL274" s="100"/>
      <c r="AM274" s="100"/>
      <c r="AO274" s="100"/>
      <c r="AP274" s="100"/>
      <c r="AQ274" s="100"/>
      <c r="AR274" s="100"/>
    </row>
    <row r="275" s="36" customFormat="true" ht="16.2" hidden="false" customHeight="false" outlineLevel="0" collapsed="false">
      <c r="A275" s="112"/>
      <c r="B275" s="105" t="s">
        <v>101</v>
      </c>
      <c r="C275" s="106" t="n">
        <v>1</v>
      </c>
      <c r="D275" s="105" t="s">
        <v>101</v>
      </c>
      <c r="E275" s="106" t="n">
        <v>1</v>
      </c>
      <c r="F275" s="105"/>
      <c r="G275" s="116"/>
      <c r="H275" s="121"/>
      <c r="I275" s="116"/>
      <c r="J275" s="116"/>
      <c r="K275" s="116"/>
      <c r="L275" s="116"/>
      <c r="M275" s="116"/>
      <c r="O275" s="117"/>
      <c r="P275" s="117"/>
      <c r="Q275" s="117"/>
      <c r="R275" s="117"/>
      <c r="S275" s="109"/>
      <c r="T275" s="117"/>
      <c r="U275" s="117"/>
      <c r="V275" s="117"/>
      <c r="W275" s="117"/>
      <c r="X275" s="117"/>
      <c r="Y275" s="117"/>
      <c r="Z275" s="117"/>
      <c r="AA275" s="117"/>
      <c r="AC275" s="118"/>
      <c r="AD275" s="118"/>
      <c r="AE275" s="118"/>
      <c r="AF275" s="118"/>
      <c r="AG275" s="118"/>
      <c r="AH275" s="118"/>
      <c r="AJ275" s="118"/>
      <c r="AK275" s="118"/>
      <c r="AL275" s="118"/>
      <c r="AM275" s="118"/>
      <c r="AO275" s="118"/>
      <c r="AP275" s="118"/>
      <c r="AQ275" s="118"/>
      <c r="AR275" s="118"/>
    </row>
    <row r="276" customFormat="false" ht="15" hidden="false" customHeight="true" outlineLevel="0" collapsed="false">
      <c r="A276" s="50" t="s">
        <v>188</v>
      </c>
      <c r="B276" s="51" t="s">
        <v>165</v>
      </c>
      <c r="E276" s="9" t="s">
        <v>189</v>
      </c>
    </row>
    <row r="277" customFormat="false" ht="15" hidden="false" customHeight="true" outlineLevel="0" collapsed="false">
      <c r="A277" s="50"/>
      <c r="B277" s="52" t="s">
        <v>88</v>
      </c>
      <c r="C277" s="111" t="n">
        <f aca="false">C255</f>
        <v>10</v>
      </c>
      <c r="E277" s="1" t="s">
        <v>89</v>
      </c>
      <c r="F277" s="1"/>
      <c r="G277" s="1" t="s">
        <v>90</v>
      </c>
      <c r="H277" s="1"/>
      <c r="N277" s="11" t="s">
        <v>91</v>
      </c>
      <c r="O277" s="9"/>
      <c r="P277" s="54"/>
      <c r="Q277" s="9"/>
      <c r="R277" s="9"/>
      <c r="S277" s="11" t="s">
        <v>38</v>
      </c>
      <c r="Y277" s="11" t="s">
        <v>92</v>
      </c>
    </row>
    <row r="278" customFormat="false" ht="15" hidden="false" customHeight="true" outlineLevel="0" collapsed="false">
      <c r="A278" s="50"/>
      <c r="B278" s="52" t="s">
        <v>93</v>
      </c>
      <c r="C278" s="111" t="n">
        <f aca="false">C256</f>
        <v>0</v>
      </c>
      <c r="E278" s="55" t="s">
        <v>33</v>
      </c>
      <c r="F278" s="34" t="n">
        <f aca="false">CS_9!B45</f>
        <v>0.005</v>
      </c>
      <c r="G278" s="55" t="s">
        <v>33</v>
      </c>
      <c r="H278" s="34" t="n">
        <f aca="false">CS_9!B52</f>
        <v>0</v>
      </c>
      <c r="O278" s="0" t="s">
        <v>42</v>
      </c>
      <c r="P278" s="31" t="s">
        <v>43</v>
      </c>
      <c r="Q278" s="17" t="s">
        <v>44</v>
      </c>
      <c r="R278" s="17" t="s">
        <v>45</v>
      </c>
      <c r="T278" s="0" t="s">
        <v>42</v>
      </c>
      <c r="U278" s="31" t="s">
        <v>43</v>
      </c>
      <c r="V278" s="17" t="s">
        <v>44</v>
      </c>
      <c r="W278" s="17" t="s">
        <v>45</v>
      </c>
      <c r="Y278" s="0" t="s">
        <v>42</v>
      </c>
      <c r="Z278" s="31" t="s">
        <v>43</v>
      </c>
      <c r="AA278" s="17" t="s">
        <v>44</v>
      </c>
      <c r="AB278" s="17" t="s">
        <v>45</v>
      </c>
    </row>
    <row r="279" customFormat="false" ht="15" hidden="false" customHeight="true" outlineLevel="0" collapsed="false">
      <c r="A279" s="50"/>
      <c r="B279" s="52" t="s">
        <v>94</v>
      </c>
      <c r="C279" s="111" t="n">
        <f aca="false">C257</f>
        <v>0</v>
      </c>
      <c r="E279" s="55" t="s">
        <v>34</v>
      </c>
      <c r="F279" s="34" t="n">
        <f aca="false">CS_9!B46</f>
        <v>0.005</v>
      </c>
      <c r="G279" s="55" t="s">
        <v>34</v>
      </c>
      <c r="H279" s="34" t="n">
        <f aca="false">CS_9!B53</f>
        <v>0</v>
      </c>
      <c r="N279" s="55" t="s">
        <v>33</v>
      </c>
      <c r="O279" s="56" t="n">
        <f aca="false">ABS(F278)</f>
        <v>0.005</v>
      </c>
      <c r="P279" s="56" t="n">
        <f aca="false">ABS(F281*O293)</f>
        <v>0</v>
      </c>
      <c r="Q279" s="56" t="n">
        <f aca="false">ABS(F282*P293)</f>
        <v>4.99999953236686E-007</v>
      </c>
      <c r="R279" s="56" t="n">
        <f aca="false">ABS(F283*Q293)</f>
        <v>4.99999958236686E-007</v>
      </c>
      <c r="S279" s="55" t="s">
        <v>33</v>
      </c>
      <c r="T279" s="35" t="n">
        <f aca="false" t="array" ref="T279:W282">ABS(MMULT(T297:W300,O279:R282))</f>
        <v>0.005</v>
      </c>
      <c r="U279" s="35" t="n">
        <v>0</v>
      </c>
      <c r="V279" s="35" t="n">
        <v>4.99999953236686E-007</v>
      </c>
      <c r="W279" s="35" t="n">
        <v>4.99999958236686E-007</v>
      </c>
      <c r="X279" s="32" t="s">
        <v>33</v>
      </c>
      <c r="Y279" s="35" t="n">
        <f aca="false">F285+F292</f>
        <v>0</v>
      </c>
      <c r="Z279" s="57" t="n">
        <f aca="false">F288*O293</f>
        <v>0</v>
      </c>
      <c r="AA279" s="57" t="n">
        <f aca="false">F289*P293</f>
        <v>-1.48377112799758E-009</v>
      </c>
      <c r="AB279" s="57" t="n">
        <f aca="false">F290*Q293</f>
        <v>-0</v>
      </c>
    </row>
    <row r="280" customFormat="false" ht="15" hidden="false" customHeight="true" outlineLevel="0" collapsed="false">
      <c r="A280" s="58" t="n">
        <v>9</v>
      </c>
      <c r="B280" s="9" t="s">
        <v>95</v>
      </c>
      <c r="E280" s="55" t="s">
        <v>35</v>
      </c>
      <c r="F280" s="34" t="n">
        <f aca="false">CS_9!B47</f>
        <v>0.005</v>
      </c>
      <c r="G280" s="55" t="s">
        <v>35</v>
      </c>
      <c r="H280" s="34" t="n">
        <f aca="false">CS_9!B54</f>
        <v>0</v>
      </c>
      <c r="N280" s="55" t="s">
        <v>34</v>
      </c>
      <c r="O280" s="56" t="n">
        <f aca="false">ABS(F279)</f>
        <v>0.005</v>
      </c>
      <c r="P280" s="56" t="n">
        <f aca="false">ABS(F281*O294)</f>
        <v>0</v>
      </c>
      <c r="Q280" s="56" t="n">
        <f aca="false">ABS(F282*P294)</f>
        <v>0</v>
      </c>
      <c r="R280" s="56" t="n">
        <f aca="false">ABS(F283*Q294)</f>
        <v>0.000999999833333342</v>
      </c>
      <c r="S280" s="55" t="s">
        <v>34</v>
      </c>
      <c r="T280" s="35" t="n">
        <v>0.005</v>
      </c>
      <c r="U280" s="35" t="n">
        <v>0</v>
      </c>
      <c r="V280" s="35" t="n">
        <v>0</v>
      </c>
      <c r="W280" s="35" t="n">
        <v>0.000999999833333342</v>
      </c>
      <c r="X280" s="32" t="s">
        <v>34</v>
      </c>
      <c r="Y280" s="35" t="n">
        <f aca="false">F286+F293</f>
        <v>0</v>
      </c>
      <c r="Z280" s="57" t="n">
        <f aca="false">F288*O294</f>
        <v>0</v>
      </c>
      <c r="AA280" s="57" t="n">
        <f aca="false">F289*P294</f>
        <v>0</v>
      </c>
      <c r="AB280" s="57" t="n">
        <f aca="false">F290*Q294</f>
        <v>0</v>
      </c>
    </row>
    <row r="281" customFormat="false" ht="15" hidden="false" customHeight="true" outlineLevel="0" collapsed="false">
      <c r="A281" s="59" t="n">
        <f aca="false">IF(A280&gt;Naxes,0,1)</f>
        <v>0</v>
      </c>
      <c r="B281" s="60" t="s">
        <v>96</v>
      </c>
      <c r="C281" s="47" t="n">
        <v>0</v>
      </c>
      <c r="E281" s="55" t="s">
        <v>97</v>
      </c>
      <c r="F281" s="34" t="n">
        <f aca="false">CS_9!B48</f>
        <v>0.0001</v>
      </c>
      <c r="G281" s="55" t="s">
        <v>97</v>
      </c>
      <c r="H281" s="34" t="n">
        <f aca="false">CS_9!B55</f>
        <v>0</v>
      </c>
      <c r="N281" s="55" t="s">
        <v>35</v>
      </c>
      <c r="O281" s="56" t="n">
        <f aca="false">ABS(F280)</f>
        <v>0.005</v>
      </c>
      <c r="P281" s="56" t="n">
        <f aca="false">ABS(F281*O295)</f>
        <v>0</v>
      </c>
      <c r="Q281" s="56" t="n">
        <f aca="false">ABS(F282*P295)</f>
        <v>0.000999999823333345</v>
      </c>
      <c r="R281" s="56" t="n">
        <f aca="false">ABS(F283*Q295)</f>
        <v>0</v>
      </c>
      <c r="S281" s="55" t="s">
        <v>35</v>
      </c>
      <c r="T281" s="35" t="n">
        <v>0.005</v>
      </c>
      <c r="U281" s="35" t="n">
        <v>0</v>
      </c>
      <c r="V281" s="35" t="n">
        <v>0.000999999823333345</v>
      </c>
      <c r="W281" s="35" t="n">
        <v>0</v>
      </c>
      <c r="X281" s="32" t="s">
        <v>35</v>
      </c>
      <c r="Y281" s="35" t="n">
        <f aca="false">F287+F294</f>
        <v>-7.57341576506955E-005</v>
      </c>
      <c r="Z281" s="57" t="n">
        <f aca="false">F288*O295</f>
        <v>0</v>
      </c>
      <c r="AA281" s="57" t="n">
        <f aca="false">F289*P295</f>
        <v>-2.9675420092736E-006</v>
      </c>
      <c r="AB281" s="57" t="n">
        <f aca="false">F290*Q295</f>
        <v>0</v>
      </c>
    </row>
    <row r="282" customFormat="false" ht="15" hidden="false" customHeight="true" outlineLevel="0" collapsed="false">
      <c r="A282" s="61" t="s">
        <v>98</v>
      </c>
      <c r="B282" s="60" t="s">
        <v>99</v>
      </c>
      <c r="C282" s="47" t="n">
        <v>0</v>
      </c>
      <c r="E282" s="55" t="s">
        <v>100</v>
      </c>
      <c r="F282" s="34" t="n">
        <f aca="false">CS_9!B49</f>
        <v>9.99999990000001E-005</v>
      </c>
      <c r="G282" s="55" t="s">
        <v>100</v>
      </c>
      <c r="H282" s="34" t="n">
        <f aca="false">CS_9!B56</f>
        <v>0</v>
      </c>
      <c r="N282" s="41" t="s">
        <v>101</v>
      </c>
      <c r="O282" s="57" t="n">
        <v>1</v>
      </c>
      <c r="P282" s="57" t="n">
        <v>1</v>
      </c>
      <c r="Q282" s="57" t="n">
        <v>1</v>
      </c>
      <c r="R282" s="57" t="n">
        <v>1</v>
      </c>
      <c r="S282" s="41" t="s">
        <v>101</v>
      </c>
      <c r="T282" s="35" t="n">
        <v>1</v>
      </c>
      <c r="U282" s="35" t="n">
        <v>1</v>
      </c>
      <c r="V282" s="35" t="n">
        <v>1</v>
      </c>
      <c r="W282" s="35" t="n">
        <v>1</v>
      </c>
      <c r="X282" s="41" t="s">
        <v>101</v>
      </c>
      <c r="Y282" s="57" t="n">
        <v>1</v>
      </c>
      <c r="Z282" s="57" t="n">
        <v>1</v>
      </c>
      <c r="AA282" s="57" t="n">
        <v>1</v>
      </c>
      <c r="AB282" s="57" t="n">
        <v>1</v>
      </c>
    </row>
    <row r="283" customFormat="false" ht="15" hidden="false" customHeight="true" outlineLevel="0" collapsed="false">
      <c r="A283" s="61"/>
      <c r="B283" s="60" t="s">
        <v>102</v>
      </c>
      <c r="C283" s="47" t="n">
        <v>0</v>
      </c>
      <c r="E283" s="55" t="s">
        <v>104</v>
      </c>
      <c r="F283" s="34" t="n">
        <f aca="false">CS_9!B50</f>
        <v>0.0001</v>
      </c>
      <c r="G283" s="55" t="s">
        <v>104</v>
      </c>
      <c r="H283" s="34" t="n">
        <f aca="false">CS_9!B57</f>
        <v>0</v>
      </c>
      <c r="X283" s="41"/>
    </row>
    <row r="284" customFormat="false" ht="33" hidden="false" customHeight="true" outlineLevel="0" collapsed="false">
      <c r="A284" s="61"/>
      <c r="B284" s="60" t="s">
        <v>105</v>
      </c>
      <c r="C284" s="47" t="n">
        <v>10</v>
      </c>
      <c r="E284" s="18" t="s">
        <v>106</v>
      </c>
      <c r="F284" s="18"/>
      <c r="G284" s="1" t="s">
        <v>107</v>
      </c>
      <c r="H284" s="1"/>
      <c r="I284" s="18" t="s">
        <v>108</v>
      </c>
      <c r="J284" s="18"/>
      <c r="K284" s="18" t="s">
        <v>109</v>
      </c>
      <c r="L284" s="18"/>
      <c r="N284" s="11" t="s">
        <v>110</v>
      </c>
      <c r="O284" s="9"/>
      <c r="P284" s="54"/>
      <c r="Q284" s="9"/>
      <c r="R284" s="9"/>
      <c r="S284" s="11" t="s">
        <v>39</v>
      </c>
      <c r="X284" s="41"/>
      <c r="Y284" s="11" t="s">
        <v>111</v>
      </c>
    </row>
    <row r="285" customFormat="false" ht="15" hidden="false" customHeight="true" outlineLevel="0" collapsed="false">
      <c r="A285" s="61"/>
      <c r="B285" s="60" t="s">
        <v>112</v>
      </c>
      <c r="C285" s="65" t="n">
        <v>0</v>
      </c>
      <c r="E285" s="55" t="s">
        <v>33</v>
      </c>
      <c r="F285" s="35" t="n">
        <f aca="false">E301/IF(H285=0,1000000000000,H285)</f>
        <v>0</v>
      </c>
      <c r="G285" s="55" t="s">
        <v>113</v>
      </c>
      <c r="H285" s="57" t="n">
        <f aca="false">CS_9!B25</f>
        <v>6785.84013175395</v>
      </c>
      <c r="I285" s="55" t="s">
        <v>97</v>
      </c>
      <c r="J285" s="35" t="n">
        <f aca="false">A314*F328</f>
        <v>0</v>
      </c>
      <c r="K285" s="55" t="s">
        <v>97</v>
      </c>
      <c r="L285" s="68" t="n">
        <f aca="false" t="array" ref="L285:L288">MMULT(MINVERSE(O297:R300),J285:J288)</f>
        <v>0</v>
      </c>
      <c r="O285" s="0" t="s">
        <v>42</v>
      </c>
      <c r="P285" s="31" t="s">
        <v>43</v>
      </c>
      <c r="Q285" s="17" t="s">
        <v>44</v>
      </c>
      <c r="R285" s="17" t="s">
        <v>45</v>
      </c>
      <c r="T285" s="0" t="s">
        <v>42</v>
      </c>
      <c r="U285" s="31" t="s">
        <v>43</v>
      </c>
      <c r="V285" s="17" t="s">
        <v>44</v>
      </c>
      <c r="W285" s="17" t="s">
        <v>45</v>
      </c>
      <c r="X285" s="41"/>
      <c r="Y285" s="0" t="s">
        <v>42</v>
      </c>
      <c r="Z285" s="31" t="s">
        <v>43</v>
      </c>
      <c r="AA285" s="17" t="s">
        <v>44</v>
      </c>
      <c r="AB285" s="17" t="s">
        <v>45</v>
      </c>
    </row>
    <row r="286" customFormat="false" ht="15" hidden="false" customHeight="true" outlineLevel="0" collapsed="false">
      <c r="A286" s="123" t="s">
        <v>190</v>
      </c>
      <c r="B286" s="60" t="s">
        <v>115</v>
      </c>
      <c r="C286" s="47" t="n">
        <v>0</v>
      </c>
      <c r="E286" s="55" t="s">
        <v>34</v>
      </c>
      <c r="F286" s="35" t="n">
        <f aca="false">E302/IF(H286=0,1000000000000,H286)</f>
        <v>0</v>
      </c>
      <c r="G286" s="55" t="s">
        <v>116</v>
      </c>
      <c r="H286" s="57" t="n">
        <f aca="false">CS_9!B26</f>
        <v>2588000</v>
      </c>
      <c r="I286" s="55" t="s">
        <v>100</v>
      </c>
      <c r="J286" s="35" t="n">
        <f aca="false">A314*F329</f>
        <v>0</v>
      </c>
      <c r="K286" s="55" t="s">
        <v>100</v>
      </c>
      <c r="L286" s="68" t="n">
        <v>0</v>
      </c>
      <c r="N286" s="55" t="s">
        <v>33</v>
      </c>
      <c r="O286" s="56" t="n">
        <f aca="false">H278</f>
        <v>0</v>
      </c>
      <c r="P286" s="56" t="n">
        <f aca="false">H281*O293</f>
        <v>0</v>
      </c>
      <c r="Q286" s="56" t="n">
        <f aca="false">H282*P293</f>
        <v>-0</v>
      </c>
      <c r="R286" s="56" t="n">
        <f aca="false">H283*Q293</f>
        <v>-0</v>
      </c>
      <c r="S286" s="55" t="s">
        <v>33</v>
      </c>
      <c r="T286" s="56" t="n">
        <f aca="false" t="array" ref="T286:T289">MMULT(T297:W300,O286:O289)</f>
        <v>0</v>
      </c>
      <c r="U286" s="56" t="n">
        <f aca="false" t="array" ref="U286:U289">MMULT(T297:W300,P286:P289)</f>
        <v>0</v>
      </c>
      <c r="V286" s="56" t="n">
        <f aca="false" t="array" ref="V286:V289">MMULT(T297:W300,Q286:Q289)</f>
        <v>0</v>
      </c>
      <c r="W286" s="56" t="n">
        <f aca="false" t="array" ref="W286:W289">MMULT(T297:W300,R286:R289)</f>
        <v>0</v>
      </c>
      <c r="X286" s="32" t="s">
        <v>33</v>
      </c>
      <c r="Y286" s="57" t="n">
        <f aca="false" t="array" ref="Y286:Y289">MMULT(T297:W300,Y279:Y282)</f>
        <v>0</v>
      </c>
      <c r="Z286" s="57" t="n">
        <f aca="false" t="array" ref="Z286:Z289">MMULT(T297:W300,Z279:Z282)</f>
        <v>0</v>
      </c>
      <c r="AA286" s="57" t="n">
        <f aca="false" t="array" ref="AA286:AA289">MMULT(T297:W300,AA279:AA282)</f>
        <v>-1.48377112799758E-009</v>
      </c>
      <c r="AB286" s="57" t="n">
        <f aca="false" t="array" ref="AB286:AB289">MMULT(T297:W300,AB279:AB282)</f>
        <v>0</v>
      </c>
    </row>
    <row r="287" customFormat="false" ht="15" hidden="false" customHeight="true" outlineLevel="0" collapsed="false">
      <c r="A287" s="123"/>
      <c r="B287" s="11" t="s">
        <v>117</v>
      </c>
      <c r="E287" s="55" t="s">
        <v>35</v>
      </c>
      <c r="F287" s="35" t="n">
        <f aca="false">E303/IF(H287=0,1000000000000,H287)</f>
        <v>-7.57341576506955E-005</v>
      </c>
      <c r="G287" s="55" t="s">
        <v>118</v>
      </c>
      <c r="H287" s="57" t="n">
        <f aca="false">CS_9!B27</f>
        <v>2588000</v>
      </c>
      <c r="I287" s="55" t="s">
        <v>104</v>
      </c>
      <c r="J287" s="35" t="n">
        <f aca="false">A314*F330</f>
        <v>0</v>
      </c>
      <c r="K287" s="55" t="s">
        <v>104</v>
      </c>
      <c r="L287" s="68" t="n">
        <v>0</v>
      </c>
      <c r="N287" s="55" t="s">
        <v>34</v>
      </c>
      <c r="O287" s="56" t="n">
        <f aca="false">H279</f>
        <v>0</v>
      </c>
      <c r="P287" s="56" t="n">
        <f aca="false">H281*O294</f>
        <v>0</v>
      </c>
      <c r="Q287" s="56" t="n">
        <f aca="false">H282*P294</f>
        <v>0</v>
      </c>
      <c r="R287" s="56" t="n">
        <f aca="false">H283*Q294</f>
        <v>0</v>
      </c>
      <c r="S287" s="55" t="s">
        <v>34</v>
      </c>
      <c r="T287" s="56" t="n">
        <v>0</v>
      </c>
      <c r="U287" s="56" t="n">
        <v>0</v>
      </c>
      <c r="V287" s="56" t="n">
        <v>0</v>
      </c>
      <c r="W287" s="56" t="n">
        <v>0</v>
      </c>
      <c r="X287" s="32" t="s">
        <v>34</v>
      </c>
      <c r="Y287" s="57" t="n">
        <v>0</v>
      </c>
      <c r="Z287" s="57" t="n">
        <v>0</v>
      </c>
      <c r="AA287" s="57" t="n">
        <v>0</v>
      </c>
      <c r="AB287" s="57" t="n">
        <v>0</v>
      </c>
    </row>
    <row r="288" customFormat="false" ht="15" hidden="false" customHeight="true" outlineLevel="0" collapsed="false">
      <c r="A288" s="123"/>
      <c r="B288" s="52" t="s">
        <v>119</v>
      </c>
      <c r="C288" s="71" t="n">
        <f aca="false">AC297+C284</f>
        <v>20</v>
      </c>
      <c r="E288" s="55" t="s">
        <v>97</v>
      </c>
      <c r="F288" s="35" t="n">
        <f aca="false">E305/IF(H288=0,1000000000000,H288)+L285</f>
        <v>0</v>
      </c>
      <c r="G288" s="55" t="s">
        <v>120</v>
      </c>
      <c r="H288" s="57" t="n">
        <f aca="false">CS_9!B29</f>
        <v>6874375000</v>
      </c>
      <c r="I288" s="55" t="s">
        <v>121</v>
      </c>
      <c r="J288" s="57" t="n">
        <v>1</v>
      </c>
      <c r="K288" s="55" t="s">
        <v>121</v>
      </c>
      <c r="L288" s="68" t="n">
        <v>1</v>
      </c>
      <c r="N288" s="55" t="s">
        <v>35</v>
      </c>
      <c r="O288" s="56" t="n">
        <f aca="false">H280</f>
        <v>0</v>
      </c>
      <c r="P288" s="56" t="n">
        <f aca="false">H281*O295</f>
        <v>0</v>
      </c>
      <c r="Q288" s="56" t="n">
        <f aca="false">H282*P295</f>
        <v>-0</v>
      </c>
      <c r="R288" s="56" t="n">
        <f aca="false">H283*Q295</f>
        <v>0</v>
      </c>
      <c r="S288" s="55" t="s">
        <v>35</v>
      </c>
      <c r="T288" s="56" t="n">
        <v>0</v>
      </c>
      <c r="U288" s="56" t="n">
        <v>0</v>
      </c>
      <c r="V288" s="56" t="n">
        <v>0</v>
      </c>
      <c r="W288" s="56" t="n">
        <v>0</v>
      </c>
      <c r="X288" s="32" t="s">
        <v>35</v>
      </c>
      <c r="Y288" s="57" t="n">
        <v>-7.57341576506955E-005</v>
      </c>
      <c r="Z288" s="57" t="n">
        <v>0</v>
      </c>
      <c r="AA288" s="57" t="n">
        <v>-2.9675420092736E-006</v>
      </c>
      <c r="AB288" s="57" t="n">
        <v>0</v>
      </c>
    </row>
    <row r="289" customFormat="false" ht="15" hidden="false" customHeight="true" outlineLevel="0" collapsed="false">
      <c r="A289" s="123"/>
      <c r="B289" s="52" t="s">
        <v>122</v>
      </c>
      <c r="C289" s="71" t="n">
        <f aca="false">AC298+C285</f>
        <v>0</v>
      </c>
      <c r="E289" s="55" t="s">
        <v>100</v>
      </c>
      <c r="F289" s="35" t="n">
        <f aca="false">E306/IF(H289=0,1000000000000,H289)+L286</f>
        <v>2.96754250386399E-007</v>
      </c>
      <c r="G289" s="55" t="s">
        <v>123</v>
      </c>
      <c r="H289" s="57" t="n">
        <f aca="false">CS_9!B30</f>
        <v>6604791666.66667</v>
      </c>
      <c r="N289" s="41" t="s">
        <v>101</v>
      </c>
      <c r="O289" s="57" t="n">
        <v>1</v>
      </c>
      <c r="P289" s="57" t="n">
        <v>1</v>
      </c>
      <c r="Q289" s="57" t="n">
        <v>1</v>
      </c>
      <c r="R289" s="57" t="n">
        <v>1</v>
      </c>
      <c r="S289" s="41" t="s">
        <v>101</v>
      </c>
      <c r="T289" s="57" t="n">
        <v>1</v>
      </c>
      <c r="U289" s="57" t="n">
        <v>1</v>
      </c>
      <c r="V289" s="57" t="n">
        <v>1</v>
      </c>
      <c r="W289" s="57" t="n">
        <v>1</v>
      </c>
      <c r="X289" s="41" t="s">
        <v>101</v>
      </c>
      <c r="Y289" s="57" t="n">
        <v>1</v>
      </c>
      <c r="Z289" s="57" t="n">
        <v>1</v>
      </c>
      <c r="AA289" s="57" t="n">
        <v>1</v>
      </c>
      <c r="AB289" s="57" t="n">
        <v>1</v>
      </c>
    </row>
    <row r="290" customFormat="false" ht="15" hidden="false" customHeight="true" outlineLevel="0" collapsed="false">
      <c r="A290" s="123"/>
      <c r="B290" s="52" t="s">
        <v>124</v>
      </c>
      <c r="C290" s="71" t="n">
        <f aca="false">AC299+C286</f>
        <v>0</v>
      </c>
      <c r="E290" s="55" t="s">
        <v>104</v>
      </c>
      <c r="F290" s="35" t="n">
        <f aca="false">E307/IF(H290=0,1000000000000,H290)+L287</f>
        <v>0</v>
      </c>
      <c r="G290" s="55" t="s">
        <v>125</v>
      </c>
      <c r="H290" s="57" t="n">
        <f aca="false">CS_9!B31</f>
        <v>6604791666.66667</v>
      </c>
      <c r="AB290" s="73"/>
      <c r="AU290" s="73" t="s">
        <v>126</v>
      </c>
      <c r="AZ290" s="73" t="s">
        <v>127</v>
      </c>
      <c r="BE290" s="73" t="s">
        <v>128</v>
      </c>
      <c r="BJ290" s="73" t="s">
        <v>128</v>
      </c>
    </row>
    <row r="291" customFormat="false" ht="31.2" hidden="false" customHeight="false" outlineLevel="0" collapsed="false">
      <c r="A291" s="123"/>
      <c r="B291" s="74" t="s">
        <v>168</v>
      </c>
      <c r="E291" s="1" t="s">
        <v>130</v>
      </c>
      <c r="F291" s="1"/>
      <c r="G291" s="75" t="s">
        <v>131</v>
      </c>
      <c r="H291" s="75"/>
      <c r="I291" s="75"/>
      <c r="J291" s="75"/>
      <c r="K291" s="75"/>
      <c r="L291" s="75"/>
      <c r="M291" s="3" t="s">
        <v>132</v>
      </c>
      <c r="N291" s="76" t="s">
        <v>133</v>
      </c>
      <c r="AE291" s="44" t="s">
        <v>134</v>
      </c>
      <c r="AF291" s="79" t="n">
        <v>0.001</v>
      </c>
      <c r="AG291" s="44"/>
      <c r="AH291" s="44"/>
      <c r="AI291" s="44"/>
      <c r="AJ291" s="44" t="s">
        <v>135</v>
      </c>
      <c r="AK291" s="80" t="n">
        <v>0.001</v>
      </c>
      <c r="AL291" s="31"/>
      <c r="AM291" s="31"/>
      <c r="AN291" s="44"/>
      <c r="AO291" s="44" t="s">
        <v>136</v>
      </c>
      <c r="AP291" s="79" t="n">
        <v>0.001</v>
      </c>
      <c r="AU291" s="31" t="s">
        <v>18</v>
      </c>
      <c r="AV291" s="31" t="s">
        <v>137</v>
      </c>
      <c r="AW291" s="31" t="s">
        <v>138</v>
      </c>
      <c r="AZ291" s="31" t="s">
        <v>18</v>
      </c>
      <c r="BA291" s="31" t="s">
        <v>137</v>
      </c>
      <c r="BB291" s="31" t="s">
        <v>138</v>
      </c>
      <c r="BE291" s="31" t="s">
        <v>18</v>
      </c>
      <c r="BF291" s="31" t="s">
        <v>137</v>
      </c>
      <c r="BG291" s="31" t="s">
        <v>138</v>
      </c>
    </row>
    <row r="292" customFormat="false" ht="15" hidden="false" customHeight="true" outlineLevel="0" collapsed="false">
      <c r="A292" s="123"/>
      <c r="B292" s="81" t="s">
        <v>139</v>
      </c>
      <c r="C292" s="59" t="n">
        <f aca="false" t="array" ref="C292:C295">MMULT(O264:R267,E268:E271)</f>
        <v>0</v>
      </c>
      <c r="E292" s="55" t="s">
        <v>33</v>
      </c>
      <c r="F292" s="35" t="n">
        <f aca="false" t="array" ref="F292:F297">MMULT(G292:L297,M292:M297)</f>
        <v>0</v>
      </c>
      <c r="G292" s="83" t="n">
        <f aca="false">CS_9!G5</f>
        <v>0</v>
      </c>
      <c r="H292" s="83" t="n">
        <f aca="false">CS_9!H5</f>
        <v>0</v>
      </c>
      <c r="I292" s="83" t="n">
        <f aca="false">CS_9!I5</f>
        <v>0</v>
      </c>
      <c r="J292" s="83" t="n">
        <f aca="false">CS_9!J5</f>
        <v>0</v>
      </c>
      <c r="K292" s="83" t="n">
        <f aca="false">CS_9!K5</f>
        <v>0</v>
      </c>
      <c r="L292" s="83" t="n">
        <f aca="false">CS_9!L5</f>
        <v>0</v>
      </c>
      <c r="M292" s="57" t="n">
        <f aca="false">C292</f>
        <v>0</v>
      </c>
      <c r="O292" s="31" t="s">
        <v>140</v>
      </c>
      <c r="P292" s="17" t="s">
        <v>141</v>
      </c>
      <c r="Q292" s="17" t="s">
        <v>142</v>
      </c>
      <c r="R292" s="17"/>
      <c r="S292" s="17"/>
      <c r="T292" s="17"/>
      <c r="U292" s="17"/>
      <c r="V292" s="17"/>
      <c r="W292" s="17"/>
      <c r="X292" s="17"/>
      <c r="Y292" s="17"/>
      <c r="Z292" s="17"/>
      <c r="AA292" s="17"/>
      <c r="AB292" s="0" t="s">
        <v>143</v>
      </c>
      <c r="AC292" s="57" t="n">
        <f aca="false">C277</f>
        <v>10</v>
      </c>
      <c r="AD292" s="57"/>
      <c r="AE292" s="62" t="n">
        <v>1</v>
      </c>
      <c r="AF292" s="35" t="n">
        <v>0</v>
      </c>
      <c r="AG292" s="35" t="n">
        <v>0</v>
      </c>
      <c r="AH292" s="63" t="n">
        <v>0</v>
      </c>
      <c r="AI292" s="86"/>
      <c r="AJ292" s="35" t="n">
        <f aca="false">COS(AK291)</f>
        <v>0.999999500000042</v>
      </c>
      <c r="AK292" s="35" t="n">
        <v>0</v>
      </c>
      <c r="AL292" s="35" t="n">
        <f aca="false">-AJ294</f>
        <v>0.000999999833333342</v>
      </c>
      <c r="AM292" s="35" t="n">
        <v>0</v>
      </c>
      <c r="AN292" s="86"/>
      <c r="AO292" s="35" t="n">
        <f aca="false">COS(AP291)</f>
        <v>0.999999500000042</v>
      </c>
      <c r="AP292" s="35" t="n">
        <f aca="false">-AO293</f>
        <v>-0.000999999833333342</v>
      </c>
      <c r="AQ292" s="35" t="n">
        <v>0</v>
      </c>
      <c r="AR292" s="35" t="n">
        <v>0</v>
      </c>
      <c r="AS292" s="86"/>
      <c r="AT292" s="57" t="s">
        <v>144</v>
      </c>
      <c r="AU292" s="35" t="n">
        <f aca="false" t="array" ref="AU292:AU295">MMULT(AE292:AH295,$AC292:$AC295)</f>
        <v>10</v>
      </c>
      <c r="AV292" s="35" t="n">
        <f aca="false">AU292-$AC292</f>
        <v>0</v>
      </c>
      <c r="AW292" s="35" t="n">
        <f aca="false">AV292/AF291</f>
        <v>0</v>
      </c>
      <c r="AX292" s="86"/>
      <c r="AY292" s="57" t="s">
        <v>144</v>
      </c>
      <c r="AZ292" s="35" t="n">
        <f aca="false" t="array" ref="AZ292:AZ295">MMULT(AJ292:AM295,$AC292:$AC295)</f>
        <v>9.99999500000042</v>
      </c>
      <c r="BA292" s="35" t="n">
        <f aca="false">AZ292-$AC292</f>
        <v>-4.99999958236685E-006</v>
      </c>
      <c r="BB292" s="35" t="n">
        <f aca="false">BA292/AK291</f>
        <v>-0.00499999958236685</v>
      </c>
      <c r="BC292" s="86"/>
      <c r="BD292" s="57" t="s">
        <v>144</v>
      </c>
      <c r="BE292" s="35" t="n">
        <f aca="false" t="array" ref="BE292:BE295">MMULT(AO292:AR295,$AC292:$AC295)</f>
        <v>9.99999500000042</v>
      </c>
      <c r="BF292" s="35" t="n">
        <f aca="false">BE292-$AC292</f>
        <v>-4.99999958236685E-006</v>
      </c>
      <c r="BG292" s="35" t="n">
        <f aca="false">BF292/AP291</f>
        <v>-0.00499999958236685</v>
      </c>
    </row>
    <row r="293" customFormat="false" ht="15.6" hidden="false" customHeight="false" outlineLevel="0" collapsed="false">
      <c r="A293" s="123"/>
      <c r="B293" s="81" t="s">
        <v>145</v>
      </c>
      <c r="C293" s="59" t="n">
        <v>0</v>
      </c>
      <c r="E293" s="55" t="s">
        <v>34</v>
      </c>
      <c r="F293" s="35" t="n">
        <v>0</v>
      </c>
      <c r="G293" s="83" t="n">
        <f aca="false">CS_9!G6</f>
        <v>0</v>
      </c>
      <c r="H293" s="83" t="n">
        <f aca="false">CS_9!H6</f>
        <v>0</v>
      </c>
      <c r="I293" s="83" t="n">
        <f aca="false">CS_9!I6</f>
        <v>0</v>
      </c>
      <c r="J293" s="83" t="n">
        <f aca="false">CS_9!J6</f>
        <v>0</v>
      </c>
      <c r="K293" s="83" t="n">
        <f aca="false">CS_9!K6</f>
        <v>0</v>
      </c>
      <c r="L293" s="83" t="n">
        <f aca="false">CS_9!L6</f>
        <v>0</v>
      </c>
      <c r="M293" s="57" t="n">
        <f aca="false">C293</f>
        <v>0</v>
      </c>
      <c r="N293" s="55" t="s">
        <v>33</v>
      </c>
      <c r="O293" s="71" t="n">
        <f aca="false">AW292</f>
        <v>0</v>
      </c>
      <c r="P293" s="71" t="n">
        <f aca="false">BB292</f>
        <v>-0.00499999958236685</v>
      </c>
      <c r="Q293" s="71" t="n">
        <f aca="false">BG292</f>
        <v>-0.00499999958236685</v>
      </c>
      <c r="AB293" s="0" t="s">
        <v>146</v>
      </c>
      <c r="AC293" s="57" t="n">
        <f aca="false">C278</f>
        <v>0</v>
      </c>
      <c r="AD293" s="57"/>
      <c r="AE293" s="62" t="n">
        <v>0</v>
      </c>
      <c r="AF293" s="35" t="n">
        <f aca="false">COS(AF291)</f>
        <v>0.999999500000042</v>
      </c>
      <c r="AG293" s="35" t="n">
        <f aca="false">-SIN(AF291)</f>
        <v>-0.000999999833333342</v>
      </c>
      <c r="AH293" s="63" t="n">
        <v>0</v>
      </c>
      <c r="AI293" s="86"/>
      <c r="AJ293" s="35" t="n">
        <v>0</v>
      </c>
      <c r="AK293" s="35" t="n">
        <v>1</v>
      </c>
      <c r="AL293" s="35" t="n">
        <v>0</v>
      </c>
      <c r="AM293" s="35" t="n">
        <v>0</v>
      </c>
      <c r="AN293" s="86"/>
      <c r="AO293" s="35" t="n">
        <f aca="false">SIN(AP291)</f>
        <v>0.000999999833333342</v>
      </c>
      <c r="AP293" s="35" t="n">
        <f aca="false">AO292</f>
        <v>0.999999500000042</v>
      </c>
      <c r="AQ293" s="35" t="n">
        <v>0</v>
      </c>
      <c r="AR293" s="35" t="n">
        <v>0</v>
      </c>
      <c r="AS293" s="86"/>
      <c r="AT293" s="57" t="s">
        <v>147</v>
      </c>
      <c r="AU293" s="35" t="n">
        <v>0</v>
      </c>
      <c r="AV293" s="35" t="n">
        <f aca="false">AU293-$AC293</f>
        <v>0</v>
      </c>
      <c r="AW293" s="35" t="n">
        <f aca="false">AV293/AF291</f>
        <v>0</v>
      </c>
      <c r="AX293" s="86"/>
      <c r="AY293" s="57" t="s">
        <v>147</v>
      </c>
      <c r="AZ293" s="35" t="n">
        <v>0</v>
      </c>
      <c r="BA293" s="35" t="n">
        <f aca="false">AZ293-$AC293</f>
        <v>0</v>
      </c>
      <c r="BB293" s="35" t="n">
        <f aca="false">BA293/AK291</f>
        <v>0</v>
      </c>
      <c r="BC293" s="86"/>
      <c r="BD293" s="57" t="s">
        <v>147</v>
      </c>
      <c r="BE293" s="35" t="n">
        <v>0.00999999833333342</v>
      </c>
      <c r="BF293" s="35" t="n">
        <f aca="false">BE293-$AC293</f>
        <v>0.00999999833333342</v>
      </c>
      <c r="BG293" s="35" t="n">
        <f aca="false">BF293/AP291</f>
        <v>9.99999833333342</v>
      </c>
    </row>
    <row r="294" customFormat="false" ht="15.6" hidden="false" customHeight="false" outlineLevel="0" collapsed="false">
      <c r="A294" s="123"/>
      <c r="B294" s="81" t="s">
        <v>148</v>
      </c>
      <c r="C294" s="59" t="n">
        <v>-196</v>
      </c>
      <c r="E294" s="55" t="s">
        <v>35</v>
      </c>
      <c r="F294" s="35" t="n">
        <v>0</v>
      </c>
      <c r="G294" s="83" t="n">
        <f aca="false">CS_9!G7</f>
        <v>0</v>
      </c>
      <c r="H294" s="83" t="n">
        <f aca="false">CS_9!H7</f>
        <v>0</v>
      </c>
      <c r="I294" s="83" t="n">
        <f aca="false">CS_9!I7</f>
        <v>0</v>
      </c>
      <c r="J294" s="83" t="n">
        <f aca="false">CS_9!J7</f>
        <v>0</v>
      </c>
      <c r="K294" s="83" t="n">
        <f aca="false">CS_9!K7</f>
        <v>0</v>
      </c>
      <c r="L294" s="83" t="n">
        <f aca="false">CS_9!L7</f>
        <v>0</v>
      </c>
      <c r="M294" s="57" t="n">
        <f aca="false">C294</f>
        <v>-196</v>
      </c>
      <c r="N294" s="55" t="s">
        <v>34</v>
      </c>
      <c r="O294" s="71" t="n">
        <f aca="false">AW293</f>
        <v>0</v>
      </c>
      <c r="P294" s="71" t="n">
        <f aca="false">BB293</f>
        <v>0</v>
      </c>
      <c r="Q294" s="71" t="n">
        <f aca="false">BG293</f>
        <v>9.99999833333342</v>
      </c>
      <c r="AB294" s="0" t="s">
        <v>149</v>
      </c>
      <c r="AC294" s="57" t="n">
        <f aca="false">C279</f>
        <v>0</v>
      </c>
      <c r="AD294" s="57"/>
      <c r="AE294" s="62" t="n">
        <v>0</v>
      </c>
      <c r="AF294" s="35" t="n">
        <f aca="false">-AG293</f>
        <v>0.000999999833333342</v>
      </c>
      <c r="AG294" s="35" t="n">
        <f aca="false">AF293</f>
        <v>0.999999500000042</v>
      </c>
      <c r="AH294" s="63" t="n">
        <v>0</v>
      </c>
      <c r="AI294" s="86"/>
      <c r="AJ294" s="35" t="n">
        <f aca="false">-SIN(AK291)</f>
        <v>-0.000999999833333342</v>
      </c>
      <c r="AK294" s="35" t="n">
        <v>0</v>
      </c>
      <c r="AL294" s="35" t="n">
        <f aca="false">COS(AK291)</f>
        <v>0.999999500000042</v>
      </c>
      <c r="AM294" s="35" t="n">
        <v>0</v>
      </c>
      <c r="AN294" s="86"/>
      <c r="AO294" s="35" t="n">
        <v>0</v>
      </c>
      <c r="AP294" s="35" t="n">
        <v>0</v>
      </c>
      <c r="AQ294" s="35" t="n">
        <v>1</v>
      </c>
      <c r="AR294" s="35" t="n">
        <v>0</v>
      </c>
      <c r="AS294" s="86"/>
      <c r="AT294" s="57" t="s">
        <v>150</v>
      </c>
      <c r="AU294" s="35" t="n">
        <v>0</v>
      </c>
      <c r="AV294" s="35" t="n">
        <f aca="false">AU294-$AC294</f>
        <v>0</v>
      </c>
      <c r="AW294" s="35" t="n">
        <f aca="false">AV294/AF291</f>
        <v>0</v>
      </c>
      <c r="AX294" s="86"/>
      <c r="AY294" s="57" t="s">
        <v>150</v>
      </c>
      <c r="AZ294" s="35" t="n">
        <v>-0.00999999833333342</v>
      </c>
      <c r="BA294" s="35" t="n">
        <f aca="false">AZ294-$AC294</f>
        <v>-0.00999999833333342</v>
      </c>
      <c r="BB294" s="35" t="n">
        <f aca="false">BA294/AK291</f>
        <v>-9.99999833333342</v>
      </c>
      <c r="BC294" s="86"/>
      <c r="BD294" s="57" t="s">
        <v>150</v>
      </c>
      <c r="BE294" s="35" t="n">
        <v>0</v>
      </c>
      <c r="BF294" s="35" t="n">
        <f aca="false">BE294-$AC294</f>
        <v>0</v>
      </c>
      <c r="BG294" s="35" t="n">
        <f aca="false">BF294/AP291</f>
        <v>0</v>
      </c>
    </row>
    <row r="295" customFormat="false" ht="15" hidden="false" customHeight="true" outlineLevel="0" collapsed="false">
      <c r="A295" s="123"/>
      <c r="B295" s="81" t="s">
        <v>101</v>
      </c>
      <c r="C295" s="59" t="n">
        <v>1</v>
      </c>
      <c r="E295" s="55" t="s">
        <v>97</v>
      </c>
      <c r="F295" s="35" t="n">
        <v>0</v>
      </c>
      <c r="G295" s="83" t="n">
        <f aca="false">CS_9!G8</f>
        <v>0</v>
      </c>
      <c r="H295" s="83" t="n">
        <f aca="false">CS_9!H8</f>
        <v>0</v>
      </c>
      <c r="I295" s="83" t="n">
        <f aca="false">CS_9!I8</f>
        <v>0</v>
      </c>
      <c r="J295" s="83" t="n">
        <f aca="false">CS_9!J8</f>
        <v>0</v>
      </c>
      <c r="K295" s="83" t="n">
        <f aca="false">CS_9!K8</f>
        <v>0</v>
      </c>
      <c r="L295" s="83" t="n">
        <f aca="false">CS_9!L8</f>
        <v>0</v>
      </c>
      <c r="M295" s="57" t="n">
        <f aca="false">C296</f>
        <v>0</v>
      </c>
      <c r="N295" s="55" t="s">
        <v>35</v>
      </c>
      <c r="O295" s="71" t="n">
        <f aca="false">AW294</f>
        <v>0</v>
      </c>
      <c r="P295" s="71" t="n">
        <f aca="false">BB294</f>
        <v>-9.99999833333342</v>
      </c>
      <c r="Q295" s="71" t="n">
        <f aca="false">BG294</f>
        <v>0</v>
      </c>
      <c r="AC295" s="57" t="n">
        <v>1</v>
      </c>
      <c r="AD295" s="57"/>
      <c r="AE295" s="62" t="n">
        <v>0</v>
      </c>
      <c r="AF295" s="35" t="n">
        <v>0</v>
      </c>
      <c r="AG295" s="35" t="n">
        <v>0</v>
      </c>
      <c r="AH295" s="63" t="n">
        <v>1</v>
      </c>
      <c r="AI295" s="86"/>
      <c r="AJ295" s="35" t="n">
        <v>0</v>
      </c>
      <c r="AK295" s="35" t="n">
        <v>0</v>
      </c>
      <c r="AL295" s="35" t="n">
        <v>0</v>
      </c>
      <c r="AM295" s="35" t="n">
        <v>1</v>
      </c>
      <c r="AN295" s="86"/>
      <c r="AO295" s="35" t="n">
        <v>0</v>
      </c>
      <c r="AP295" s="35" t="n">
        <v>0</v>
      </c>
      <c r="AQ295" s="35" t="n">
        <v>0</v>
      </c>
      <c r="AR295" s="35" t="n">
        <v>1</v>
      </c>
      <c r="AS295" s="86"/>
      <c r="AT295" s="57"/>
      <c r="AU295" s="35" t="n">
        <v>1</v>
      </c>
      <c r="AV295" s="35"/>
      <c r="AW295" s="35"/>
      <c r="AX295" s="86"/>
      <c r="AY295" s="57"/>
      <c r="AZ295" s="35" t="n">
        <v>1</v>
      </c>
      <c r="BA295" s="35"/>
      <c r="BB295" s="35"/>
      <c r="BC295" s="86"/>
      <c r="BD295" s="57"/>
      <c r="BE295" s="35" t="n">
        <v>1</v>
      </c>
      <c r="BF295" s="35"/>
      <c r="BG295" s="35"/>
    </row>
    <row r="296" customFormat="false" ht="15" hidden="false" customHeight="true" outlineLevel="0" collapsed="false">
      <c r="A296" s="123"/>
      <c r="B296" s="81" t="s">
        <v>151</v>
      </c>
      <c r="C296" s="59" t="n">
        <f aca="false" t="array" ref="C296:C299">MMULT(O264:R267,E272:E275)</f>
        <v>0</v>
      </c>
      <c r="E296" s="55" t="s">
        <v>100</v>
      </c>
      <c r="F296" s="35" t="n">
        <v>0</v>
      </c>
      <c r="G296" s="83" t="n">
        <f aca="false">CS_9!G9</f>
        <v>0</v>
      </c>
      <c r="H296" s="83" t="n">
        <f aca="false">CS_9!H9</f>
        <v>0</v>
      </c>
      <c r="I296" s="83" t="n">
        <f aca="false">CS_9!I9</f>
        <v>0</v>
      </c>
      <c r="J296" s="83" t="n">
        <f aca="false">CS_9!J9</f>
        <v>0</v>
      </c>
      <c r="K296" s="83" t="n">
        <f aca="false">CS_9!K9</f>
        <v>0</v>
      </c>
      <c r="L296" s="83" t="n">
        <f aca="false">CS_9!L9</f>
        <v>0</v>
      </c>
      <c r="M296" s="57" t="n">
        <f aca="false">C297</f>
        <v>0</v>
      </c>
      <c r="O296" s="89" t="s">
        <v>152</v>
      </c>
      <c r="T296" s="89" t="s">
        <v>153</v>
      </c>
      <c r="AE296" s="0" t="s">
        <v>154</v>
      </c>
      <c r="AJ296" s="0" t="s">
        <v>155</v>
      </c>
      <c r="AO296" s="0" t="s">
        <v>156</v>
      </c>
    </row>
    <row r="297" customFormat="false" ht="15" hidden="false" customHeight="true" outlineLevel="0" collapsed="false">
      <c r="A297" s="123"/>
      <c r="B297" s="81" t="s">
        <v>157</v>
      </c>
      <c r="C297" s="59" t="n">
        <v>0</v>
      </c>
      <c r="E297" s="55" t="s">
        <v>104</v>
      </c>
      <c r="F297" s="35" t="n">
        <v>0</v>
      </c>
      <c r="G297" s="83" t="n">
        <f aca="false">CS_9!G10</f>
        <v>0</v>
      </c>
      <c r="H297" s="83" t="n">
        <f aca="false">CS_9!H10</f>
        <v>0</v>
      </c>
      <c r="I297" s="83" t="n">
        <f aca="false">CS_9!I10</f>
        <v>0</v>
      </c>
      <c r="J297" s="83" t="n">
        <f aca="false">CS_9!J10</f>
        <v>0</v>
      </c>
      <c r="K297" s="83" t="n">
        <f aca="false">CS_9!K10</f>
        <v>0</v>
      </c>
      <c r="L297" s="83" t="n">
        <f aca="false">CS_9!L10</f>
        <v>0</v>
      </c>
      <c r="M297" s="57" t="n">
        <f aca="false">C298</f>
        <v>0</v>
      </c>
      <c r="O297" s="71" t="n">
        <f aca="false" t="array" ref="O297:R300">MMULT(AO297:AR300,MMULT(AJ297:AM300,AE297:AH300))</f>
        <v>1</v>
      </c>
      <c r="P297" s="71" t="n">
        <v>0</v>
      </c>
      <c r="Q297" s="71" t="n">
        <v>0</v>
      </c>
      <c r="R297" s="71" t="n">
        <v>0</v>
      </c>
      <c r="S297" s="90"/>
      <c r="T297" s="71" t="n">
        <f aca="false" t="array" ref="T297:W300">IF(A318=1,MMULT(T330:W333,O297:R300),T$363:W$366)</f>
        <v>1</v>
      </c>
      <c r="U297" s="71" t="n">
        <v>0</v>
      </c>
      <c r="V297" s="71" t="n">
        <v>0</v>
      </c>
      <c r="W297" s="71" t="n">
        <v>0</v>
      </c>
      <c r="X297" s="71"/>
      <c r="Y297" s="71"/>
      <c r="Z297" s="71"/>
      <c r="AA297" s="71"/>
      <c r="AB297" s="0" t="s">
        <v>158</v>
      </c>
      <c r="AC297" s="57" t="n">
        <f aca="false" t="array" ref="AC297:AC300">MMULT(O297:R300,AC292:AC295)</f>
        <v>10</v>
      </c>
      <c r="AD297" s="57"/>
      <c r="AE297" s="91" t="n">
        <v>1</v>
      </c>
      <c r="AF297" s="57" t="n">
        <v>0</v>
      </c>
      <c r="AG297" s="57" t="n">
        <v>0</v>
      </c>
      <c r="AH297" s="92" t="n">
        <v>0</v>
      </c>
      <c r="AJ297" s="91" t="n">
        <f aca="false">COS(PI()*C282/180)</f>
        <v>1</v>
      </c>
      <c r="AK297" s="57" t="n">
        <v>0</v>
      </c>
      <c r="AL297" s="57" t="n">
        <f aca="false">SIN(PI()*C282/180)</f>
        <v>0</v>
      </c>
      <c r="AM297" s="92" t="n">
        <v>0</v>
      </c>
      <c r="AO297" s="91" t="n">
        <f aca="false">COS(PI()*C283/180)</f>
        <v>1</v>
      </c>
      <c r="AP297" s="57" t="n">
        <f aca="false">-SIN(PI()*C283/180)</f>
        <v>0</v>
      </c>
      <c r="AQ297" s="57" t="n">
        <v>0</v>
      </c>
      <c r="AR297" s="92" t="n">
        <v>0</v>
      </c>
    </row>
    <row r="298" customFormat="false" ht="15" hidden="false" customHeight="true" outlineLevel="0" collapsed="false">
      <c r="A298" s="123"/>
      <c r="B298" s="81" t="s">
        <v>159</v>
      </c>
      <c r="C298" s="59" t="n">
        <v>0</v>
      </c>
      <c r="G298" s="113"/>
      <c r="H298" s="113"/>
      <c r="I298" s="113"/>
      <c r="J298" s="93"/>
      <c r="K298" s="93"/>
      <c r="L298" s="93"/>
      <c r="M298" s="93"/>
      <c r="O298" s="71" t="n">
        <v>0</v>
      </c>
      <c r="P298" s="71" t="n">
        <v>1</v>
      </c>
      <c r="Q298" s="71" t="n">
        <v>0</v>
      </c>
      <c r="R298" s="71" t="n">
        <v>0</v>
      </c>
      <c r="S298" s="90"/>
      <c r="T298" s="71" t="n">
        <v>0</v>
      </c>
      <c r="U298" s="71" t="n">
        <v>1</v>
      </c>
      <c r="V298" s="71" t="n">
        <v>0</v>
      </c>
      <c r="W298" s="71" t="n">
        <v>0</v>
      </c>
      <c r="X298" s="71"/>
      <c r="Y298" s="71"/>
      <c r="Z298" s="71"/>
      <c r="AA298" s="71"/>
      <c r="AB298" s="0" t="s">
        <v>160</v>
      </c>
      <c r="AC298" s="57" t="n">
        <v>0</v>
      </c>
      <c r="AD298" s="57"/>
      <c r="AE298" s="91" t="n">
        <v>0</v>
      </c>
      <c r="AF298" s="57" t="n">
        <f aca="false">COS(PI()*C281/180)</f>
        <v>1</v>
      </c>
      <c r="AG298" s="57" t="n">
        <f aca="false">-SIN(PI()*C281/180)</f>
        <v>0</v>
      </c>
      <c r="AH298" s="92" t="n">
        <v>0</v>
      </c>
      <c r="AJ298" s="91" t="n">
        <v>0</v>
      </c>
      <c r="AK298" s="57" t="n">
        <v>1</v>
      </c>
      <c r="AL298" s="57" t="n">
        <v>0</v>
      </c>
      <c r="AM298" s="92" t="n">
        <v>0</v>
      </c>
      <c r="AO298" s="91" t="n">
        <f aca="false">SIN(PI()*C283/180)</f>
        <v>0</v>
      </c>
      <c r="AP298" s="57" t="n">
        <f aca="false">AO297</f>
        <v>1</v>
      </c>
      <c r="AQ298" s="57" t="n">
        <v>0</v>
      </c>
      <c r="AR298" s="92" t="n">
        <v>0</v>
      </c>
    </row>
    <row r="299" customFormat="false" ht="15" hidden="false" customHeight="true" outlineLevel="0" collapsed="false">
      <c r="A299" s="123"/>
      <c r="B299" s="81" t="s">
        <v>101</v>
      </c>
      <c r="C299" s="59" t="n">
        <v>1</v>
      </c>
      <c r="G299" s="113"/>
      <c r="H299" s="113"/>
      <c r="I299" s="113"/>
      <c r="J299" s="93"/>
      <c r="K299" s="93"/>
      <c r="L299" s="93"/>
      <c r="M299" s="93"/>
      <c r="O299" s="71" t="n">
        <v>0</v>
      </c>
      <c r="P299" s="71" t="n">
        <v>0</v>
      </c>
      <c r="Q299" s="71" t="n">
        <v>1</v>
      </c>
      <c r="R299" s="71" t="n">
        <v>0</v>
      </c>
      <c r="S299" s="90"/>
      <c r="T299" s="71" t="n">
        <v>0</v>
      </c>
      <c r="U299" s="71" t="n">
        <v>0</v>
      </c>
      <c r="V299" s="71" t="n">
        <v>1</v>
      </c>
      <c r="W299" s="71" t="n">
        <v>0</v>
      </c>
      <c r="X299" s="71"/>
      <c r="Y299" s="71"/>
      <c r="Z299" s="71"/>
      <c r="AA299" s="71"/>
      <c r="AB299" s="0" t="s">
        <v>161</v>
      </c>
      <c r="AC299" s="57" t="n">
        <v>0</v>
      </c>
      <c r="AD299" s="57"/>
      <c r="AE299" s="91" t="n">
        <v>0</v>
      </c>
      <c r="AF299" s="57" t="n">
        <f aca="false">SIN(PI()*C281/180)</f>
        <v>0</v>
      </c>
      <c r="AG299" s="57" t="n">
        <f aca="false">AF298</f>
        <v>1</v>
      </c>
      <c r="AH299" s="92" t="n">
        <v>0</v>
      </c>
      <c r="AJ299" s="91" t="n">
        <f aca="false">-SIN(PI()*C282/180)</f>
        <v>0</v>
      </c>
      <c r="AK299" s="57" t="n">
        <v>0</v>
      </c>
      <c r="AL299" s="57" t="n">
        <f aca="false">AJ297</f>
        <v>1</v>
      </c>
      <c r="AM299" s="92" t="n">
        <v>0</v>
      </c>
      <c r="AO299" s="91" t="n">
        <v>0</v>
      </c>
      <c r="AP299" s="57" t="n">
        <v>0</v>
      </c>
      <c r="AQ299" s="57" t="n">
        <v>1</v>
      </c>
      <c r="AR299" s="92" t="n">
        <v>0</v>
      </c>
    </row>
    <row r="300" s="96" customFormat="true" ht="16.2" hidden="false" customHeight="false" outlineLevel="0" collapsed="false">
      <c r="A300" s="123"/>
      <c r="B300" s="11" t="s">
        <v>169</v>
      </c>
      <c r="D300" s="11" t="s">
        <v>163</v>
      </c>
      <c r="G300" s="102"/>
      <c r="H300" s="102"/>
      <c r="I300" s="102"/>
      <c r="J300" s="114"/>
      <c r="K300" s="114"/>
      <c r="L300" s="114"/>
      <c r="M300" s="114"/>
      <c r="O300" s="98" t="n">
        <v>0</v>
      </c>
      <c r="P300" s="98" t="n">
        <v>0</v>
      </c>
      <c r="Q300" s="98" t="n">
        <v>0</v>
      </c>
      <c r="R300" s="98" t="n">
        <v>1</v>
      </c>
      <c r="S300" s="99"/>
      <c r="T300" s="98" t="n">
        <v>0</v>
      </c>
      <c r="U300" s="98" t="n">
        <v>0</v>
      </c>
      <c r="V300" s="98" t="n">
        <v>0</v>
      </c>
      <c r="W300" s="98" t="n">
        <v>1</v>
      </c>
      <c r="X300" s="98"/>
      <c r="Y300" s="98"/>
      <c r="Z300" s="98"/>
      <c r="AA300" s="98"/>
      <c r="AC300" s="100" t="n">
        <v>1</v>
      </c>
      <c r="AD300" s="100"/>
      <c r="AE300" s="100" t="n">
        <v>0</v>
      </c>
      <c r="AF300" s="100" t="n">
        <v>0</v>
      </c>
      <c r="AG300" s="100" t="n">
        <v>0</v>
      </c>
      <c r="AH300" s="100" t="n">
        <v>1</v>
      </c>
      <c r="AJ300" s="100" t="n">
        <v>0</v>
      </c>
      <c r="AK300" s="100" t="n">
        <v>0</v>
      </c>
      <c r="AL300" s="100" t="n">
        <v>0</v>
      </c>
      <c r="AM300" s="100" t="n">
        <v>1</v>
      </c>
      <c r="AO300" s="100" t="n">
        <v>0</v>
      </c>
      <c r="AP300" s="100" t="n">
        <v>0</v>
      </c>
      <c r="AQ300" s="100" t="n">
        <v>0</v>
      </c>
      <c r="AR300" s="100" t="n">
        <v>1</v>
      </c>
    </row>
    <row r="301" customFormat="false" ht="15.6" hidden="false" customHeight="false" outlineLevel="0" collapsed="false">
      <c r="A301" s="124"/>
      <c r="B301" s="81" t="s">
        <v>139</v>
      </c>
      <c r="C301" s="82" t="n">
        <v>0</v>
      </c>
      <c r="D301" s="81" t="s">
        <v>139</v>
      </c>
      <c r="E301" s="59" t="n">
        <f aca="false">C292+C301</f>
        <v>0</v>
      </c>
      <c r="F301" s="103"/>
      <c r="G301" s="114"/>
      <c r="H301" s="120"/>
      <c r="I301" s="114"/>
      <c r="J301" s="114"/>
      <c r="K301" s="114"/>
      <c r="L301" s="114"/>
      <c r="M301" s="114"/>
      <c r="O301" s="98"/>
      <c r="P301" s="98"/>
      <c r="Q301" s="98"/>
      <c r="R301" s="98"/>
      <c r="S301" s="99"/>
      <c r="T301" s="98"/>
      <c r="U301" s="98"/>
      <c r="V301" s="98"/>
      <c r="W301" s="98"/>
      <c r="X301" s="98"/>
      <c r="Y301" s="98"/>
      <c r="Z301" s="98"/>
      <c r="AA301" s="98"/>
      <c r="AC301" s="100"/>
      <c r="AD301" s="100"/>
      <c r="AE301" s="100"/>
      <c r="AF301" s="100"/>
      <c r="AG301" s="100"/>
      <c r="AH301" s="100"/>
      <c r="AJ301" s="100"/>
      <c r="AK301" s="100"/>
      <c r="AL301" s="100"/>
      <c r="AM301" s="100"/>
      <c r="AO301" s="100"/>
      <c r="AP301" s="100"/>
      <c r="AQ301" s="100"/>
      <c r="AR301" s="100"/>
    </row>
    <row r="302" customFormat="false" ht="15.6" hidden="false" customHeight="false" outlineLevel="0" collapsed="false">
      <c r="A302" s="124"/>
      <c r="B302" s="81" t="s">
        <v>145</v>
      </c>
      <c r="C302" s="82" t="n">
        <v>0</v>
      </c>
      <c r="D302" s="81" t="s">
        <v>145</v>
      </c>
      <c r="E302" s="59" t="n">
        <f aca="false">C293+C302</f>
        <v>0</v>
      </c>
      <c r="F302" s="103"/>
      <c r="G302" s="114"/>
      <c r="H302" s="120"/>
      <c r="I302" s="114"/>
      <c r="J302" s="114"/>
      <c r="K302" s="114"/>
      <c r="L302" s="114"/>
      <c r="M302" s="114"/>
      <c r="O302" s="98"/>
      <c r="P302" s="98"/>
      <c r="Q302" s="98"/>
      <c r="R302" s="98"/>
      <c r="S302" s="99"/>
      <c r="T302" s="98"/>
      <c r="U302" s="98"/>
      <c r="V302" s="98"/>
      <c r="W302" s="98"/>
      <c r="X302" s="98"/>
      <c r="Y302" s="98"/>
      <c r="Z302" s="98"/>
      <c r="AA302" s="98"/>
      <c r="AC302" s="100"/>
      <c r="AD302" s="100"/>
      <c r="AE302" s="100"/>
      <c r="AF302" s="100"/>
      <c r="AG302" s="100"/>
      <c r="AH302" s="100"/>
      <c r="AJ302" s="100"/>
      <c r="AK302" s="100"/>
      <c r="AL302" s="100"/>
      <c r="AM302" s="100"/>
      <c r="AO302" s="100"/>
      <c r="AP302" s="100"/>
      <c r="AQ302" s="100"/>
      <c r="AR302" s="100"/>
    </row>
    <row r="303" customFormat="false" ht="15.6" hidden="false" customHeight="false" outlineLevel="0" collapsed="false">
      <c r="A303" s="124"/>
      <c r="B303" s="81" t="s">
        <v>148</v>
      </c>
      <c r="C303" s="82" t="n">
        <v>0</v>
      </c>
      <c r="D303" s="81" t="s">
        <v>148</v>
      </c>
      <c r="E303" s="59" t="n">
        <f aca="false">C294+C303</f>
        <v>-196</v>
      </c>
      <c r="F303" s="103"/>
      <c r="G303" s="114"/>
      <c r="H303" s="120"/>
      <c r="I303" s="114"/>
      <c r="J303" s="114"/>
      <c r="K303" s="114"/>
      <c r="L303" s="114"/>
      <c r="M303" s="114"/>
      <c r="O303" s="98"/>
      <c r="P303" s="98"/>
      <c r="Q303" s="98"/>
      <c r="R303" s="98"/>
      <c r="S303" s="99"/>
      <c r="T303" s="98"/>
      <c r="U303" s="98"/>
      <c r="V303" s="98"/>
      <c r="W303" s="98"/>
      <c r="X303" s="98"/>
      <c r="Y303" s="98"/>
      <c r="Z303" s="98"/>
      <c r="AA303" s="98"/>
      <c r="AC303" s="100"/>
      <c r="AD303" s="100"/>
      <c r="AE303" s="100"/>
      <c r="AF303" s="100"/>
      <c r="AG303" s="100"/>
      <c r="AH303" s="100"/>
      <c r="AJ303" s="100"/>
      <c r="AK303" s="100"/>
      <c r="AL303" s="100"/>
      <c r="AM303" s="100"/>
      <c r="AO303" s="100"/>
      <c r="AP303" s="100"/>
      <c r="AQ303" s="100"/>
      <c r="AR303" s="100"/>
    </row>
    <row r="304" customFormat="false" ht="15.6" hidden="false" customHeight="false" outlineLevel="0" collapsed="false">
      <c r="A304" s="124"/>
      <c r="B304" s="103" t="s">
        <v>101</v>
      </c>
      <c r="C304" s="115" t="n">
        <v>1</v>
      </c>
      <c r="D304" s="103" t="s">
        <v>101</v>
      </c>
      <c r="E304" s="115" t="n">
        <v>1</v>
      </c>
      <c r="F304" s="103"/>
      <c r="G304" s="114"/>
      <c r="H304" s="120"/>
      <c r="I304" s="114"/>
      <c r="J304" s="114"/>
      <c r="K304" s="114"/>
      <c r="L304" s="114"/>
      <c r="M304" s="114"/>
      <c r="O304" s="98"/>
      <c r="P304" s="98"/>
      <c r="Q304" s="98"/>
      <c r="R304" s="98"/>
      <c r="S304" s="99"/>
      <c r="T304" s="98"/>
      <c r="U304" s="98"/>
      <c r="V304" s="98"/>
      <c r="W304" s="98"/>
      <c r="X304" s="98"/>
      <c r="Y304" s="98"/>
      <c r="Z304" s="98"/>
      <c r="AA304" s="98"/>
      <c r="AC304" s="100"/>
      <c r="AD304" s="100"/>
      <c r="AE304" s="100"/>
      <c r="AF304" s="100"/>
      <c r="AG304" s="100"/>
      <c r="AH304" s="100"/>
      <c r="AJ304" s="100"/>
      <c r="AK304" s="100"/>
      <c r="AL304" s="100"/>
      <c r="AM304" s="100"/>
      <c r="AO304" s="100"/>
      <c r="AP304" s="100"/>
      <c r="AQ304" s="100"/>
      <c r="AR304" s="100"/>
    </row>
    <row r="305" customFormat="false" ht="15.6" hidden="false" customHeight="false" outlineLevel="0" collapsed="false">
      <c r="A305" s="124"/>
      <c r="B305" s="81" t="s">
        <v>151</v>
      </c>
      <c r="C305" s="82" t="n">
        <v>0</v>
      </c>
      <c r="D305" s="81" t="s">
        <v>151</v>
      </c>
      <c r="E305" s="59" t="n">
        <f aca="false">C296+C305+C294*C252-C293*C253</f>
        <v>0</v>
      </c>
      <c r="F305" s="103"/>
      <c r="G305" s="114"/>
      <c r="H305" s="120"/>
      <c r="I305" s="114"/>
      <c r="J305" s="114"/>
      <c r="K305" s="114"/>
      <c r="L305" s="114"/>
      <c r="M305" s="114"/>
      <c r="O305" s="98"/>
      <c r="P305" s="98"/>
      <c r="Q305" s="98"/>
      <c r="R305" s="98"/>
      <c r="S305" s="99"/>
      <c r="T305" s="98"/>
      <c r="U305" s="98"/>
      <c r="V305" s="98"/>
      <c r="W305" s="98"/>
      <c r="X305" s="98"/>
      <c r="Y305" s="98"/>
      <c r="Z305" s="98"/>
      <c r="AA305" s="98"/>
      <c r="AC305" s="100"/>
      <c r="AD305" s="100"/>
      <c r="AE305" s="100"/>
      <c r="AF305" s="100"/>
      <c r="AG305" s="100"/>
      <c r="AH305" s="100"/>
      <c r="AJ305" s="100"/>
      <c r="AK305" s="100"/>
      <c r="AL305" s="100"/>
      <c r="AM305" s="100"/>
      <c r="AO305" s="100"/>
      <c r="AP305" s="100"/>
      <c r="AQ305" s="100"/>
      <c r="AR305" s="100"/>
    </row>
    <row r="306" customFormat="false" ht="15.6" hidden="false" customHeight="false" outlineLevel="0" collapsed="false">
      <c r="A306" s="124"/>
      <c r="B306" s="81" t="s">
        <v>157</v>
      </c>
      <c r="C306" s="82" t="n">
        <v>0</v>
      </c>
      <c r="D306" s="81" t="s">
        <v>157</v>
      </c>
      <c r="E306" s="59" t="n">
        <f aca="false">C297+C306+C292*C253-C294*C251</f>
        <v>1960</v>
      </c>
      <c r="F306" s="103"/>
      <c r="G306" s="114"/>
      <c r="H306" s="120"/>
      <c r="I306" s="114"/>
      <c r="J306" s="114"/>
      <c r="K306" s="114"/>
      <c r="L306" s="114"/>
      <c r="M306" s="114"/>
      <c r="O306" s="98"/>
      <c r="P306" s="98"/>
      <c r="Q306" s="98"/>
      <c r="R306" s="98"/>
      <c r="S306" s="99"/>
      <c r="T306" s="98"/>
      <c r="U306" s="98"/>
      <c r="V306" s="98"/>
      <c r="W306" s="98"/>
      <c r="X306" s="98"/>
      <c r="Y306" s="98"/>
      <c r="Z306" s="98"/>
      <c r="AA306" s="98"/>
      <c r="AC306" s="100"/>
      <c r="AD306" s="100"/>
      <c r="AE306" s="100"/>
      <c r="AF306" s="100"/>
      <c r="AG306" s="100"/>
      <c r="AH306" s="100"/>
      <c r="AJ306" s="100"/>
      <c r="AK306" s="100"/>
      <c r="AL306" s="100"/>
      <c r="AM306" s="100"/>
      <c r="AO306" s="100"/>
      <c r="AP306" s="100"/>
      <c r="AQ306" s="100"/>
      <c r="AR306" s="100"/>
    </row>
    <row r="307" customFormat="false" ht="15.6" hidden="false" customHeight="false" outlineLevel="0" collapsed="false">
      <c r="A307" s="124"/>
      <c r="B307" s="81" t="s">
        <v>159</v>
      </c>
      <c r="C307" s="82" t="n">
        <v>0</v>
      </c>
      <c r="D307" s="81" t="s">
        <v>159</v>
      </c>
      <c r="E307" s="59" t="n">
        <f aca="false">C298+C307+C293*C251-C292*C252</f>
        <v>0</v>
      </c>
      <c r="F307" s="103"/>
      <c r="G307" s="114"/>
      <c r="H307" s="120"/>
      <c r="I307" s="114"/>
      <c r="J307" s="114"/>
      <c r="K307" s="114"/>
      <c r="L307" s="114"/>
      <c r="M307" s="114"/>
      <c r="O307" s="98"/>
      <c r="P307" s="98"/>
      <c r="Q307" s="98"/>
      <c r="R307" s="98"/>
      <c r="S307" s="99"/>
      <c r="T307" s="98"/>
      <c r="U307" s="98"/>
      <c r="V307" s="98"/>
      <c r="W307" s="98"/>
      <c r="X307" s="98"/>
      <c r="Y307" s="98"/>
      <c r="Z307" s="98"/>
      <c r="AA307" s="98"/>
      <c r="AC307" s="100"/>
      <c r="AD307" s="100"/>
      <c r="AE307" s="100"/>
      <c r="AF307" s="100"/>
      <c r="AG307" s="100"/>
      <c r="AH307" s="100"/>
      <c r="AJ307" s="100"/>
      <c r="AK307" s="100"/>
      <c r="AL307" s="100"/>
      <c r="AM307" s="100"/>
      <c r="AO307" s="100"/>
      <c r="AP307" s="100"/>
      <c r="AQ307" s="100"/>
      <c r="AR307" s="100"/>
    </row>
    <row r="308" s="36" customFormat="true" ht="16.2" hidden="false" customHeight="false" outlineLevel="0" collapsed="false">
      <c r="A308" s="123"/>
      <c r="B308" s="105" t="s">
        <v>101</v>
      </c>
      <c r="C308" s="106" t="n">
        <v>1</v>
      </c>
      <c r="D308" s="105" t="s">
        <v>101</v>
      </c>
      <c r="E308" s="106" t="n">
        <v>1</v>
      </c>
      <c r="F308" s="105"/>
      <c r="G308" s="116"/>
      <c r="H308" s="121"/>
      <c r="I308" s="116"/>
      <c r="J308" s="116"/>
      <c r="K308" s="116"/>
      <c r="L308" s="116"/>
      <c r="M308" s="116"/>
      <c r="O308" s="117"/>
      <c r="P308" s="117"/>
      <c r="Q308" s="117"/>
      <c r="R308" s="117"/>
      <c r="S308" s="109"/>
      <c r="T308" s="117"/>
      <c r="U308" s="117"/>
      <c r="V308" s="117"/>
      <c r="W308" s="117"/>
      <c r="X308" s="117"/>
      <c r="Y308" s="117"/>
      <c r="Z308" s="117"/>
      <c r="AA308" s="117"/>
      <c r="AC308" s="118"/>
      <c r="AD308" s="118"/>
      <c r="AE308" s="118"/>
      <c r="AF308" s="118"/>
      <c r="AG308" s="118"/>
      <c r="AH308" s="118"/>
      <c r="AJ308" s="118"/>
      <c r="AK308" s="118"/>
      <c r="AL308" s="118"/>
      <c r="AM308" s="118"/>
      <c r="AO308" s="118"/>
      <c r="AP308" s="118"/>
      <c r="AQ308" s="118"/>
      <c r="AR308" s="118"/>
    </row>
    <row r="309" customFormat="false" ht="15" hidden="false" customHeight="true" outlineLevel="0" collapsed="false">
      <c r="A309" s="50" t="s">
        <v>191</v>
      </c>
      <c r="B309" s="51" t="s">
        <v>165</v>
      </c>
      <c r="E309" s="9" t="s">
        <v>192</v>
      </c>
    </row>
    <row r="310" customFormat="false" ht="15" hidden="false" customHeight="true" outlineLevel="0" collapsed="false">
      <c r="A310" s="50"/>
      <c r="B310" s="52" t="s">
        <v>88</v>
      </c>
      <c r="C310" s="111" t="n">
        <f aca="false">C288</f>
        <v>20</v>
      </c>
      <c r="E310" s="1" t="s">
        <v>89</v>
      </c>
      <c r="F310" s="1"/>
      <c r="G310" s="1" t="s">
        <v>90</v>
      </c>
      <c r="H310" s="1"/>
      <c r="N310" s="11" t="s">
        <v>91</v>
      </c>
      <c r="O310" s="9"/>
      <c r="P310" s="54"/>
      <c r="Q310" s="9"/>
      <c r="R310" s="9"/>
      <c r="S310" s="11" t="s">
        <v>38</v>
      </c>
      <c r="Y310" s="11" t="s">
        <v>92</v>
      </c>
    </row>
    <row r="311" customFormat="false" ht="15" hidden="false" customHeight="true" outlineLevel="0" collapsed="false">
      <c r="A311" s="50"/>
      <c r="B311" s="52" t="s">
        <v>93</v>
      </c>
      <c r="C311" s="111" t="n">
        <f aca="false">C289</f>
        <v>0</v>
      </c>
      <c r="E311" s="55" t="s">
        <v>33</v>
      </c>
      <c r="F311" s="34" t="n">
        <f aca="false">CS_10!B45</f>
        <v>0.005</v>
      </c>
      <c r="G311" s="55" t="s">
        <v>33</v>
      </c>
      <c r="H311" s="34" t="n">
        <f aca="false">CS_10!B52</f>
        <v>0</v>
      </c>
      <c r="O311" s="0" t="s">
        <v>42</v>
      </c>
      <c r="P311" s="31" t="s">
        <v>43</v>
      </c>
      <c r="Q311" s="17" t="s">
        <v>44</v>
      </c>
      <c r="R311" s="17" t="s">
        <v>45</v>
      </c>
      <c r="T311" s="0" t="s">
        <v>42</v>
      </c>
      <c r="U311" s="31" t="s">
        <v>43</v>
      </c>
      <c r="V311" s="17" t="s">
        <v>44</v>
      </c>
      <c r="W311" s="17" t="s">
        <v>45</v>
      </c>
      <c r="Y311" s="0" t="s">
        <v>42</v>
      </c>
      <c r="Z311" s="31" t="s">
        <v>43</v>
      </c>
      <c r="AA311" s="17" t="s">
        <v>44</v>
      </c>
      <c r="AB311" s="17" t="s">
        <v>45</v>
      </c>
    </row>
    <row r="312" customFormat="false" ht="15" hidden="false" customHeight="true" outlineLevel="0" collapsed="false">
      <c r="A312" s="50"/>
      <c r="B312" s="52" t="s">
        <v>94</v>
      </c>
      <c r="C312" s="111" t="n">
        <f aca="false">C290</f>
        <v>0</v>
      </c>
      <c r="E312" s="55" t="s">
        <v>34</v>
      </c>
      <c r="F312" s="34" t="n">
        <f aca="false">CS_10!B46</f>
        <v>0.005</v>
      </c>
      <c r="G312" s="55" t="s">
        <v>34</v>
      </c>
      <c r="H312" s="34" t="n">
        <f aca="false">CS_10!B53</f>
        <v>0</v>
      </c>
      <c r="N312" s="55" t="s">
        <v>33</v>
      </c>
      <c r="O312" s="56" t="n">
        <f aca="false">ABS(F311)</f>
        <v>0.005</v>
      </c>
      <c r="P312" s="56" t="n">
        <f aca="false">ABS(F314*O326)</f>
        <v>0</v>
      </c>
      <c r="Q312" s="56" t="n">
        <f aca="false">ABS(F315*P326)</f>
        <v>9.99999906473373E-007</v>
      </c>
      <c r="R312" s="56" t="n">
        <f aca="false">ABS(F316*Q326)</f>
        <v>9.99999916473372E-007</v>
      </c>
      <c r="S312" s="55" t="s">
        <v>33</v>
      </c>
      <c r="T312" s="35" t="n">
        <f aca="false" t="array" ref="T312:W315">ABS(MMULT(T330:W333,O312:R315))</f>
        <v>0.005</v>
      </c>
      <c r="U312" s="35" t="n">
        <v>0</v>
      </c>
      <c r="V312" s="35" t="n">
        <v>9.99999906473373E-007</v>
      </c>
      <c r="W312" s="35" t="n">
        <v>9.99999916473372E-007</v>
      </c>
      <c r="X312" s="32" t="s">
        <v>33</v>
      </c>
      <c r="Y312" s="35" t="n">
        <f aca="false">F318+F325</f>
        <v>0</v>
      </c>
      <c r="Z312" s="57" t="n">
        <f aca="false">F321*O326</f>
        <v>0</v>
      </c>
      <c r="AA312" s="57" t="n">
        <f aca="false">F322*P326</f>
        <v>-5.93508451199033E-009</v>
      </c>
      <c r="AB312" s="57" t="n">
        <f aca="false">F323*Q326</f>
        <v>-0</v>
      </c>
    </row>
    <row r="313" customFormat="false" ht="15" hidden="false" customHeight="true" outlineLevel="0" collapsed="false">
      <c r="A313" s="58" t="n">
        <v>10</v>
      </c>
      <c r="B313" s="9" t="s">
        <v>95</v>
      </c>
      <c r="E313" s="55" t="s">
        <v>35</v>
      </c>
      <c r="F313" s="34" t="n">
        <f aca="false">CS_10!B47</f>
        <v>0.005</v>
      </c>
      <c r="G313" s="55" t="s">
        <v>35</v>
      </c>
      <c r="H313" s="34" t="n">
        <f aca="false">CS_10!B54</f>
        <v>0</v>
      </c>
      <c r="N313" s="55" t="s">
        <v>34</v>
      </c>
      <c r="O313" s="56" t="n">
        <f aca="false">ABS(F312)</f>
        <v>0.005</v>
      </c>
      <c r="P313" s="56" t="n">
        <f aca="false">ABS(F314*O327)</f>
        <v>0</v>
      </c>
      <c r="Q313" s="56" t="n">
        <f aca="false">ABS(F315*P327)</f>
        <v>0</v>
      </c>
      <c r="R313" s="56" t="n">
        <f aca="false">ABS(F316*Q327)</f>
        <v>0.00199999966666669</v>
      </c>
      <c r="S313" s="55" t="s">
        <v>34</v>
      </c>
      <c r="T313" s="35" t="n">
        <v>0.005</v>
      </c>
      <c r="U313" s="35" t="n">
        <v>0</v>
      </c>
      <c r="V313" s="35" t="n">
        <v>0</v>
      </c>
      <c r="W313" s="35" t="n">
        <v>0.00199999966666669</v>
      </c>
      <c r="X313" s="32" t="s">
        <v>34</v>
      </c>
      <c r="Y313" s="35" t="n">
        <f aca="false">F319+F326</f>
        <v>0</v>
      </c>
      <c r="Z313" s="57" t="n">
        <f aca="false">F321*O327</f>
        <v>0</v>
      </c>
      <c r="AA313" s="57" t="n">
        <f aca="false">F322*P327</f>
        <v>0</v>
      </c>
      <c r="AB313" s="57" t="n">
        <f aca="false">F323*Q327</f>
        <v>0</v>
      </c>
    </row>
    <row r="314" customFormat="false" ht="15" hidden="false" customHeight="true" outlineLevel="0" collapsed="false">
      <c r="A314" s="59" t="n">
        <f aca="false">IF(A313&gt;Naxes,0,1)</f>
        <v>0</v>
      </c>
      <c r="B314" s="60" t="s">
        <v>96</v>
      </c>
      <c r="C314" s="47" t="n">
        <v>0</v>
      </c>
      <c r="E314" s="55" t="s">
        <v>97</v>
      </c>
      <c r="F314" s="34" t="n">
        <f aca="false">CS_10!B48</f>
        <v>0.0001</v>
      </c>
      <c r="G314" s="55" t="s">
        <v>97</v>
      </c>
      <c r="H314" s="34" t="n">
        <f aca="false">CS_10!B55</f>
        <v>0</v>
      </c>
      <c r="N314" s="55" t="s">
        <v>35</v>
      </c>
      <c r="O314" s="56" t="n">
        <f aca="false">ABS(F313)</f>
        <v>0.005</v>
      </c>
      <c r="P314" s="56" t="n">
        <f aca="false">ABS(F314*O328)</f>
        <v>0</v>
      </c>
      <c r="Q314" s="56" t="n">
        <f aca="false">ABS(F315*P328)</f>
        <v>0.00199999964666669</v>
      </c>
      <c r="R314" s="56" t="n">
        <f aca="false">ABS(F316*Q328)</f>
        <v>0</v>
      </c>
      <c r="S314" s="55" t="s">
        <v>35</v>
      </c>
      <c r="T314" s="35" t="n">
        <v>0.005</v>
      </c>
      <c r="U314" s="35" t="n">
        <v>0</v>
      </c>
      <c r="V314" s="35" t="n">
        <v>0.00199999964666669</v>
      </c>
      <c r="W314" s="35" t="n">
        <v>0</v>
      </c>
      <c r="X314" s="32" t="s">
        <v>35</v>
      </c>
      <c r="Y314" s="35" t="n">
        <f aca="false">F320+F327</f>
        <v>-7.57341576506955E-005</v>
      </c>
      <c r="Z314" s="57" t="n">
        <f aca="false">F321*O328</f>
        <v>0</v>
      </c>
      <c r="AA314" s="57" t="n">
        <f aca="false">F322*P328</f>
        <v>-1.18701680370944E-005</v>
      </c>
      <c r="AB314" s="57" t="n">
        <f aca="false">F323*Q328</f>
        <v>0</v>
      </c>
    </row>
    <row r="315" customFormat="false" ht="15" hidden="false" customHeight="true" outlineLevel="0" collapsed="false">
      <c r="A315" s="61" t="s">
        <v>98</v>
      </c>
      <c r="B315" s="60" t="s">
        <v>99</v>
      </c>
      <c r="C315" s="47" t="n">
        <v>0</v>
      </c>
      <c r="E315" s="55" t="s">
        <v>100</v>
      </c>
      <c r="F315" s="34" t="n">
        <f aca="false">CS_10!B49</f>
        <v>9.99999990000001E-005</v>
      </c>
      <c r="G315" s="55" t="s">
        <v>100</v>
      </c>
      <c r="H315" s="34" t="n">
        <f aca="false">CS_10!B56</f>
        <v>0</v>
      </c>
      <c r="N315" s="41" t="s">
        <v>101</v>
      </c>
      <c r="O315" s="57" t="n">
        <v>1</v>
      </c>
      <c r="P315" s="57" t="n">
        <v>1</v>
      </c>
      <c r="Q315" s="57" t="n">
        <v>1</v>
      </c>
      <c r="R315" s="57" t="n">
        <v>1</v>
      </c>
      <c r="S315" s="41" t="s">
        <v>101</v>
      </c>
      <c r="T315" s="35" t="n">
        <v>1</v>
      </c>
      <c r="U315" s="35" t="n">
        <v>1</v>
      </c>
      <c r="V315" s="35" t="n">
        <v>1</v>
      </c>
      <c r="W315" s="35" t="n">
        <v>1</v>
      </c>
      <c r="X315" s="41" t="s">
        <v>101</v>
      </c>
      <c r="Y315" s="57" t="n">
        <v>1</v>
      </c>
      <c r="Z315" s="57" t="n">
        <v>1</v>
      </c>
      <c r="AA315" s="57" t="n">
        <v>1</v>
      </c>
      <c r="AB315" s="57" t="n">
        <v>1</v>
      </c>
    </row>
    <row r="316" customFormat="false" ht="15" hidden="false" customHeight="true" outlineLevel="0" collapsed="false">
      <c r="A316" s="61"/>
      <c r="B316" s="60" t="s">
        <v>102</v>
      </c>
      <c r="C316" s="47" t="n">
        <v>0</v>
      </c>
      <c r="E316" s="55" t="s">
        <v>104</v>
      </c>
      <c r="F316" s="34" t="n">
        <f aca="false">CS_10!B50</f>
        <v>0.0001</v>
      </c>
      <c r="G316" s="55" t="s">
        <v>104</v>
      </c>
      <c r="H316" s="34" t="n">
        <f aca="false">CS_10!B57</f>
        <v>0</v>
      </c>
      <c r="X316" s="41"/>
    </row>
    <row r="317" customFormat="false" ht="15" hidden="false" customHeight="true" outlineLevel="0" collapsed="false">
      <c r="A317" s="61"/>
      <c r="B317" s="60" t="s">
        <v>105</v>
      </c>
      <c r="C317" s="47" t="n">
        <v>10</v>
      </c>
      <c r="E317" s="1" t="s">
        <v>193</v>
      </c>
      <c r="F317" s="1"/>
      <c r="G317" s="1" t="s">
        <v>107</v>
      </c>
      <c r="H317" s="1"/>
      <c r="N317" s="11" t="s">
        <v>110</v>
      </c>
      <c r="O317" s="9"/>
      <c r="P317" s="54"/>
      <c r="Q317" s="9"/>
      <c r="R317" s="9"/>
      <c r="S317" s="11" t="s">
        <v>39</v>
      </c>
      <c r="X317" s="41"/>
      <c r="Y317" s="11" t="s">
        <v>111</v>
      </c>
    </row>
    <row r="318" customFormat="false" ht="15" hidden="false" customHeight="true" outlineLevel="0" collapsed="false">
      <c r="A318" s="61"/>
      <c r="B318" s="60" t="s">
        <v>112</v>
      </c>
      <c r="C318" s="65" t="n">
        <v>0</v>
      </c>
      <c r="E318" s="55" t="s">
        <v>33</v>
      </c>
      <c r="F318" s="35" t="n">
        <f aca="false">E334/IF(H318=0,1000000000000,H318)</f>
        <v>0</v>
      </c>
      <c r="G318" s="55" t="s">
        <v>113</v>
      </c>
      <c r="H318" s="57" t="n">
        <f aca="false">CS_10!B25</f>
        <v>6785.84013175395</v>
      </c>
      <c r="O318" s="0" t="s">
        <v>42</v>
      </c>
      <c r="P318" s="31" t="s">
        <v>43</v>
      </c>
      <c r="Q318" s="17" t="s">
        <v>44</v>
      </c>
      <c r="R318" s="17" t="s">
        <v>45</v>
      </c>
      <c r="T318" s="0" t="s">
        <v>42</v>
      </c>
      <c r="U318" s="31" t="s">
        <v>43</v>
      </c>
      <c r="V318" s="17" t="s">
        <v>44</v>
      </c>
      <c r="W318" s="17" t="s">
        <v>45</v>
      </c>
      <c r="X318" s="41"/>
      <c r="Y318" s="0" t="s">
        <v>42</v>
      </c>
      <c r="Z318" s="31" t="s">
        <v>43</v>
      </c>
      <c r="AA318" s="17" t="s">
        <v>44</v>
      </c>
      <c r="AB318" s="17" t="s">
        <v>45</v>
      </c>
    </row>
    <row r="319" customFormat="false" ht="15" hidden="false" customHeight="true" outlineLevel="0" collapsed="false">
      <c r="A319" s="112" t="s">
        <v>194</v>
      </c>
      <c r="B319" s="60" t="s">
        <v>115</v>
      </c>
      <c r="C319" s="47" t="n">
        <v>0</v>
      </c>
      <c r="E319" s="55" t="s">
        <v>34</v>
      </c>
      <c r="F319" s="35" t="n">
        <f aca="false">E335/IF(H319=0,1000000000000,H319)</f>
        <v>0</v>
      </c>
      <c r="G319" s="55" t="s">
        <v>116</v>
      </c>
      <c r="H319" s="57" t="n">
        <f aca="false">CS_10!B26</f>
        <v>2588000</v>
      </c>
      <c r="N319" s="55" t="s">
        <v>33</v>
      </c>
      <c r="O319" s="56" t="n">
        <f aca="false">H311</f>
        <v>0</v>
      </c>
      <c r="P319" s="56" t="n">
        <f aca="false">H314*O326</f>
        <v>0</v>
      </c>
      <c r="Q319" s="56" t="n">
        <f aca="false">H315*P326</f>
        <v>-0</v>
      </c>
      <c r="R319" s="56" t="n">
        <f aca="false">H316*Q326</f>
        <v>-0</v>
      </c>
      <c r="S319" s="55" t="s">
        <v>33</v>
      </c>
      <c r="T319" s="56" t="n">
        <f aca="false" t="array" ref="T319:T322">MMULT(T330:W333,O319:O322)</f>
        <v>0</v>
      </c>
      <c r="U319" s="56" t="n">
        <f aca="false" t="array" ref="U319:U322">MMULT(T330:W333,P319:P322)</f>
        <v>0</v>
      </c>
      <c r="V319" s="56" t="n">
        <f aca="false" t="array" ref="V319:V322">MMULT(T330:W333,Q319:Q322)</f>
        <v>0</v>
      </c>
      <c r="W319" s="56" t="n">
        <f aca="false" t="array" ref="W319:W322">MMULT(T330:W333,R319:R322)</f>
        <v>0</v>
      </c>
      <c r="X319" s="32" t="s">
        <v>33</v>
      </c>
      <c r="Y319" s="57" t="n">
        <f aca="false" t="array" ref="Y319:Y322">MMULT(T330:W333,Y312:Y315)</f>
        <v>0</v>
      </c>
      <c r="Z319" s="57" t="n">
        <f aca="false" t="array" ref="Z319:Z322">MMULT(T330:W333,Z312:Z315)</f>
        <v>0</v>
      </c>
      <c r="AA319" s="57" t="n">
        <f aca="false" t="array" ref="AA319:AA322">MMULT(T330:W333,AA312:AA315)</f>
        <v>-5.93508451199033E-009</v>
      </c>
      <c r="AB319" s="57" t="n">
        <f aca="false" t="array" ref="AB319:AB322">MMULT(T330:W333,AB312:AB315)</f>
        <v>0</v>
      </c>
    </row>
    <row r="320" customFormat="false" ht="15" hidden="false" customHeight="true" outlineLevel="0" collapsed="false">
      <c r="A320" s="112"/>
      <c r="B320" s="11" t="s">
        <v>117</v>
      </c>
      <c r="E320" s="55" t="s">
        <v>35</v>
      </c>
      <c r="F320" s="35" t="n">
        <f aca="false">E336/IF(H320=0,1000000000000,H320)</f>
        <v>-7.57341576506955E-005</v>
      </c>
      <c r="G320" s="55" t="s">
        <v>118</v>
      </c>
      <c r="H320" s="57" t="n">
        <f aca="false">CS_10!B27</f>
        <v>2588000</v>
      </c>
      <c r="N320" s="55" t="s">
        <v>34</v>
      </c>
      <c r="O320" s="56" t="n">
        <f aca="false">H312</f>
        <v>0</v>
      </c>
      <c r="P320" s="56" t="n">
        <f aca="false">H314*O327</f>
        <v>0</v>
      </c>
      <c r="Q320" s="56" t="n">
        <f aca="false">H315*P327</f>
        <v>0</v>
      </c>
      <c r="R320" s="56" t="n">
        <f aca="false">H316*Q327</f>
        <v>0</v>
      </c>
      <c r="S320" s="55" t="s">
        <v>34</v>
      </c>
      <c r="T320" s="56" t="n">
        <v>0</v>
      </c>
      <c r="U320" s="56" t="n">
        <v>0</v>
      </c>
      <c r="V320" s="56" t="n">
        <v>0</v>
      </c>
      <c r="W320" s="56" t="n">
        <v>0</v>
      </c>
      <c r="X320" s="32" t="s">
        <v>34</v>
      </c>
      <c r="Y320" s="57" t="n">
        <v>0</v>
      </c>
      <c r="Z320" s="57" t="n">
        <v>0</v>
      </c>
      <c r="AA320" s="57" t="n">
        <v>0</v>
      </c>
      <c r="AB320" s="57" t="n">
        <v>0</v>
      </c>
    </row>
    <row r="321" customFormat="false" ht="15" hidden="false" customHeight="true" outlineLevel="0" collapsed="false">
      <c r="A321" s="112"/>
      <c r="B321" s="52" t="s">
        <v>119</v>
      </c>
      <c r="C321" s="71" t="n">
        <f aca="false">AC330+C317</f>
        <v>30</v>
      </c>
      <c r="E321" s="55" t="s">
        <v>97</v>
      </c>
      <c r="F321" s="35" t="n">
        <f aca="false">E338/IF(H321=0,1000000000000,H321)</f>
        <v>0</v>
      </c>
      <c r="G321" s="55" t="s">
        <v>120</v>
      </c>
      <c r="H321" s="57" t="n">
        <f aca="false">CS_10!B29</f>
        <v>6874375000</v>
      </c>
      <c r="N321" s="55" t="s">
        <v>35</v>
      </c>
      <c r="O321" s="56" t="n">
        <f aca="false">H313</f>
        <v>0</v>
      </c>
      <c r="P321" s="56" t="n">
        <f aca="false">H314*O328</f>
        <v>0</v>
      </c>
      <c r="Q321" s="56" t="n">
        <f aca="false">H315*P328</f>
        <v>-0</v>
      </c>
      <c r="R321" s="56" t="n">
        <f aca="false">H316*Q328</f>
        <v>0</v>
      </c>
      <c r="S321" s="55" t="s">
        <v>35</v>
      </c>
      <c r="T321" s="56" t="n">
        <v>0</v>
      </c>
      <c r="U321" s="56" t="n">
        <v>0</v>
      </c>
      <c r="V321" s="56" t="n">
        <v>0</v>
      </c>
      <c r="W321" s="56" t="n">
        <v>0</v>
      </c>
      <c r="X321" s="32" t="s">
        <v>35</v>
      </c>
      <c r="Y321" s="57" t="n">
        <v>-7.57341576506955E-005</v>
      </c>
      <c r="Z321" s="57" t="n">
        <v>0</v>
      </c>
      <c r="AA321" s="57" t="n">
        <v>-1.18701680370944E-005</v>
      </c>
      <c r="AB321" s="57" t="n">
        <v>0</v>
      </c>
    </row>
    <row r="322" customFormat="false" ht="15" hidden="false" customHeight="true" outlineLevel="0" collapsed="false">
      <c r="A322" s="112"/>
      <c r="B322" s="52" t="s">
        <v>122</v>
      </c>
      <c r="C322" s="71" t="n">
        <f aca="false">AC331+C318</f>
        <v>0</v>
      </c>
      <c r="E322" s="55" t="s">
        <v>100</v>
      </c>
      <c r="F322" s="35" t="n">
        <f aca="false">E339/IF(H322=0,1000000000000,H322)</f>
        <v>5.93508500772798E-007</v>
      </c>
      <c r="G322" s="55" t="s">
        <v>123</v>
      </c>
      <c r="H322" s="57" t="n">
        <f aca="false">CS_10!B30</f>
        <v>6604791666.66667</v>
      </c>
      <c r="N322" s="41" t="s">
        <v>101</v>
      </c>
      <c r="O322" s="57" t="n">
        <v>1</v>
      </c>
      <c r="P322" s="57" t="n">
        <v>1</v>
      </c>
      <c r="Q322" s="57" t="n">
        <v>1</v>
      </c>
      <c r="R322" s="57" t="n">
        <v>1</v>
      </c>
      <c r="S322" s="41" t="s">
        <v>101</v>
      </c>
      <c r="T322" s="57" t="n">
        <v>1</v>
      </c>
      <c r="U322" s="57" t="n">
        <v>1</v>
      </c>
      <c r="V322" s="57" t="n">
        <v>1</v>
      </c>
      <c r="W322" s="57" t="n">
        <v>1</v>
      </c>
      <c r="X322" s="41" t="s">
        <v>101</v>
      </c>
      <c r="Y322" s="57" t="n">
        <v>1</v>
      </c>
      <c r="Z322" s="57" t="n">
        <v>1</v>
      </c>
      <c r="AA322" s="57" t="n">
        <v>1</v>
      </c>
      <c r="AB322" s="57" t="n">
        <v>1</v>
      </c>
    </row>
    <row r="323" customFormat="false" ht="15" hidden="false" customHeight="true" outlineLevel="0" collapsed="false">
      <c r="A323" s="112"/>
      <c r="B323" s="52" t="s">
        <v>124</v>
      </c>
      <c r="C323" s="71" t="n">
        <f aca="false">AC332+C319</f>
        <v>0</v>
      </c>
      <c r="E323" s="55" t="s">
        <v>104</v>
      </c>
      <c r="F323" s="35" t="n">
        <f aca="false">E340/IF(H323=0,1000000000000,H323)</f>
        <v>0</v>
      </c>
      <c r="G323" s="55" t="s">
        <v>125</v>
      </c>
      <c r="H323" s="57" t="n">
        <f aca="false">CS_10!B31</f>
        <v>6604791666.66667</v>
      </c>
      <c r="AB323" s="73"/>
      <c r="AU323" s="73" t="s">
        <v>126</v>
      </c>
      <c r="AZ323" s="73" t="s">
        <v>127</v>
      </c>
      <c r="BE323" s="73" t="s">
        <v>128</v>
      </c>
      <c r="BJ323" s="73" t="s">
        <v>128</v>
      </c>
    </row>
    <row r="324" customFormat="false" ht="31.2" hidden="false" customHeight="false" outlineLevel="0" collapsed="false">
      <c r="A324" s="112"/>
      <c r="B324" s="74" t="s">
        <v>168</v>
      </c>
      <c r="E324" s="1" t="s">
        <v>130</v>
      </c>
      <c r="F324" s="1"/>
      <c r="G324" s="75" t="s">
        <v>131</v>
      </c>
      <c r="H324" s="75"/>
      <c r="I324" s="75"/>
      <c r="J324" s="75"/>
      <c r="K324" s="75"/>
      <c r="L324" s="75"/>
      <c r="M324" s="3" t="s">
        <v>132</v>
      </c>
      <c r="N324" s="76" t="s">
        <v>133</v>
      </c>
      <c r="AE324" s="44" t="s">
        <v>134</v>
      </c>
      <c r="AF324" s="79" t="n">
        <v>0.001</v>
      </c>
      <c r="AG324" s="44"/>
      <c r="AH324" s="44"/>
      <c r="AI324" s="44"/>
      <c r="AJ324" s="44" t="s">
        <v>135</v>
      </c>
      <c r="AK324" s="80" t="n">
        <v>0.001</v>
      </c>
      <c r="AL324" s="31"/>
      <c r="AM324" s="31"/>
      <c r="AN324" s="44"/>
      <c r="AO324" s="44" t="s">
        <v>136</v>
      </c>
      <c r="AP324" s="79" t="n">
        <v>0.001</v>
      </c>
      <c r="AU324" s="31" t="s">
        <v>18</v>
      </c>
      <c r="AV324" s="31" t="s">
        <v>137</v>
      </c>
      <c r="AW324" s="31" t="s">
        <v>138</v>
      </c>
      <c r="AZ324" s="31" t="s">
        <v>18</v>
      </c>
      <c r="BA324" s="31" t="s">
        <v>137</v>
      </c>
      <c r="BB324" s="31" t="s">
        <v>138</v>
      </c>
      <c r="BE324" s="31" t="s">
        <v>18</v>
      </c>
      <c r="BF324" s="31" t="s">
        <v>137</v>
      </c>
      <c r="BG324" s="31" t="s">
        <v>138</v>
      </c>
    </row>
    <row r="325" customFormat="false" ht="15" hidden="false" customHeight="true" outlineLevel="0" collapsed="false">
      <c r="A325" s="112"/>
      <c r="B325" s="81" t="s">
        <v>139</v>
      </c>
      <c r="C325" s="59" t="n">
        <f aca="false" t="array" ref="C325:C328">MMULT(O297:R300,E301:E304)</f>
        <v>0</v>
      </c>
      <c r="E325" s="55" t="s">
        <v>33</v>
      </c>
      <c r="F325" s="35" t="n">
        <f aca="false" t="array" ref="F325:F330">MMULT(G325:L330,M325:M330)</f>
        <v>0</v>
      </c>
      <c r="G325" s="83" t="n">
        <f aca="false">CS_10!G5</f>
        <v>0</v>
      </c>
      <c r="H325" s="83" t="n">
        <f aca="false">CS_10!H5</f>
        <v>0</v>
      </c>
      <c r="I325" s="83" t="n">
        <f aca="false">CS_10!I5</f>
        <v>0</v>
      </c>
      <c r="J325" s="83" t="n">
        <f aca="false">CS_10!J5</f>
        <v>0</v>
      </c>
      <c r="K325" s="83" t="n">
        <f aca="false">CS_10!K5</f>
        <v>0</v>
      </c>
      <c r="L325" s="83" t="n">
        <f aca="false">CS_10!L5</f>
        <v>0</v>
      </c>
      <c r="M325" s="57" t="n">
        <f aca="false">C325</f>
        <v>0</v>
      </c>
      <c r="O325" s="31" t="s">
        <v>140</v>
      </c>
      <c r="P325" s="17" t="s">
        <v>141</v>
      </c>
      <c r="Q325" s="17" t="s">
        <v>142</v>
      </c>
      <c r="R325" s="17"/>
      <c r="S325" s="17"/>
      <c r="T325" s="17"/>
      <c r="U325" s="17"/>
      <c r="V325" s="17"/>
      <c r="W325" s="17"/>
      <c r="X325" s="17"/>
      <c r="Y325" s="17"/>
      <c r="Z325" s="17"/>
      <c r="AA325" s="17"/>
      <c r="AB325" s="0" t="s">
        <v>143</v>
      </c>
      <c r="AC325" s="57" t="n">
        <f aca="false">C310</f>
        <v>20</v>
      </c>
      <c r="AD325" s="57"/>
      <c r="AE325" s="62" t="n">
        <v>1</v>
      </c>
      <c r="AF325" s="35" t="n">
        <v>0</v>
      </c>
      <c r="AG325" s="35" t="n">
        <v>0</v>
      </c>
      <c r="AH325" s="63" t="n">
        <v>0</v>
      </c>
      <c r="AI325" s="86"/>
      <c r="AJ325" s="35" t="n">
        <f aca="false">COS(AK324)</f>
        <v>0.999999500000042</v>
      </c>
      <c r="AK325" s="35" t="n">
        <v>0</v>
      </c>
      <c r="AL325" s="35" t="n">
        <f aca="false">-AJ327</f>
        <v>0.000999999833333342</v>
      </c>
      <c r="AM325" s="35" t="n">
        <v>0</v>
      </c>
      <c r="AN325" s="86"/>
      <c r="AO325" s="35" t="n">
        <f aca="false">COS(AP324)</f>
        <v>0.999999500000042</v>
      </c>
      <c r="AP325" s="35" t="n">
        <f aca="false">-AO326</f>
        <v>-0.000999999833333342</v>
      </c>
      <c r="AQ325" s="35" t="n">
        <v>0</v>
      </c>
      <c r="AR325" s="35" t="n">
        <v>0</v>
      </c>
      <c r="AS325" s="86"/>
      <c r="AT325" s="57" t="s">
        <v>144</v>
      </c>
      <c r="AU325" s="35" t="n">
        <f aca="false" t="array" ref="AU325:AU328">MMULT(AE325:AH328,$AC325:$AC328)</f>
        <v>20</v>
      </c>
      <c r="AV325" s="35" t="n">
        <f aca="false">AU325-$AC325</f>
        <v>0</v>
      </c>
      <c r="AW325" s="35" t="n">
        <f aca="false">AV325/AF324</f>
        <v>0</v>
      </c>
      <c r="AX325" s="86"/>
      <c r="AY325" s="57" t="s">
        <v>144</v>
      </c>
      <c r="AZ325" s="35" t="n">
        <f aca="false" t="array" ref="AZ325:AZ328">MMULT(AJ325:AM328,$AC325:$AC328)</f>
        <v>19.9999900000008</v>
      </c>
      <c r="BA325" s="35" t="n">
        <f aca="false">AZ325-$AC325</f>
        <v>-9.99999916473371E-006</v>
      </c>
      <c r="BB325" s="35" t="n">
        <f aca="false">BA325/AK324</f>
        <v>-0.00999999916473371</v>
      </c>
      <c r="BC325" s="86"/>
      <c r="BD325" s="57" t="s">
        <v>144</v>
      </c>
      <c r="BE325" s="35" t="n">
        <f aca="false" t="array" ref="BE325:BE328">MMULT(AO325:AR328,$AC325:$AC328)</f>
        <v>19.9999900000008</v>
      </c>
      <c r="BF325" s="35" t="n">
        <f aca="false">BE325-$AC325</f>
        <v>-9.99999916473371E-006</v>
      </c>
      <c r="BG325" s="35" t="n">
        <f aca="false">BF325/AP324</f>
        <v>-0.00999999916473371</v>
      </c>
    </row>
    <row r="326" customFormat="false" ht="15.6" hidden="false" customHeight="false" outlineLevel="0" collapsed="false">
      <c r="A326" s="112"/>
      <c r="B326" s="81" t="s">
        <v>145</v>
      </c>
      <c r="C326" s="59" t="n">
        <v>0</v>
      </c>
      <c r="E326" s="55" t="s">
        <v>34</v>
      </c>
      <c r="F326" s="35" t="n">
        <v>0</v>
      </c>
      <c r="G326" s="83" t="n">
        <f aca="false">CS_10!G6</f>
        <v>0</v>
      </c>
      <c r="H326" s="83" t="n">
        <f aca="false">CS_10!H6</f>
        <v>0</v>
      </c>
      <c r="I326" s="83" t="n">
        <f aca="false">CS_10!I6</f>
        <v>0</v>
      </c>
      <c r="J326" s="83" t="n">
        <f aca="false">CS_10!J6</f>
        <v>0</v>
      </c>
      <c r="K326" s="83" t="n">
        <f aca="false">CS_10!K6</f>
        <v>0</v>
      </c>
      <c r="L326" s="83" t="n">
        <f aca="false">CS_10!L6</f>
        <v>0</v>
      </c>
      <c r="M326" s="57" t="n">
        <f aca="false">C326</f>
        <v>0</v>
      </c>
      <c r="N326" s="55" t="s">
        <v>33</v>
      </c>
      <c r="O326" s="71" t="n">
        <f aca="false">AW325</f>
        <v>0</v>
      </c>
      <c r="P326" s="71" t="n">
        <f aca="false">BB325</f>
        <v>-0.00999999916473371</v>
      </c>
      <c r="Q326" s="71" t="n">
        <f aca="false">BG325</f>
        <v>-0.00999999916473371</v>
      </c>
      <c r="AB326" s="0" t="s">
        <v>146</v>
      </c>
      <c r="AC326" s="57" t="n">
        <f aca="false">C311</f>
        <v>0</v>
      </c>
      <c r="AD326" s="57"/>
      <c r="AE326" s="62" t="n">
        <v>0</v>
      </c>
      <c r="AF326" s="35" t="n">
        <f aca="false">COS(AF324)</f>
        <v>0.999999500000042</v>
      </c>
      <c r="AG326" s="35" t="n">
        <f aca="false">-SIN(AF324)</f>
        <v>-0.000999999833333342</v>
      </c>
      <c r="AH326" s="63" t="n">
        <v>0</v>
      </c>
      <c r="AI326" s="86"/>
      <c r="AJ326" s="35" t="n">
        <v>0</v>
      </c>
      <c r="AK326" s="35" t="n">
        <v>1</v>
      </c>
      <c r="AL326" s="35" t="n">
        <v>0</v>
      </c>
      <c r="AM326" s="35" t="n">
        <v>0</v>
      </c>
      <c r="AN326" s="86"/>
      <c r="AO326" s="35" t="n">
        <f aca="false">SIN(AP324)</f>
        <v>0.000999999833333342</v>
      </c>
      <c r="AP326" s="35" t="n">
        <f aca="false">AO325</f>
        <v>0.999999500000042</v>
      </c>
      <c r="AQ326" s="35" t="n">
        <v>0</v>
      </c>
      <c r="AR326" s="35" t="n">
        <v>0</v>
      </c>
      <c r="AS326" s="86"/>
      <c r="AT326" s="57" t="s">
        <v>147</v>
      </c>
      <c r="AU326" s="35" t="n">
        <v>0</v>
      </c>
      <c r="AV326" s="35" t="n">
        <f aca="false">AU326-$AC326</f>
        <v>0</v>
      </c>
      <c r="AW326" s="35" t="n">
        <f aca="false">AV326/AF324</f>
        <v>0</v>
      </c>
      <c r="AX326" s="86"/>
      <c r="AY326" s="57" t="s">
        <v>147</v>
      </c>
      <c r="AZ326" s="35" t="n">
        <v>0</v>
      </c>
      <c r="BA326" s="35" t="n">
        <f aca="false">AZ326-$AC326</f>
        <v>0</v>
      </c>
      <c r="BB326" s="35" t="n">
        <f aca="false">BA326/AK324</f>
        <v>0</v>
      </c>
      <c r="BC326" s="86"/>
      <c r="BD326" s="57" t="s">
        <v>147</v>
      </c>
      <c r="BE326" s="35" t="n">
        <v>0.0199999966666668</v>
      </c>
      <c r="BF326" s="35" t="n">
        <f aca="false">BE326-$AC326</f>
        <v>0.0199999966666668</v>
      </c>
      <c r="BG326" s="35" t="n">
        <f aca="false">BF326/AP324</f>
        <v>19.9999966666668</v>
      </c>
    </row>
    <row r="327" customFormat="false" ht="15.6" hidden="false" customHeight="false" outlineLevel="0" collapsed="false">
      <c r="A327" s="112"/>
      <c r="B327" s="81" t="s">
        <v>148</v>
      </c>
      <c r="C327" s="59" t="n">
        <v>-196</v>
      </c>
      <c r="E327" s="55" t="s">
        <v>35</v>
      </c>
      <c r="F327" s="35" t="n">
        <v>0</v>
      </c>
      <c r="G327" s="83" t="n">
        <f aca="false">CS_10!G7</f>
        <v>0</v>
      </c>
      <c r="H327" s="83" t="n">
        <f aca="false">CS_10!H7</f>
        <v>0</v>
      </c>
      <c r="I327" s="83" t="n">
        <f aca="false">CS_10!I7</f>
        <v>0</v>
      </c>
      <c r="J327" s="83" t="n">
        <f aca="false">CS_10!J7</f>
        <v>0</v>
      </c>
      <c r="K327" s="83" t="n">
        <f aca="false">CS_10!K7</f>
        <v>0</v>
      </c>
      <c r="L327" s="83" t="n">
        <f aca="false">CS_10!L7</f>
        <v>0</v>
      </c>
      <c r="M327" s="57" t="n">
        <f aca="false">C327</f>
        <v>-196</v>
      </c>
      <c r="N327" s="55" t="s">
        <v>34</v>
      </c>
      <c r="O327" s="71" t="n">
        <f aca="false">AW326</f>
        <v>0</v>
      </c>
      <c r="P327" s="71" t="n">
        <f aca="false">BB326</f>
        <v>0</v>
      </c>
      <c r="Q327" s="71" t="n">
        <f aca="false">BG326</f>
        <v>19.9999966666668</v>
      </c>
      <c r="AB327" s="0" t="s">
        <v>149</v>
      </c>
      <c r="AC327" s="57" t="n">
        <f aca="false">C312</f>
        <v>0</v>
      </c>
      <c r="AD327" s="57"/>
      <c r="AE327" s="62" t="n">
        <v>0</v>
      </c>
      <c r="AF327" s="35" t="n">
        <f aca="false">-AG326</f>
        <v>0.000999999833333342</v>
      </c>
      <c r="AG327" s="35" t="n">
        <f aca="false">AF326</f>
        <v>0.999999500000042</v>
      </c>
      <c r="AH327" s="63" t="n">
        <v>0</v>
      </c>
      <c r="AI327" s="86"/>
      <c r="AJ327" s="35" t="n">
        <f aca="false">-SIN(AK324)</f>
        <v>-0.000999999833333342</v>
      </c>
      <c r="AK327" s="35" t="n">
        <v>0</v>
      </c>
      <c r="AL327" s="35" t="n">
        <f aca="false">COS(AK324)</f>
        <v>0.999999500000042</v>
      </c>
      <c r="AM327" s="35" t="n">
        <v>0</v>
      </c>
      <c r="AN327" s="86"/>
      <c r="AO327" s="35" t="n">
        <v>0</v>
      </c>
      <c r="AP327" s="35" t="n">
        <v>0</v>
      </c>
      <c r="AQ327" s="35" t="n">
        <v>1</v>
      </c>
      <c r="AR327" s="35" t="n">
        <v>0</v>
      </c>
      <c r="AS327" s="86"/>
      <c r="AT327" s="57" t="s">
        <v>150</v>
      </c>
      <c r="AU327" s="35" t="n">
        <v>0</v>
      </c>
      <c r="AV327" s="35" t="n">
        <f aca="false">AU327-$AC327</f>
        <v>0</v>
      </c>
      <c r="AW327" s="35" t="n">
        <f aca="false">AV327/AF324</f>
        <v>0</v>
      </c>
      <c r="AX327" s="86"/>
      <c r="AY327" s="57" t="s">
        <v>150</v>
      </c>
      <c r="AZ327" s="35" t="n">
        <v>-0.0199999966666668</v>
      </c>
      <c r="BA327" s="35" t="n">
        <f aca="false">AZ327-$AC327</f>
        <v>-0.0199999966666668</v>
      </c>
      <c r="BB327" s="35" t="n">
        <f aca="false">BA327/AK324</f>
        <v>-19.9999966666668</v>
      </c>
      <c r="BC327" s="86"/>
      <c r="BD327" s="57" t="s">
        <v>150</v>
      </c>
      <c r="BE327" s="35" t="n">
        <v>0</v>
      </c>
      <c r="BF327" s="35" t="n">
        <f aca="false">BE327-$AC327</f>
        <v>0</v>
      </c>
      <c r="BG327" s="35" t="n">
        <f aca="false">BF327/AP324</f>
        <v>0</v>
      </c>
    </row>
    <row r="328" customFormat="false" ht="15" hidden="false" customHeight="true" outlineLevel="0" collapsed="false">
      <c r="A328" s="112"/>
      <c r="B328" s="81" t="s">
        <v>101</v>
      </c>
      <c r="C328" s="59" t="n">
        <v>1</v>
      </c>
      <c r="E328" s="55" t="s">
        <v>97</v>
      </c>
      <c r="F328" s="35" t="n">
        <v>0</v>
      </c>
      <c r="G328" s="83" t="n">
        <f aca="false">CS_10!G8</f>
        <v>0</v>
      </c>
      <c r="H328" s="83" t="n">
        <f aca="false">CS_10!H8</f>
        <v>0</v>
      </c>
      <c r="I328" s="83" t="n">
        <f aca="false">CS_10!I8</f>
        <v>0</v>
      </c>
      <c r="J328" s="83" t="n">
        <f aca="false">CS_10!J8</f>
        <v>0</v>
      </c>
      <c r="K328" s="83" t="n">
        <f aca="false">CS_10!K8</f>
        <v>0</v>
      </c>
      <c r="L328" s="83" t="n">
        <f aca="false">CS_10!L8</f>
        <v>0</v>
      </c>
      <c r="M328" s="57" t="n">
        <f aca="false">C329</f>
        <v>0</v>
      </c>
      <c r="N328" s="55" t="s">
        <v>35</v>
      </c>
      <c r="O328" s="71" t="n">
        <f aca="false">AW327</f>
        <v>0</v>
      </c>
      <c r="P328" s="71" t="n">
        <f aca="false">BB327</f>
        <v>-19.9999966666668</v>
      </c>
      <c r="Q328" s="71" t="n">
        <f aca="false">BG327</f>
        <v>0</v>
      </c>
      <c r="AC328" s="57" t="n">
        <v>1</v>
      </c>
      <c r="AD328" s="57"/>
      <c r="AE328" s="62" t="n">
        <v>0</v>
      </c>
      <c r="AF328" s="35" t="n">
        <v>0</v>
      </c>
      <c r="AG328" s="35" t="n">
        <v>0</v>
      </c>
      <c r="AH328" s="63" t="n">
        <v>1</v>
      </c>
      <c r="AI328" s="86"/>
      <c r="AJ328" s="35" t="n">
        <v>0</v>
      </c>
      <c r="AK328" s="35" t="n">
        <v>0</v>
      </c>
      <c r="AL328" s="35" t="n">
        <v>0</v>
      </c>
      <c r="AM328" s="35" t="n">
        <v>1</v>
      </c>
      <c r="AN328" s="86"/>
      <c r="AO328" s="35" t="n">
        <v>0</v>
      </c>
      <c r="AP328" s="35" t="n">
        <v>0</v>
      </c>
      <c r="AQ328" s="35" t="n">
        <v>0</v>
      </c>
      <c r="AR328" s="35" t="n">
        <v>1</v>
      </c>
      <c r="AS328" s="86"/>
      <c r="AT328" s="57"/>
      <c r="AU328" s="35" t="n">
        <v>1</v>
      </c>
      <c r="AV328" s="35"/>
      <c r="AW328" s="35"/>
      <c r="AX328" s="86"/>
      <c r="AY328" s="57"/>
      <c r="AZ328" s="35" t="n">
        <v>1</v>
      </c>
      <c r="BA328" s="35"/>
      <c r="BB328" s="35"/>
      <c r="BC328" s="86"/>
      <c r="BD328" s="57"/>
      <c r="BE328" s="35" t="n">
        <v>1</v>
      </c>
      <c r="BF328" s="35"/>
      <c r="BG328" s="35"/>
    </row>
    <row r="329" customFormat="false" ht="15" hidden="false" customHeight="true" outlineLevel="0" collapsed="false">
      <c r="A329" s="112"/>
      <c r="B329" s="81" t="s">
        <v>151</v>
      </c>
      <c r="C329" s="59" t="n">
        <f aca="false" t="array" ref="C329:C332">MMULT(O297:R300,E305:E308)</f>
        <v>0</v>
      </c>
      <c r="E329" s="55" t="s">
        <v>100</v>
      </c>
      <c r="F329" s="35" t="n">
        <v>0</v>
      </c>
      <c r="G329" s="83" t="n">
        <f aca="false">CS_10!G9</f>
        <v>0</v>
      </c>
      <c r="H329" s="83" t="n">
        <f aca="false">CS_10!H9</f>
        <v>0</v>
      </c>
      <c r="I329" s="83" t="n">
        <f aca="false">CS_10!I9</f>
        <v>0</v>
      </c>
      <c r="J329" s="83" t="n">
        <f aca="false">CS_10!J9</f>
        <v>0</v>
      </c>
      <c r="K329" s="83" t="n">
        <f aca="false">CS_10!K9</f>
        <v>0</v>
      </c>
      <c r="L329" s="83" t="n">
        <f aca="false">CS_10!L9</f>
        <v>0</v>
      </c>
      <c r="M329" s="57" t="n">
        <f aca="false">C330</f>
        <v>1960</v>
      </c>
      <c r="O329" s="89" t="s">
        <v>152</v>
      </c>
      <c r="S329" s="0" t="n">
        <v>1</v>
      </c>
      <c r="T329" s="89" t="s">
        <v>153</v>
      </c>
      <c r="AE329" s="0" t="s">
        <v>154</v>
      </c>
      <c r="AJ329" s="0" t="s">
        <v>155</v>
      </c>
      <c r="AO329" s="0" t="s">
        <v>156</v>
      </c>
    </row>
    <row r="330" customFormat="false" ht="15" hidden="false" customHeight="true" outlineLevel="0" collapsed="false">
      <c r="A330" s="112"/>
      <c r="B330" s="81" t="s">
        <v>157</v>
      </c>
      <c r="C330" s="59" t="n">
        <v>1960</v>
      </c>
      <c r="E330" s="55" t="s">
        <v>104</v>
      </c>
      <c r="F330" s="35" t="n">
        <v>0</v>
      </c>
      <c r="G330" s="83" t="n">
        <f aca="false">CS_10!G10</f>
        <v>0</v>
      </c>
      <c r="H330" s="83" t="n">
        <f aca="false">CS_10!H10</f>
        <v>0</v>
      </c>
      <c r="I330" s="83" t="n">
        <f aca="false">CS_10!I10</f>
        <v>0</v>
      </c>
      <c r="J330" s="83" t="n">
        <f aca="false">CS_10!J10</f>
        <v>0</v>
      </c>
      <c r="K330" s="83" t="n">
        <f aca="false">CS_10!K10</f>
        <v>0</v>
      </c>
      <c r="L330" s="83" t="n">
        <f aca="false">CS_10!L10</f>
        <v>0</v>
      </c>
      <c r="M330" s="57" t="n">
        <f aca="false">C331</f>
        <v>0</v>
      </c>
      <c r="O330" s="71" t="n">
        <f aca="false" t="array" ref="O330:R333">MMULT(AO330:AR333,MMULT(AJ330:AM333,AE330:AH333))</f>
        <v>1</v>
      </c>
      <c r="P330" s="71" t="n">
        <v>0</v>
      </c>
      <c r="Q330" s="71" t="n">
        <v>0</v>
      </c>
      <c r="R330" s="71" t="n">
        <v>0</v>
      </c>
      <c r="S330" s="90"/>
      <c r="T330" s="71" t="n">
        <f aca="false" t="array" ref="T330:W333">IF(A351=1,MMULT(T363:W366,O330:R333),T$363:W$366)</f>
        <v>1</v>
      </c>
      <c r="U330" s="71" t="n">
        <v>0</v>
      </c>
      <c r="V330" s="71" t="n">
        <v>0</v>
      </c>
      <c r="W330" s="71" t="n">
        <v>0</v>
      </c>
      <c r="X330" s="71"/>
      <c r="Y330" s="71"/>
      <c r="Z330" s="71"/>
      <c r="AA330" s="71"/>
      <c r="AB330" s="0" t="s">
        <v>158</v>
      </c>
      <c r="AC330" s="57" t="n">
        <f aca="false" t="array" ref="AC330:AC333">MMULT(O330:R333,AC325:AC328)</f>
        <v>20</v>
      </c>
      <c r="AD330" s="57"/>
      <c r="AE330" s="91" t="n">
        <v>1</v>
      </c>
      <c r="AF330" s="57" t="n">
        <v>0</v>
      </c>
      <c r="AG330" s="57" t="n">
        <v>0</v>
      </c>
      <c r="AH330" s="92" t="n">
        <v>0</v>
      </c>
      <c r="AJ330" s="91" t="n">
        <f aca="false">COS(PI()*C315/180)</f>
        <v>1</v>
      </c>
      <c r="AK330" s="57" t="n">
        <v>0</v>
      </c>
      <c r="AL330" s="57" t="n">
        <f aca="false">SIN(PI()*C315/180)</f>
        <v>0</v>
      </c>
      <c r="AM330" s="92" t="n">
        <v>0</v>
      </c>
      <c r="AO330" s="91" t="n">
        <f aca="false">COS(PI()*C316/180)</f>
        <v>1</v>
      </c>
      <c r="AP330" s="57" t="n">
        <f aca="false">-SIN(PI()*C316/180)</f>
        <v>0</v>
      </c>
      <c r="AQ330" s="57" t="n">
        <v>0</v>
      </c>
      <c r="AR330" s="92" t="n">
        <v>0</v>
      </c>
    </row>
    <row r="331" customFormat="false" ht="15" hidden="false" customHeight="true" outlineLevel="0" collapsed="false">
      <c r="A331" s="112"/>
      <c r="B331" s="81" t="s">
        <v>159</v>
      </c>
      <c r="C331" s="59" t="n">
        <v>0</v>
      </c>
      <c r="G331" s="113"/>
      <c r="H331" s="113"/>
      <c r="I331" s="113"/>
      <c r="J331" s="93"/>
      <c r="K331" s="93"/>
      <c r="L331" s="93"/>
      <c r="M331" s="93"/>
      <c r="O331" s="71" t="n">
        <v>0</v>
      </c>
      <c r="P331" s="71" t="n">
        <v>1</v>
      </c>
      <c r="Q331" s="71" t="n">
        <v>0</v>
      </c>
      <c r="R331" s="71" t="n">
        <v>0</v>
      </c>
      <c r="S331" s="90"/>
      <c r="T331" s="71" t="n">
        <v>0</v>
      </c>
      <c r="U331" s="71" t="n">
        <v>1</v>
      </c>
      <c r="V331" s="71" t="n">
        <v>0</v>
      </c>
      <c r="W331" s="71" t="n">
        <v>0</v>
      </c>
      <c r="X331" s="71"/>
      <c r="Y331" s="71"/>
      <c r="Z331" s="71"/>
      <c r="AA331" s="71"/>
      <c r="AB331" s="0" t="s">
        <v>160</v>
      </c>
      <c r="AC331" s="57" t="n">
        <v>0</v>
      </c>
      <c r="AD331" s="57"/>
      <c r="AE331" s="91" t="n">
        <v>0</v>
      </c>
      <c r="AF331" s="57" t="n">
        <f aca="false">COS(PI()*C314/180)</f>
        <v>1</v>
      </c>
      <c r="AG331" s="57" t="n">
        <f aca="false">-SIN(PI()*C314/180)</f>
        <v>0</v>
      </c>
      <c r="AH331" s="92" t="n">
        <v>0</v>
      </c>
      <c r="AJ331" s="91" t="n">
        <v>0</v>
      </c>
      <c r="AK331" s="57" t="n">
        <v>1</v>
      </c>
      <c r="AL331" s="57" t="n">
        <v>0</v>
      </c>
      <c r="AM331" s="92" t="n">
        <v>0</v>
      </c>
      <c r="AO331" s="91" t="n">
        <f aca="false">SIN(PI()*C316/180)</f>
        <v>0</v>
      </c>
      <c r="AP331" s="57" t="n">
        <f aca="false">AO330</f>
        <v>1</v>
      </c>
      <c r="AQ331" s="57" t="n">
        <v>0</v>
      </c>
      <c r="AR331" s="92" t="n">
        <v>0</v>
      </c>
    </row>
    <row r="332" customFormat="false" ht="15" hidden="false" customHeight="true" outlineLevel="0" collapsed="false">
      <c r="A332" s="112"/>
      <c r="B332" s="81" t="s">
        <v>101</v>
      </c>
      <c r="C332" s="59" t="n">
        <v>1</v>
      </c>
      <c r="G332" s="113"/>
      <c r="H332" s="113"/>
      <c r="I332" s="113"/>
      <c r="J332" s="93"/>
      <c r="K332" s="93"/>
      <c r="L332" s="93"/>
      <c r="M332" s="93"/>
      <c r="O332" s="71" t="n">
        <v>0</v>
      </c>
      <c r="P332" s="71" t="n">
        <v>0</v>
      </c>
      <c r="Q332" s="71" t="n">
        <v>1</v>
      </c>
      <c r="R332" s="71" t="n">
        <v>0</v>
      </c>
      <c r="S332" s="90"/>
      <c r="T332" s="71" t="n">
        <v>0</v>
      </c>
      <c r="U332" s="71" t="n">
        <v>0</v>
      </c>
      <c r="V332" s="71" t="n">
        <v>1</v>
      </c>
      <c r="W332" s="71" t="n">
        <v>0</v>
      </c>
      <c r="X332" s="71"/>
      <c r="Y332" s="71"/>
      <c r="Z332" s="71"/>
      <c r="AA332" s="71"/>
      <c r="AB332" s="0" t="s">
        <v>161</v>
      </c>
      <c r="AC332" s="57" t="n">
        <v>0</v>
      </c>
      <c r="AD332" s="57"/>
      <c r="AE332" s="91" t="n">
        <v>0</v>
      </c>
      <c r="AF332" s="57" t="n">
        <f aca="false">SIN(PI()*C314/180)</f>
        <v>0</v>
      </c>
      <c r="AG332" s="57" t="n">
        <f aca="false">AF331</f>
        <v>1</v>
      </c>
      <c r="AH332" s="92" t="n">
        <v>0</v>
      </c>
      <c r="AJ332" s="91" t="n">
        <f aca="false">-SIN(PI()*C315/180)</f>
        <v>0</v>
      </c>
      <c r="AK332" s="57" t="n">
        <v>0</v>
      </c>
      <c r="AL332" s="57" t="n">
        <f aca="false">AJ330</f>
        <v>1</v>
      </c>
      <c r="AM332" s="92" t="n">
        <v>0</v>
      </c>
      <c r="AO332" s="91" t="n">
        <v>0</v>
      </c>
      <c r="AP332" s="57" t="n">
        <v>0</v>
      </c>
      <c r="AQ332" s="57" t="n">
        <v>1</v>
      </c>
      <c r="AR332" s="92" t="n">
        <v>0</v>
      </c>
    </row>
    <row r="333" s="96" customFormat="true" ht="15.6" hidden="false" customHeight="false" outlineLevel="0" collapsed="false">
      <c r="A333" s="112"/>
      <c r="B333" s="11" t="s">
        <v>169</v>
      </c>
      <c r="D333" s="11" t="s">
        <v>163</v>
      </c>
      <c r="G333" s="102"/>
      <c r="H333" s="102"/>
      <c r="I333" s="102"/>
      <c r="J333" s="114"/>
      <c r="K333" s="114"/>
      <c r="L333" s="114"/>
      <c r="M333" s="114"/>
      <c r="O333" s="98" t="n">
        <v>0</v>
      </c>
      <c r="P333" s="98" t="n">
        <v>0</v>
      </c>
      <c r="Q333" s="98" t="n">
        <v>0</v>
      </c>
      <c r="R333" s="98" t="n">
        <v>1</v>
      </c>
      <c r="S333" s="99"/>
      <c r="T333" s="98" t="n">
        <v>0</v>
      </c>
      <c r="U333" s="98" t="n">
        <v>0</v>
      </c>
      <c r="V333" s="98" t="n">
        <v>0</v>
      </c>
      <c r="W333" s="98" t="n">
        <v>1</v>
      </c>
      <c r="X333" s="98"/>
      <c r="Y333" s="98"/>
      <c r="Z333" s="98"/>
      <c r="AA333" s="98"/>
      <c r="AC333" s="100" t="n">
        <v>1</v>
      </c>
      <c r="AD333" s="100"/>
      <c r="AE333" s="100" t="n">
        <v>0</v>
      </c>
      <c r="AF333" s="100" t="n">
        <v>0</v>
      </c>
      <c r="AG333" s="100" t="n">
        <v>0</v>
      </c>
      <c r="AH333" s="100" t="n">
        <v>1</v>
      </c>
      <c r="AJ333" s="100" t="n">
        <v>0</v>
      </c>
      <c r="AK333" s="100" t="n">
        <v>0</v>
      </c>
      <c r="AL333" s="100" t="n">
        <v>0</v>
      </c>
      <c r="AM333" s="100" t="n">
        <v>1</v>
      </c>
      <c r="AO333" s="100" t="n">
        <v>0</v>
      </c>
      <c r="AP333" s="100" t="n">
        <v>0</v>
      </c>
      <c r="AQ333" s="100" t="n">
        <v>0</v>
      </c>
      <c r="AR333" s="100" t="n">
        <v>1</v>
      </c>
    </row>
    <row r="334" customFormat="false" ht="15.6" hidden="false" customHeight="false" outlineLevel="0" collapsed="false">
      <c r="A334" s="112"/>
      <c r="B334" s="81" t="s">
        <v>139</v>
      </c>
      <c r="C334" s="82" t="n">
        <v>0</v>
      </c>
      <c r="D334" s="81" t="s">
        <v>139</v>
      </c>
      <c r="E334" s="59" t="n">
        <f aca="false">C325+C334</f>
        <v>0</v>
      </c>
      <c r="F334" s="103"/>
      <c r="G334" s="114"/>
      <c r="H334" s="120"/>
      <c r="I334" s="114"/>
      <c r="J334" s="114"/>
      <c r="K334" s="114"/>
      <c r="L334" s="114"/>
      <c r="M334" s="114"/>
      <c r="O334" s="98"/>
      <c r="P334" s="98"/>
      <c r="Q334" s="98"/>
      <c r="R334" s="98"/>
      <c r="S334" s="99"/>
      <c r="T334" s="98"/>
      <c r="U334" s="98"/>
      <c r="V334" s="98"/>
      <c r="W334" s="98"/>
      <c r="X334" s="98"/>
      <c r="Y334" s="98"/>
      <c r="Z334" s="98"/>
      <c r="AA334" s="98"/>
      <c r="AC334" s="100"/>
      <c r="AD334" s="100"/>
      <c r="AE334" s="100"/>
      <c r="AF334" s="100"/>
      <c r="AG334" s="100"/>
      <c r="AH334" s="100"/>
      <c r="AJ334" s="100"/>
      <c r="AK334" s="100"/>
      <c r="AL334" s="100"/>
      <c r="AM334" s="100"/>
      <c r="AO334" s="100"/>
      <c r="AP334" s="100"/>
      <c r="AQ334" s="100"/>
      <c r="AR334" s="100"/>
    </row>
    <row r="335" customFormat="false" ht="15.6" hidden="false" customHeight="false" outlineLevel="0" collapsed="false">
      <c r="A335" s="112"/>
      <c r="B335" s="81" t="s">
        <v>145</v>
      </c>
      <c r="C335" s="82" t="n">
        <v>0</v>
      </c>
      <c r="D335" s="81" t="s">
        <v>145</v>
      </c>
      <c r="E335" s="59" t="n">
        <f aca="false">C326+C335</f>
        <v>0</v>
      </c>
      <c r="F335" s="103"/>
      <c r="G335" s="114"/>
      <c r="H335" s="120"/>
      <c r="I335" s="114"/>
      <c r="J335" s="114"/>
      <c r="K335" s="114"/>
      <c r="L335" s="114"/>
      <c r="M335" s="114"/>
      <c r="O335" s="98"/>
      <c r="P335" s="98"/>
      <c r="Q335" s="98"/>
      <c r="R335" s="98"/>
      <c r="S335" s="99"/>
      <c r="T335" s="98"/>
      <c r="U335" s="98"/>
      <c r="V335" s="98"/>
      <c r="W335" s="98"/>
      <c r="X335" s="98"/>
      <c r="Y335" s="98"/>
      <c r="Z335" s="98"/>
      <c r="AA335" s="98"/>
      <c r="AC335" s="100"/>
      <c r="AD335" s="100"/>
      <c r="AE335" s="100"/>
      <c r="AF335" s="100"/>
      <c r="AG335" s="100"/>
      <c r="AH335" s="100"/>
      <c r="AJ335" s="100"/>
      <c r="AK335" s="100"/>
      <c r="AL335" s="100"/>
      <c r="AM335" s="100"/>
      <c r="AO335" s="100"/>
      <c r="AP335" s="100"/>
      <c r="AQ335" s="100"/>
      <c r="AR335" s="100"/>
    </row>
    <row r="336" customFormat="false" ht="15.6" hidden="false" customHeight="false" outlineLevel="0" collapsed="false">
      <c r="A336" s="112"/>
      <c r="B336" s="81" t="s">
        <v>148</v>
      </c>
      <c r="C336" s="82" t="n">
        <v>0</v>
      </c>
      <c r="D336" s="81" t="s">
        <v>148</v>
      </c>
      <c r="E336" s="59" t="n">
        <f aca="false">C327+C336</f>
        <v>-196</v>
      </c>
      <c r="F336" s="103"/>
      <c r="G336" s="114"/>
      <c r="H336" s="120"/>
      <c r="I336" s="114"/>
      <c r="J336" s="114"/>
      <c r="K336" s="114"/>
      <c r="L336" s="114"/>
      <c r="M336" s="114"/>
      <c r="O336" s="98"/>
      <c r="P336" s="98"/>
      <c r="Q336" s="98"/>
      <c r="R336" s="98"/>
      <c r="S336" s="99"/>
      <c r="T336" s="98"/>
      <c r="U336" s="98"/>
      <c r="V336" s="98"/>
      <c r="W336" s="98"/>
      <c r="X336" s="98"/>
      <c r="Y336" s="98"/>
      <c r="Z336" s="98"/>
      <c r="AA336" s="98"/>
      <c r="AC336" s="100"/>
      <c r="AD336" s="100"/>
      <c r="AE336" s="100"/>
      <c r="AF336" s="100"/>
      <c r="AG336" s="100"/>
      <c r="AH336" s="100"/>
      <c r="AJ336" s="100"/>
      <c r="AK336" s="100"/>
      <c r="AL336" s="100"/>
      <c r="AM336" s="100"/>
      <c r="AO336" s="100"/>
      <c r="AP336" s="100"/>
      <c r="AQ336" s="100"/>
      <c r="AR336" s="100"/>
    </row>
    <row r="337" customFormat="false" ht="15.6" hidden="false" customHeight="false" outlineLevel="0" collapsed="false">
      <c r="A337" s="112"/>
      <c r="B337" s="103" t="s">
        <v>101</v>
      </c>
      <c r="C337" s="115" t="n">
        <v>1</v>
      </c>
      <c r="D337" s="103" t="s">
        <v>101</v>
      </c>
      <c r="E337" s="115" t="n">
        <v>1</v>
      </c>
      <c r="F337" s="103"/>
      <c r="G337" s="114"/>
      <c r="H337" s="120"/>
      <c r="I337" s="114"/>
      <c r="J337" s="114"/>
      <c r="K337" s="114"/>
      <c r="L337" s="114"/>
      <c r="M337" s="114"/>
      <c r="O337" s="98"/>
      <c r="P337" s="98"/>
      <c r="Q337" s="98"/>
      <c r="R337" s="98"/>
      <c r="S337" s="99"/>
      <c r="T337" s="98"/>
      <c r="U337" s="98"/>
      <c r="V337" s="98"/>
      <c r="W337" s="98"/>
      <c r="X337" s="98"/>
      <c r="Y337" s="98"/>
      <c r="Z337" s="98"/>
      <c r="AA337" s="98"/>
      <c r="AC337" s="100"/>
      <c r="AD337" s="100"/>
      <c r="AE337" s="100"/>
      <c r="AF337" s="100"/>
      <c r="AG337" s="100"/>
      <c r="AH337" s="100"/>
      <c r="AJ337" s="100"/>
      <c r="AK337" s="100"/>
      <c r="AL337" s="100"/>
      <c r="AM337" s="100"/>
      <c r="AO337" s="100"/>
      <c r="AP337" s="100"/>
      <c r="AQ337" s="100"/>
      <c r="AR337" s="100"/>
    </row>
    <row r="338" customFormat="false" ht="15.6" hidden="false" customHeight="false" outlineLevel="0" collapsed="false">
      <c r="A338" s="112"/>
      <c r="B338" s="81" t="s">
        <v>151</v>
      </c>
      <c r="C338" s="82" t="n">
        <v>0</v>
      </c>
      <c r="D338" s="81" t="s">
        <v>151</v>
      </c>
      <c r="E338" s="59" t="n">
        <f aca="false">C329+C338+C327*C285-C326*C286</f>
        <v>0</v>
      </c>
      <c r="F338" s="103"/>
      <c r="G338" s="114"/>
      <c r="H338" s="120"/>
      <c r="I338" s="114"/>
      <c r="J338" s="114"/>
      <c r="K338" s="114"/>
      <c r="L338" s="114"/>
      <c r="M338" s="114"/>
      <c r="O338" s="98"/>
      <c r="P338" s="98"/>
      <c r="Q338" s="98"/>
      <c r="R338" s="98"/>
      <c r="S338" s="99"/>
      <c r="T338" s="98"/>
      <c r="U338" s="98"/>
      <c r="V338" s="98"/>
      <c r="W338" s="98"/>
      <c r="X338" s="98"/>
      <c r="Y338" s="98"/>
      <c r="Z338" s="98"/>
      <c r="AA338" s="98"/>
      <c r="AC338" s="100"/>
      <c r="AD338" s="100"/>
      <c r="AE338" s="100"/>
      <c r="AF338" s="100"/>
      <c r="AG338" s="100"/>
      <c r="AH338" s="100"/>
      <c r="AJ338" s="100"/>
      <c r="AK338" s="100"/>
      <c r="AL338" s="100"/>
      <c r="AM338" s="100"/>
      <c r="AO338" s="100"/>
      <c r="AP338" s="100"/>
      <c r="AQ338" s="100"/>
      <c r="AR338" s="100"/>
    </row>
    <row r="339" customFormat="false" ht="15.6" hidden="false" customHeight="false" outlineLevel="0" collapsed="false">
      <c r="A339" s="112"/>
      <c r="B339" s="81" t="s">
        <v>157</v>
      </c>
      <c r="C339" s="82" t="n">
        <v>0</v>
      </c>
      <c r="D339" s="81" t="s">
        <v>157</v>
      </c>
      <c r="E339" s="59" t="n">
        <f aca="false">C330+C339+C325*C286-C327*C284</f>
        <v>3920</v>
      </c>
      <c r="F339" s="103"/>
      <c r="G339" s="114"/>
      <c r="H339" s="120"/>
      <c r="I339" s="114"/>
      <c r="J339" s="114"/>
      <c r="K339" s="114"/>
      <c r="L339" s="114"/>
      <c r="M339" s="114"/>
      <c r="O339" s="98"/>
      <c r="P339" s="98"/>
      <c r="Q339" s="98"/>
      <c r="R339" s="98"/>
      <c r="S339" s="99"/>
      <c r="T339" s="98"/>
      <c r="U339" s="98"/>
      <c r="V339" s="98"/>
      <c r="W339" s="98"/>
      <c r="X339" s="98"/>
      <c r="Y339" s="98"/>
      <c r="Z339" s="98"/>
      <c r="AA339" s="98"/>
      <c r="AC339" s="100"/>
      <c r="AD339" s="100"/>
      <c r="AE339" s="100"/>
      <c r="AF339" s="100"/>
      <c r="AG339" s="100"/>
      <c r="AH339" s="100"/>
      <c r="AJ339" s="100"/>
      <c r="AK339" s="100"/>
      <c r="AL339" s="100"/>
      <c r="AM339" s="100"/>
      <c r="AO339" s="100"/>
      <c r="AP339" s="100"/>
      <c r="AQ339" s="100"/>
      <c r="AR339" s="100"/>
    </row>
    <row r="340" customFormat="false" ht="15.6" hidden="false" customHeight="false" outlineLevel="0" collapsed="false">
      <c r="A340" s="112"/>
      <c r="B340" s="81" t="s">
        <v>159</v>
      </c>
      <c r="C340" s="82" t="n">
        <v>0</v>
      </c>
      <c r="D340" s="81" t="s">
        <v>159</v>
      </c>
      <c r="E340" s="59" t="n">
        <f aca="false">C331+C340+C326*C284-C325*C285</f>
        <v>0</v>
      </c>
      <c r="F340" s="103"/>
      <c r="G340" s="114"/>
      <c r="H340" s="120"/>
      <c r="I340" s="114"/>
      <c r="J340" s="114"/>
      <c r="K340" s="114"/>
      <c r="L340" s="114"/>
      <c r="M340" s="114"/>
      <c r="O340" s="98"/>
      <c r="P340" s="98"/>
      <c r="Q340" s="98"/>
      <c r="R340" s="98"/>
      <c r="S340" s="99"/>
      <c r="T340" s="98"/>
      <c r="U340" s="98"/>
      <c r="V340" s="98"/>
      <c r="W340" s="98"/>
      <c r="X340" s="98"/>
      <c r="Y340" s="98"/>
      <c r="Z340" s="98"/>
      <c r="AA340" s="98"/>
      <c r="AC340" s="100"/>
      <c r="AD340" s="100"/>
      <c r="AE340" s="100"/>
      <c r="AF340" s="100"/>
      <c r="AG340" s="100"/>
      <c r="AH340" s="100"/>
      <c r="AJ340" s="100"/>
      <c r="AK340" s="100"/>
      <c r="AL340" s="100"/>
      <c r="AM340" s="100"/>
      <c r="AO340" s="100"/>
      <c r="AP340" s="100"/>
      <c r="AQ340" s="100"/>
      <c r="AR340" s="100"/>
    </row>
    <row r="341" s="36" customFormat="true" ht="16.2" hidden="false" customHeight="false" outlineLevel="0" collapsed="false">
      <c r="A341" s="112"/>
      <c r="B341" s="105" t="s">
        <v>101</v>
      </c>
      <c r="C341" s="106" t="n">
        <v>1</v>
      </c>
      <c r="D341" s="105" t="s">
        <v>101</v>
      </c>
      <c r="E341" s="106" t="n">
        <v>1</v>
      </c>
      <c r="F341" s="105"/>
      <c r="G341" s="116"/>
      <c r="H341" s="121"/>
      <c r="I341" s="116"/>
      <c r="J341" s="116"/>
      <c r="K341" s="116"/>
      <c r="L341" s="116"/>
      <c r="M341" s="116"/>
      <c r="O341" s="117"/>
      <c r="P341" s="117"/>
      <c r="Q341" s="117"/>
      <c r="R341" s="117"/>
      <c r="S341" s="109"/>
      <c r="T341" s="117"/>
      <c r="U341" s="117"/>
      <c r="V341" s="117"/>
      <c r="W341" s="117"/>
      <c r="X341" s="117"/>
      <c r="Y341" s="117"/>
      <c r="Z341" s="117"/>
      <c r="AA341" s="117"/>
      <c r="AC341" s="118"/>
      <c r="AD341" s="118"/>
      <c r="AE341" s="118"/>
      <c r="AF341" s="118"/>
      <c r="AG341" s="118"/>
      <c r="AH341" s="118"/>
      <c r="AJ341" s="118"/>
      <c r="AK341" s="118"/>
      <c r="AL341" s="118"/>
      <c r="AM341" s="118"/>
      <c r="AO341" s="118"/>
      <c r="AP341" s="118"/>
      <c r="AQ341" s="118"/>
      <c r="AR341" s="118"/>
    </row>
    <row r="358" customFormat="false" ht="15.6" hidden="false" customHeight="false" outlineLevel="0" collapsed="false">
      <c r="S358" s="17"/>
    </row>
    <row r="362" customFormat="false" ht="15.6" hidden="false" customHeight="false" outlineLevel="0" collapsed="false">
      <c r="T362" s="57" t="s">
        <v>195</v>
      </c>
    </row>
    <row r="363" customFormat="false" ht="15.6" hidden="false" customHeight="false" outlineLevel="0" collapsed="false">
      <c r="T363" s="125" t="n">
        <v>1</v>
      </c>
      <c r="U363" s="126" t="n">
        <v>0</v>
      </c>
      <c r="V363" s="126" t="n">
        <v>0</v>
      </c>
      <c r="W363" s="127" t="n">
        <v>0</v>
      </c>
    </row>
    <row r="364" customFormat="false" ht="15.6" hidden="false" customHeight="false" outlineLevel="0" collapsed="false">
      <c r="T364" s="91" t="n">
        <v>0</v>
      </c>
      <c r="U364" s="100" t="n">
        <v>1</v>
      </c>
      <c r="V364" s="100" t="n">
        <v>0</v>
      </c>
      <c r="W364" s="92" t="n">
        <v>0</v>
      </c>
    </row>
    <row r="365" customFormat="false" ht="15.6" hidden="false" customHeight="false" outlineLevel="0" collapsed="false">
      <c r="T365" s="91" t="n">
        <v>0</v>
      </c>
      <c r="U365" s="100" t="n">
        <v>0</v>
      </c>
      <c r="V365" s="100" t="n">
        <v>1</v>
      </c>
      <c r="W365" s="92" t="n">
        <v>0</v>
      </c>
    </row>
    <row r="366" customFormat="false" ht="15.6" hidden="false" customHeight="false" outlineLevel="0" collapsed="false">
      <c r="T366" s="128" t="n">
        <v>0</v>
      </c>
      <c r="U366" s="129" t="n">
        <v>0</v>
      </c>
      <c r="V366" s="129" t="n">
        <v>0</v>
      </c>
      <c r="W366" s="130" t="n">
        <v>1</v>
      </c>
    </row>
  </sheetData>
  <mergeCells count="115">
    <mergeCell ref="A1:G1"/>
    <mergeCell ref="A2:G2"/>
    <mergeCell ref="A3:G3"/>
    <mergeCell ref="A4:B4"/>
    <mergeCell ref="A5:B5"/>
    <mergeCell ref="A10:B10"/>
    <mergeCell ref="D10:H10"/>
    <mergeCell ref="A12:A15"/>
    <mergeCell ref="E13:F13"/>
    <mergeCell ref="G13:H13"/>
    <mergeCell ref="A18:A21"/>
    <mergeCell ref="D19:D22"/>
    <mergeCell ref="E20:F20"/>
    <mergeCell ref="G20:H20"/>
    <mergeCell ref="I20:J20"/>
    <mergeCell ref="K20:L20"/>
    <mergeCell ref="A22:A44"/>
    <mergeCell ref="G27:L27"/>
    <mergeCell ref="A45:A48"/>
    <mergeCell ref="E46:F46"/>
    <mergeCell ref="G46:H46"/>
    <mergeCell ref="A51:A54"/>
    <mergeCell ref="E53:F53"/>
    <mergeCell ref="G53:H53"/>
    <mergeCell ref="I53:J53"/>
    <mergeCell ref="K53:L53"/>
    <mergeCell ref="A55:A77"/>
    <mergeCell ref="E60:F60"/>
    <mergeCell ref="G60:L60"/>
    <mergeCell ref="A78:A81"/>
    <mergeCell ref="E79:F79"/>
    <mergeCell ref="G79:H79"/>
    <mergeCell ref="A84:A87"/>
    <mergeCell ref="E86:F86"/>
    <mergeCell ref="G86:H86"/>
    <mergeCell ref="I86:J86"/>
    <mergeCell ref="K86:L86"/>
    <mergeCell ref="A88:A110"/>
    <mergeCell ref="E93:F93"/>
    <mergeCell ref="G93:L93"/>
    <mergeCell ref="A111:A114"/>
    <mergeCell ref="E112:F112"/>
    <mergeCell ref="G112:H112"/>
    <mergeCell ref="A117:A120"/>
    <mergeCell ref="E119:F119"/>
    <mergeCell ref="G119:H119"/>
    <mergeCell ref="I119:J119"/>
    <mergeCell ref="K119:L119"/>
    <mergeCell ref="A121:A143"/>
    <mergeCell ref="E126:F126"/>
    <mergeCell ref="G126:L126"/>
    <mergeCell ref="A144:A147"/>
    <mergeCell ref="E145:F145"/>
    <mergeCell ref="G145:H145"/>
    <mergeCell ref="A150:A153"/>
    <mergeCell ref="E152:F152"/>
    <mergeCell ref="G152:H152"/>
    <mergeCell ref="I152:J152"/>
    <mergeCell ref="K152:L152"/>
    <mergeCell ref="A154:A176"/>
    <mergeCell ref="E159:F159"/>
    <mergeCell ref="G159:L159"/>
    <mergeCell ref="A177:A180"/>
    <mergeCell ref="E178:F178"/>
    <mergeCell ref="G178:H178"/>
    <mergeCell ref="A183:A186"/>
    <mergeCell ref="E185:F185"/>
    <mergeCell ref="G185:H185"/>
    <mergeCell ref="I185:J185"/>
    <mergeCell ref="K185:L185"/>
    <mergeCell ref="A187:A209"/>
    <mergeCell ref="E192:F192"/>
    <mergeCell ref="G192:L192"/>
    <mergeCell ref="A210:A213"/>
    <mergeCell ref="E211:F211"/>
    <mergeCell ref="G211:H211"/>
    <mergeCell ref="A216:A219"/>
    <mergeCell ref="E218:F218"/>
    <mergeCell ref="G218:H218"/>
    <mergeCell ref="I218:J218"/>
    <mergeCell ref="K218:L218"/>
    <mergeCell ref="A220:A242"/>
    <mergeCell ref="E225:F225"/>
    <mergeCell ref="G225:L225"/>
    <mergeCell ref="A243:A246"/>
    <mergeCell ref="E244:F244"/>
    <mergeCell ref="G244:H244"/>
    <mergeCell ref="A249:A252"/>
    <mergeCell ref="E251:F251"/>
    <mergeCell ref="G251:H251"/>
    <mergeCell ref="I251:J251"/>
    <mergeCell ref="K251:L251"/>
    <mergeCell ref="A253:A275"/>
    <mergeCell ref="E258:F258"/>
    <mergeCell ref="G258:L258"/>
    <mergeCell ref="A276:A279"/>
    <mergeCell ref="E277:F277"/>
    <mergeCell ref="G277:H277"/>
    <mergeCell ref="A282:A285"/>
    <mergeCell ref="E284:F284"/>
    <mergeCell ref="G284:H284"/>
    <mergeCell ref="I284:J284"/>
    <mergeCell ref="K284:L284"/>
    <mergeCell ref="A286:A300"/>
    <mergeCell ref="E291:F291"/>
    <mergeCell ref="G291:L291"/>
    <mergeCell ref="A309:A312"/>
    <mergeCell ref="E310:F310"/>
    <mergeCell ref="G310:H310"/>
    <mergeCell ref="A315:A318"/>
    <mergeCell ref="E317:F317"/>
    <mergeCell ref="G317:H317"/>
    <mergeCell ref="A319:A341"/>
    <mergeCell ref="E324:F324"/>
    <mergeCell ref="G324:L324"/>
  </mergeCells>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drawing r:id="rId2"/>
  <legacyDrawing r:id="rId3"/>
</worksheet>
</file>

<file path=xl/worksheets/sheet4.xml><?xml version="1.0" encoding="utf-8"?>
<worksheet xmlns="http://schemas.openxmlformats.org/spreadsheetml/2006/main" xmlns:r="http://schemas.openxmlformats.org/officeDocument/2006/relationships">
  <sheetPr filterMode="false">
    <pageSetUpPr fitToPage="false"/>
  </sheetPr>
  <dimension ref="A1:U123"/>
  <sheetViews>
    <sheetView windowProtection="false"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B18" activeCellId="0" sqref="B18"/>
    </sheetView>
  </sheetViews>
  <sheetFormatPr defaultRowHeight="15.6"/>
  <cols>
    <col collapsed="false" hidden="false" max="1" min="1" style="77" width="46.4481481481482"/>
    <col collapsed="false" hidden="false" max="2" min="2" style="77" width="14.0148148148148"/>
    <col collapsed="false" hidden="false" max="3" min="3" style="131" width="35.0814814814815"/>
    <col collapsed="false" hidden="false" max="4" min="4" style="131" width="12.2481481481481"/>
    <col collapsed="false" hidden="false" max="6" min="5" style="131" width="7.34814814814815"/>
    <col collapsed="false" hidden="false" max="12" min="7" style="77" width="9.8962962962963"/>
    <col collapsed="false" hidden="false" max="13" min="13" style="77" width="6.37037037037037"/>
    <col collapsed="false" hidden="false" max="14" min="14" style="77" width="12.4444444444444"/>
    <col collapsed="false" hidden="false" max="1025" min="15" style="77" width="11.2703703703704"/>
  </cols>
  <sheetData>
    <row r="1" customFormat="false" ht="15.6" hidden="false" customHeight="false" outlineLevel="0" collapsed="false">
      <c r="A1" s="132" t="str">
        <f aca="false">'CSs and Loads'!A12</f>
        <v>CS 1</v>
      </c>
      <c r="B1" s="132" t="str">
        <f aca="false">'CSs and Loads'!A22</f>
        <v>desk vertical motion carriage/table</v>
      </c>
      <c r="C1" s="133"/>
      <c r="D1" s="133"/>
      <c r="E1" s="133"/>
      <c r="F1" s="133"/>
      <c r="G1" s="0"/>
      <c r="H1" s="0"/>
      <c r="I1" s="0"/>
      <c r="J1" s="0"/>
      <c r="K1" s="0"/>
      <c r="L1" s="0"/>
      <c r="M1" s="0"/>
      <c r="N1" s="0"/>
      <c r="O1" s="0"/>
      <c r="P1" s="0"/>
      <c r="Q1" s="0"/>
      <c r="R1" s="0"/>
      <c r="S1" s="0"/>
      <c r="T1" s="0"/>
      <c r="U1" s="0"/>
    </row>
    <row r="2" customFormat="false" ht="16.2" hidden="false" customHeight="false" outlineLevel="0" collapsed="false">
      <c r="A2" s="134" t="s">
        <v>196</v>
      </c>
      <c r="B2" s="0"/>
      <c r="C2" s="0"/>
      <c r="D2" s="0"/>
      <c r="E2" s="135"/>
      <c r="F2" s="135"/>
      <c r="G2" s="136"/>
      <c r="H2" s="136"/>
      <c r="I2" s="0"/>
      <c r="J2" s="136"/>
      <c r="K2" s="136"/>
      <c r="L2" s="137"/>
      <c r="M2" s="137"/>
      <c r="N2" s="138"/>
      <c r="O2" s="0"/>
      <c r="P2" s="0"/>
      <c r="Q2" s="0"/>
      <c r="R2" s="0"/>
      <c r="S2" s="0"/>
      <c r="T2" s="0"/>
      <c r="U2" s="0"/>
    </row>
    <row r="3" customFormat="false" ht="15.6" hidden="false" customHeight="false" outlineLevel="0" collapsed="false">
      <c r="A3" s="134" t="s">
        <v>197</v>
      </c>
      <c r="B3" s="0"/>
      <c r="C3" s="0"/>
      <c r="D3" s="139"/>
      <c r="E3" s="140" t="s">
        <v>198</v>
      </c>
      <c r="F3" s="140"/>
      <c r="G3" s="140"/>
      <c r="H3" s="140"/>
      <c r="I3" s="140"/>
      <c r="J3" s="140"/>
      <c r="K3" s="140"/>
      <c r="L3" s="140"/>
      <c r="M3" s="140"/>
      <c r="N3" s="141"/>
      <c r="O3" s="142"/>
      <c r="P3" s="142"/>
      <c r="Q3" s="142"/>
      <c r="R3" s="142"/>
      <c r="S3" s="0"/>
      <c r="T3" s="0"/>
      <c r="U3" s="0"/>
    </row>
    <row r="4" customFormat="false" ht="15.6" hidden="false" customHeight="false" outlineLevel="0" collapsed="false">
      <c r="A4" s="134" t="s">
        <v>199</v>
      </c>
      <c r="B4" s="143" t="s">
        <v>200</v>
      </c>
      <c r="C4" s="144" t="s">
        <v>201</v>
      </c>
      <c r="D4" s="145"/>
      <c r="E4" s="146" t="s">
        <v>202</v>
      </c>
      <c r="F4" s="146"/>
      <c r="G4" s="146"/>
      <c r="H4" s="146"/>
      <c r="I4" s="146"/>
      <c r="J4" s="146"/>
      <c r="K4" s="146"/>
      <c r="L4" s="146"/>
      <c r="M4" s="146"/>
      <c r="N4" s="141"/>
      <c r="O4" s="0"/>
      <c r="P4" s="0"/>
      <c r="Q4" s="0"/>
      <c r="R4" s="142"/>
      <c r="S4" s="0"/>
      <c r="T4" s="0"/>
      <c r="U4" s="0"/>
    </row>
    <row r="5" customFormat="false" ht="15.6" hidden="false" customHeight="false" outlineLevel="0" collapsed="false">
      <c r="A5" s="76" t="s">
        <v>203</v>
      </c>
      <c r="B5" s="143" t="s">
        <v>204</v>
      </c>
      <c r="C5" s="147" t="s">
        <v>205</v>
      </c>
      <c r="D5" s="145" t="n">
        <v>25</v>
      </c>
      <c r="E5" s="148" t="s">
        <v>206</v>
      </c>
      <c r="F5" s="149" t="s">
        <v>207</v>
      </c>
      <c r="G5" s="150" t="n">
        <f aca="false">B11^3/(3*B7*B17)</f>
        <v>5.12512512512513E-006</v>
      </c>
      <c r="H5" s="151" t="n">
        <v>0</v>
      </c>
      <c r="I5" s="151" t="n">
        <v>0</v>
      </c>
      <c r="J5" s="151" t="n">
        <v>0</v>
      </c>
      <c r="K5" s="151" t="n">
        <v>0</v>
      </c>
      <c r="L5" s="150" t="n">
        <f aca="false">B11^2/(2*B7*B17)</f>
        <v>1.53753753753754E-008</v>
      </c>
      <c r="M5" s="152" t="s">
        <v>208</v>
      </c>
      <c r="N5" s="141"/>
      <c r="O5" s="0"/>
      <c r="P5" s="0"/>
      <c r="Q5" s="0"/>
      <c r="R5" s="142"/>
      <c r="S5" s="0"/>
      <c r="T5" s="0"/>
      <c r="U5" s="0"/>
    </row>
    <row r="6" customFormat="false" ht="15.6" hidden="false" customHeight="false" outlineLevel="0" collapsed="false">
      <c r="A6" s="76" t="s">
        <v>209</v>
      </c>
      <c r="B6" s="143" t="s">
        <v>210</v>
      </c>
      <c r="C6" s="147" t="s">
        <v>211</v>
      </c>
      <c r="D6" s="145" t="n">
        <f aca="false">1770*9.8</f>
        <v>17346</v>
      </c>
      <c r="E6" s="148" t="s">
        <v>212</v>
      </c>
      <c r="F6" s="149"/>
      <c r="G6" s="151" t="n">
        <v>0</v>
      </c>
      <c r="H6" s="150" t="n">
        <f aca="false">B11/(B16*B7)</f>
        <v>2.88288288288288E-006</v>
      </c>
      <c r="I6" s="151" t="n">
        <v>0</v>
      </c>
      <c r="J6" s="151" t="n">
        <v>0</v>
      </c>
      <c r="K6" s="151" t="n">
        <v>0</v>
      </c>
      <c r="L6" s="151" t="n">
        <v>0</v>
      </c>
      <c r="M6" s="152" t="s">
        <v>213</v>
      </c>
      <c r="N6" s="141"/>
      <c r="O6" s="0"/>
      <c r="P6" s="0"/>
      <c r="Q6" s="0"/>
      <c r="R6" s="142"/>
      <c r="S6" s="0"/>
      <c r="T6" s="0"/>
      <c r="U6" s="0"/>
    </row>
    <row r="7" customFormat="false" ht="15.6" hidden="false" customHeight="false" outlineLevel="0" collapsed="false">
      <c r="A7" s="153" t="s">
        <v>214</v>
      </c>
      <c r="B7" s="154" t="n">
        <f aca="false">9.25*10^9/(10^6)</f>
        <v>9250</v>
      </c>
      <c r="C7" s="147" t="s">
        <v>215</v>
      </c>
      <c r="D7" s="145" t="n">
        <f aca="false">647*1000</f>
        <v>647000</v>
      </c>
      <c r="E7" s="148" t="s">
        <v>216</v>
      </c>
      <c r="F7" s="149"/>
      <c r="G7" s="151" t="n">
        <v>0</v>
      </c>
      <c r="H7" s="151" t="n">
        <v>0</v>
      </c>
      <c r="I7" s="150" t="n">
        <f aca="false">B11^3/(3*B7*B18)</f>
        <v>0.00523622316582324</v>
      </c>
      <c r="J7" s="150" t="n">
        <f aca="false">B11^2/(2*B7*B18)</f>
        <v>1.57086694974697E-005</v>
      </c>
      <c r="K7" s="151" t="n">
        <v>0</v>
      </c>
      <c r="L7" s="151" t="n">
        <v>0</v>
      </c>
      <c r="M7" s="152" t="s">
        <v>217</v>
      </c>
      <c r="N7" s="141"/>
      <c r="O7" s="0"/>
      <c r="P7" s="0"/>
      <c r="Q7" s="0"/>
      <c r="R7" s="142"/>
      <c r="S7" s="0"/>
      <c r="T7" s="0"/>
      <c r="U7" s="0"/>
    </row>
    <row r="8" customFormat="false" ht="15.6" hidden="false" customHeight="false" outlineLevel="0" collapsed="false">
      <c r="A8" s="153" t="s">
        <v>218</v>
      </c>
      <c r="B8" s="134" t="n">
        <v>0.25</v>
      </c>
      <c r="C8" s="147" t="s">
        <v>219</v>
      </c>
      <c r="D8" s="145" t="n">
        <v>3</v>
      </c>
      <c r="E8" s="148" t="s">
        <v>220</v>
      </c>
      <c r="F8" s="149"/>
      <c r="G8" s="151" t="n">
        <f aca="false">J5</f>
        <v>0</v>
      </c>
      <c r="H8" s="151" t="n">
        <f aca="false">J6</f>
        <v>0</v>
      </c>
      <c r="I8" s="150" t="n">
        <f aca="false">J7</f>
        <v>1.57086694974697E-005</v>
      </c>
      <c r="J8" s="150" t="n">
        <f aca="false">B11/(B7*B18)</f>
        <v>6.28346779898788E-008</v>
      </c>
      <c r="K8" s="151" t="n">
        <v>0</v>
      </c>
      <c r="L8" s="151" t="n">
        <v>0</v>
      </c>
      <c r="M8" s="152" t="s">
        <v>221</v>
      </c>
      <c r="N8" s="141"/>
      <c r="O8" s="0"/>
      <c r="P8" s="0"/>
      <c r="Q8" s="0"/>
      <c r="R8" s="142"/>
      <c r="S8" s="0"/>
      <c r="T8" s="0"/>
      <c r="U8" s="0"/>
    </row>
    <row r="9" customFormat="false" ht="15.6" hidden="false" customHeight="false" outlineLevel="0" collapsed="false">
      <c r="A9" s="153" t="s">
        <v>222</v>
      </c>
      <c r="B9" s="155" t="n">
        <f aca="false">B7/(2*(1+B8))</f>
        <v>3700</v>
      </c>
      <c r="C9" s="147" t="s">
        <v>223</v>
      </c>
      <c r="D9" s="145" t="n">
        <v>0.01</v>
      </c>
      <c r="E9" s="148" t="s">
        <v>224</v>
      </c>
      <c r="F9" s="149"/>
      <c r="G9" s="151" t="n">
        <f aca="false">K5</f>
        <v>0</v>
      </c>
      <c r="H9" s="151" t="n">
        <f aca="false">K6</f>
        <v>0</v>
      </c>
      <c r="I9" s="151" t="n">
        <f aca="false">K7</f>
        <v>0</v>
      </c>
      <c r="J9" s="151" t="n">
        <f aca="false">K8</f>
        <v>0</v>
      </c>
      <c r="K9" s="150" t="n">
        <f aca="false">B11/(B19*B9)</f>
        <v>1.53583105858356E-010</v>
      </c>
      <c r="L9" s="151" t="n">
        <v>0</v>
      </c>
      <c r="M9" s="152" t="s">
        <v>225</v>
      </c>
      <c r="N9" s="141"/>
      <c r="O9" s="0"/>
      <c r="P9" s="0"/>
      <c r="Q9" s="0"/>
      <c r="R9" s="142"/>
      <c r="S9" s="0"/>
      <c r="T9" s="0"/>
      <c r="U9" s="0"/>
    </row>
    <row r="10" customFormat="false" ht="16.2" hidden="false" customHeight="false" outlineLevel="0" collapsed="false">
      <c r="A10" s="138" t="s">
        <v>226</v>
      </c>
      <c r="B10" s="134"/>
      <c r="C10" s="147" t="s">
        <v>227</v>
      </c>
      <c r="D10" s="156" t="n">
        <f aca="false">D6/(D8*D9)</f>
        <v>578200</v>
      </c>
      <c r="E10" s="157" t="s">
        <v>228</v>
      </c>
      <c r="F10" s="149"/>
      <c r="G10" s="158" t="n">
        <f aca="false">L5</f>
        <v>1.53753753753754E-008</v>
      </c>
      <c r="H10" s="159" t="n">
        <v>0</v>
      </c>
      <c r="I10" s="159" t="n">
        <f aca="false">L7</f>
        <v>0</v>
      </c>
      <c r="J10" s="159" t="n">
        <f aca="false">L8</f>
        <v>0</v>
      </c>
      <c r="K10" s="159" t="n">
        <f aca="false">L9</f>
        <v>0</v>
      </c>
      <c r="L10" s="158" t="n">
        <f aca="false">B11/(B7*B17)</f>
        <v>6.15015015015015E-011</v>
      </c>
      <c r="M10" s="160" t="s">
        <v>229</v>
      </c>
      <c r="N10" s="141"/>
      <c r="O10" s="0"/>
      <c r="P10" s="161"/>
      <c r="Q10" s="0"/>
      <c r="R10" s="142"/>
      <c r="S10" s="0"/>
      <c r="T10" s="0"/>
      <c r="U10" s="0"/>
    </row>
    <row r="11" customFormat="false" ht="16.2" hidden="false" customHeight="false" outlineLevel="0" collapsed="false">
      <c r="A11" s="153" t="s">
        <v>230</v>
      </c>
      <c r="B11" s="162" t="n">
        <f aca="false">'CSs and Loads'!C14</f>
        <v>500</v>
      </c>
      <c r="C11" s="147" t="s">
        <v>231</v>
      </c>
      <c r="D11" s="144" t="n">
        <v>25</v>
      </c>
      <c r="E11" s="163"/>
      <c r="F11" s="163"/>
      <c r="G11" s="152" t="s">
        <v>208</v>
      </c>
      <c r="H11" s="152" t="s">
        <v>213</v>
      </c>
      <c r="I11" s="152" t="s">
        <v>217</v>
      </c>
      <c r="J11" s="152" t="s">
        <v>221</v>
      </c>
      <c r="K11" s="152" t="s">
        <v>225</v>
      </c>
      <c r="L11" s="160" t="s">
        <v>229</v>
      </c>
      <c r="M11" s="164"/>
      <c r="N11" s="138"/>
      <c r="O11" s="165"/>
      <c r="P11" s="138"/>
      <c r="Q11" s="138"/>
      <c r="R11" s="142"/>
      <c r="S11" s="0"/>
      <c r="T11" s="0"/>
      <c r="U11" s="0"/>
    </row>
    <row r="12" customFormat="false" ht="15.6" hidden="false" customHeight="false" outlineLevel="0" collapsed="false">
      <c r="A12" s="153" t="s">
        <v>232</v>
      </c>
      <c r="B12" s="166" t="n">
        <v>600</v>
      </c>
      <c r="C12" s="147" t="s">
        <v>233</v>
      </c>
      <c r="D12" s="167" t="n">
        <f aca="false">D7*D11^2/4</f>
        <v>101093750</v>
      </c>
      <c r="E12" s="0"/>
      <c r="F12" s="0"/>
      <c r="G12" s="0"/>
      <c r="H12" s="0"/>
      <c r="I12" s="138"/>
      <c r="J12" s="138"/>
      <c r="K12" s="138"/>
      <c r="L12" s="138"/>
      <c r="M12" s="138"/>
      <c r="N12" s="138"/>
      <c r="O12" s="165"/>
      <c r="P12" s="138"/>
      <c r="Q12" s="138"/>
      <c r="R12" s="142"/>
      <c r="S12" s="0"/>
      <c r="T12" s="0"/>
      <c r="U12" s="0"/>
    </row>
    <row r="13" customFormat="false" ht="15.6" hidden="false" customHeight="false" outlineLevel="0" collapsed="false">
      <c r="A13" s="153" t="s">
        <v>234</v>
      </c>
      <c r="B13" s="134" t="n">
        <v>25</v>
      </c>
      <c r="C13" s="147" t="s">
        <v>235</v>
      </c>
      <c r="D13" s="167" t="n">
        <f aca="false">D7*D11^2/12</f>
        <v>33697916.6666667</v>
      </c>
      <c r="E13" s="0"/>
      <c r="F13" s="0"/>
      <c r="G13" s="0"/>
      <c r="H13" s="0"/>
      <c r="I13" s="155"/>
      <c r="J13" s="138"/>
      <c r="K13" s="138"/>
      <c r="L13" s="138"/>
      <c r="M13" s="138"/>
      <c r="N13" s="138"/>
      <c r="O13" s="165"/>
      <c r="P13" s="138"/>
      <c r="Q13" s="138"/>
      <c r="R13" s="142"/>
      <c r="S13" s="0"/>
      <c r="T13" s="0"/>
      <c r="U13" s="0"/>
    </row>
    <row r="14" customFormat="false" ht="15.6" hidden="false" customHeight="false" outlineLevel="0" collapsed="false">
      <c r="A14" s="153" t="s">
        <v>236</v>
      </c>
      <c r="B14" s="168" t="n">
        <f aca="false">750</f>
        <v>750</v>
      </c>
      <c r="C14" s="147" t="s">
        <v>237</v>
      </c>
      <c r="D14" s="167" t="n">
        <f aca="false">D13</f>
        <v>33697916.6666667</v>
      </c>
      <c r="E14" s="0"/>
      <c r="F14" s="0"/>
      <c r="G14" s="0"/>
      <c r="H14" s="0"/>
      <c r="I14" s="138"/>
      <c r="J14" s="138"/>
      <c r="K14" s="138"/>
      <c r="L14" s="138"/>
      <c r="M14" s="138"/>
      <c r="N14" s="169"/>
      <c r="O14" s="170"/>
      <c r="P14" s="138"/>
      <c r="Q14" s="138"/>
      <c r="R14" s="142"/>
      <c r="S14" s="0"/>
      <c r="T14" s="0"/>
      <c r="U14" s="0"/>
    </row>
    <row r="15" customFormat="false" ht="15.6" hidden="false" customHeight="false" outlineLevel="0" collapsed="false">
      <c r="A15" s="153" t="s">
        <v>238</v>
      </c>
      <c r="B15" s="134" t="n">
        <v>6.35</v>
      </c>
      <c r="C15" s="171" t="s">
        <v>239</v>
      </c>
      <c r="D15" s="144"/>
      <c r="E15" s="0"/>
      <c r="F15" s="0"/>
      <c r="G15" s="0"/>
      <c r="H15" s="0"/>
      <c r="I15" s="155"/>
      <c r="J15" s="138"/>
      <c r="K15" s="138"/>
      <c r="L15" s="138"/>
      <c r="M15" s="138"/>
      <c r="N15" s="138"/>
      <c r="O15" s="165"/>
      <c r="P15" s="138"/>
      <c r="Q15" s="138"/>
      <c r="R15" s="142"/>
      <c r="S15" s="0"/>
      <c r="T15" s="0"/>
      <c r="U15" s="0"/>
    </row>
    <row r="16" customFormat="false" ht="15.6" hidden="false" customHeight="false" outlineLevel="0" collapsed="false">
      <c r="A16" s="153" t="s">
        <v>240</v>
      </c>
      <c r="B16" s="172" t="n">
        <f aca="false">B13*B14</f>
        <v>18750</v>
      </c>
      <c r="C16" s="173" t="s">
        <v>241</v>
      </c>
      <c r="D16" s="144"/>
      <c r="E16" s="0"/>
      <c r="F16" s="0"/>
      <c r="G16" s="0"/>
      <c r="H16" s="0"/>
      <c r="I16" s="155"/>
      <c r="J16" s="138"/>
      <c r="K16" s="138"/>
      <c r="L16" s="138"/>
      <c r="M16" s="138"/>
      <c r="N16" s="138"/>
      <c r="O16" s="165"/>
      <c r="P16" s="138"/>
      <c r="Q16" s="138"/>
      <c r="R16" s="142"/>
      <c r="S16" s="0"/>
      <c r="T16" s="0"/>
      <c r="U16" s="0"/>
    </row>
    <row r="17" customFormat="false" ht="15.6" hidden="false" customHeight="false" outlineLevel="0" collapsed="false">
      <c r="A17" s="153" t="s">
        <v>242</v>
      </c>
      <c r="B17" s="174" t="n">
        <f aca="false">(B13*B14^3)/12</f>
        <v>878906250</v>
      </c>
      <c r="C17" s="147" t="s">
        <v>243</v>
      </c>
      <c r="D17" s="144" t="n">
        <v>11</v>
      </c>
      <c r="E17" s="0"/>
      <c r="F17" s="0"/>
      <c r="G17" s="0"/>
      <c r="H17" s="0"/>
      <c r="I17" s="155"/>
      <c r="J17" s="138"/>
      <c r="K17" s="138"/>
      <c r="L17" s="138"/>
      <c r="M17" s="138"/>
      <c r="N17" s="138"/>
      <c r="O17" s="165"/>
      <c r="P17" s="138"/>
      <c r="Q17" s="138"/>
      <c r="R17" s="142"/>
      <c r="S17" s="0"/>
      <c r="T17" s="0"/>
      <c r="U17" s="0"/>
    </row>
    <row r="18" customFormat="false" ht="15.6" hidden="false" customHeight="false" outlineLevel="0" collapsed="false">
      <c r="A18" s="153" t="s">
        <v>244</v>
      </c>
      <c r="B18" s="174" t="n">
        <f aca="false">((B14*B13^3)-(B14*(B13-2*B15)^3))/12</f>
        <v>860258.3125</v>
      </c>
      <c r="C18" s="147" t="s">
        <v>232</v>
      </c>
      <c r="D18" s="144" t="n">
        <v>1000</v>
      </c>
      <c r="E18" s="0"/>
      <c r="F18" s="0"/>
      <c r="G18" s="0"/>
      <c r="H18" s="0"/>
      <c r="I18" s="175"/>
      <c r="J18" s="138"/>
      <c r="K18" s="138"/>
      <c r="L18" s="138"/>
      <c r="M18" s="138"/>
      <c r="N18" s="138"/>
      <c r="O18" s="165"/>
      <c r="P18" s="138"/>
      <c r="Q18" s="138"/>
      <c r="R18" s="142"/>
      <c r="S18" s="0"/>
      <c r="T18" s="0"/>
      <c r="U18" s="0"/>
    </row>
    <row r="19" customFormat="false" ht="15.6" hidden="false" customHeight="false" outlineLevel="0" collapsed="false">
      <c r="A19" s="153" t="s">
        <v>245</v>
      </c>
      <c r="B19" s="174" t="n">
        <f aca="false">B13*B14*(B13^2+B14^2)/12</f>
        <v>879882812.5</v>
      </c>
      <c r="C19" s="147" t="s">
        <v>246</v>
      </c>
      <c r="D19" s="176" t="n">
        <v>200000</v>
      </c>
      <c r="E19" s="0"/>
      <c r="F19" s="0"/>
      <c r="G19" s="0"/>
      <c r="H19" s="0"/>
      <c r="I19" s="134"/>
      <c r="J19" s="138"/>
      <c r="K19" s="138"/>
      <c r="L19" s="138"/>
      <c r="M19" s="138"/>
      <c r="N19" s="138"/>
      <c r="O19" s="165"/>
      <c r="P19" s="138"/>
      <c r="Q19" s="138"/>
      <c r="R19" s="142"/>
      <c r="S19" s="0"/>
      <c r="T19" s="0"/>
      <c r="U19" s="0"/>
    </row>
    <row r="20" customFormat="false" ht="15.6" hidden="false" customHeight="false" outlineLevel="0" collapsed="false">
      <c r="A20" s="153" t="s">
        <v>247</v>
      </c>
      <c r="B20" s="155" t="n">
        <f aca="false">B18/B16</f>
        <v>45.8804433333333</v>
      </c>
      <c r="C20" s="147" t="s">
        <v>248</v>
      </c>
      <c r="D20" s="177" t="n">
        <f aca="false">PI()*D17^2/4*D19/D18</f>
        <v>19006.6355542182</v>
      </c>
      <c r="E20" s="0"/>
      <c r="F20" s="0"/>
      <c r="G20" s="0"/>
      <c r="H20" s="0"/>
      <c r="I20" s="155"/>
      <c r="J20" s="138"/>
      <c r="K20" s="138"/>
      <c r="L20" s="138"/>
      <c r="M20" s="138"/>
      <c r="N20" s="138"/>
      <c r="O20" s="165"/>
      <c r="P20" s="138"/>
      <c r="Q20" s="138"/>
      <c r="R20" s="142"/>
      <c r="S20" s="0"/>
      <c r="T20" s="0"/>
      <c r="U20" s="0"/>
    </row>
    <row r="21" customFormat="false" ht="16.2" hidden="false" customHeight="false" outlineLevel="0" collapsed="false">
      <c r="A21" s="178" t="s">
        <v>249</v>
      </c>
      <c r="B21" s="179" t="s">
        <v>250</v>
      </c>
      <c r="C21" s="180" t="s">
        <v>251</v>
      </c>
      <c r="D21" s="181" t="n">
        <v>3</v>
      </c>
      <c r="E21" s="135"/>
      <c r="F21" s="135"/>
      <c r="G21" s="136"/>
      <c r="H21" s="136"/>
      <c r="I21" s="179"/>
      <c r="J21" s="137"/>
      <c r="K21" s="137"/>
      <c r="L21" s="137"/>
      <c r="M21" s="137"/>
      <c r="N21" s="138"/>
      <c r="O21" s="165"/>
      <c r="P21" s="138"/>
      <c r="Q21" s="138"/>
      <c r="R21" s="142"/>
      <c r="S21" s="0"/>
      <c r="T21" s="0"/>
      <c r="U21" s="0"/>
    </row>
    <row r="22" customFormat="false" ht="16.2" hidden="false" customHeight="false" outlineLevel="0" collapsed="false">
      <c r="A22" s="182" t="s">
        <v>252</v>
      </c>
      <c r="B22" s="182"/>
      <c r="C22" s="182"/>
      <c r="D22" s="182"/>
      <c r="E22" s="182"/>
      <c r="F22" s="182"/>
      <c r="G22" s="182"/>
      <c r="H22" s="182"/>
      <c r="I22" s="182"/>
      <c r="J22" s="182"/>
      <c r="K22" s="182"/>
      <c r="L22" s="182"/>
      <c r="M22" s="182"/>
      <c r="N22" s="183"/>
      <c r="O22" s="138"/>
      <c r="P22" s="138"/>
      <c r="Q22" s="138"/>
      <c r="R22" s="142"/>
      <c r="S22" s="0"/>
      <c r="T22" s="0"/>
      <c r="U22" s="0"/>
    </row>
    <row r="23" customFormat="false" ht="31.2" hidden="false" customHeight="false" outlineLevel="0" collapsed="false">
      <c r="A23" s="184" t="s">
        <v>253</v>
      </c>
      <c r="B23" s="185"/>
      <c r="C23" s="186" t="s">
        <v>254</v>
      </c>
      <c r="D23" s="163"/>
      <c r="E23" s="163"/>
      <c r="F23" s="163"/>
      <c r="G23" s="187"/>
      <c r="H23" s="187"/>
      <c r="I23" s="187"/>
      <c r="J23" s="187"/>
      <c r="K23" s="187"/>
      <c r="L23" s="187"/>
      <c r="M23" s="187"/>
      <c r="N23" s="0"/>
      <c r="O23" s="142"/>
      <c r="P23" s="142"/>
      <c r="Q23" s="142"/>
      <c r="R23" s="142"/>
      <c r="S23" s="0"/>
      <c r="T23" s="0"/>
      <c r="U23" s="0"/>
    </row>
    <row r="24" customFormat="false" ht="15.6" hidden="false" customHeight="false" outlineLevel="0" collapsed="false">
      <c r="A24" s="153" t="s">
        <v>255</v>
      </c>
      <c r="B24" s="25"/>
      <c r="C24" s="0"/>
      <c r="D24" s="0"/>
      <c r="E24" s="0"/>
      <c r="F24" s="0"/>
      <c r="G24" s="0"/>
      <c r="H24" s="0"/>
      <c r="I24" s="0"/>
      <c r="J24" s="0"/>
      <c r="K24" s="0"/>
      <c r="L24" s="0"/>
      <c r="M24" s="0"/>
      <c r="N24" s="0"/>
      <c r="O24" s="142"/>
      <c r="P24" s="142"/>
      <c r="Q24" s="142"/>
      <c r="R24" s="142"/>
      <c r="S24" s="0"/>
      <c r="T24" s="0"/>
      <c r="U24" s="0"/>
    </row>
    <row r="25" customFormat="false" ht="15.6" hidden="false" customHeight="false" outlineLevel="0" collapsed="false">
      <c r="A25" s="87" t="s">
        <v>113</v>
      </c>
      <c r="B25" s="188" t="n">
        <f aca="false">SUM(H35:S35)+C25</f>
        <v>2312800</v>
      </c>
      <c r="C25" s="189" t="n">
        <v>0</v>
      </c>
      <c r="D25" s="0"/>
      <c r="E25" s="0"/>
      <c r="F25" s="0"/>
      <c r="G25" s="0"/>
      <c r="H25" s="0"/>
      <c r="I25" s="0"/>
      <c r="J25" s="0"/>
      <c r="K25" s="0"/>
      <c r="L25" s="0"/>
      <c r="M25" s="0"/>
      <c r="N25" s="0"/>
      <c r="O25" s="142"/>
      <c r="P25" s="142"/>
      <c r="Q25" s="142"/>
      <c r="R25" s="142"/>
      <c r="S25" s="0"/>
      <c r="T25" s="0"/>
      <c r="U25" s="0"/>
    </row>
    <row r="26" customFormat="false" ht="15.6" hidden="false" customHeight="false" outlineLevel="0" collapsed="false">
      <c r="A26" s="87" t="s">
        <v>116</v>
      </c>
      <c r="B26" s="188" t="n">
        <f aca="false">SUM(H36:S36)+C26</f>
        <v>0</v>
      </c>
      <c r="C26" s="190" t="n">
        <v>0</v>
      </c>
      <c r="D26" s="0"/>
      <c r="E26" s="0"/>
      <c r="F26" s="0"/>
      <c r="G26" s="191" t="s">
        <v>256</v>
      </c>
      <c r="H26" s="0"/>
      <c r="I26" s="0"/>
      <c r="J26" s="0"/>
      <c r="K26" s="0"/>
      <c r="L26" s="0"/>
      <c r="M26" s="0"/>
      <c r="N26" s="0"/>
      <c r="O26" s="142"/>
      <c r="P26" s="142"/>
      <c r="Q26" s="142"/>
      <c r="R26" s="142"/>
      <c r="S26" s="0"/>
      <c r="T26" s="0"/>
      <c r="U26" s="0"/>
    </row>
    <row r="27" customFormat="false" ht="15.6" hidden="false" customHeight="false" outlineLevel="0" collapsed="false">
      <c r="A27" s="87" t="s">
        <v>118</v>
      </c>
      <c r="B27" s="188" t="n">
        <f aca="false">SUM(H37:S37)+C27</f>
        <v>2312800</v>
      </c>
      <c r="C27" s="189" t="n">
        <v>0</v>
      </c>
      <c r="D27" s="0"/>
      <c r="E27" s="0"/>
      <c r="F27" s="0"/>
      <c r="G27" s="134" t="s">
        <v>257</v>
      </c>
      <c r="H27" s="0"/>
      <c r="I27" s="0"/>
      <c r="J27" s="0"/>
      <c r="K27" s="0"/>
      <c r="L27" s="0"/>
      <c r="M27" s="0"/>
      <c r="N27" s="0"/>
      <c r="O27" s="142"/>
      <c r="P27" s="142"/>
      <c r="Q27" s="142"/>
      <c r="R27" s="142"/>
      <c r="S27" s="0"/>
      <c r="T27" s="0"/>
      <c r="U27" s="0"/>
    </row>
    <row r="28" customFormat="false" ht="15.6" hidden="false" customHeight="false" outlineLevel="0" collapsed="false">
      <c r="A28" s="153" t="s">
        <v>258</v>
      </c>
      <c r="B28" s="25"/>
      <c r="C28" s="192"/>
      <c r="D28" s="193"/>
      <c r="E28" s="193"/>
      <c r="F28" s="193"/>
      <c r="G28" s="194" t="s">
        <v>259</v>
      </c>
      <c r="H28" s="195" t="n">
        <v>4</v>
      </c>
      <c r="I28" s="0"/>
      <c r="J28" s="0"/>
      <c r="K28" s="0"/>
      <c r="L28" s="0"/>
      <c r="M28" s="0"/>
      <c r="N28" s="0"/>
      <c r="O28" s="142"/>
      <c r="P28" s="142"/>
      <c r="Q28" s="142"/>
      <c r="R28" s="142"/>
      <c r="S28" s="0"/>
      <c r="T28" s="0"/>
      <c r="U28" s="0"/>
    </row>
    <row r="29" customFormat="false" ht="15.6" hidden="false" customHeight="false" outlineLevel="0" collapsed="false">
      <c r="A29" s="87" t="s">
        <v>120</v>
      </c>
      <c r="B29" s="188" t="n">
        <f aca="false">SUM(H39:S39)+SUM(H43:S43)+C29</f>
        <v>134791666.666667</v>
      </c>
      <c r="C29" s="189" t="n">
        <v>0</v>
      </c>
      <c r="D29" s="193"/>
      <c r="E29" s="193"/>
      <c r="F29" s="193"/>
      <c r="G29" s="0"/>
      <c r="H29" s="76" t="s">
        <v>260</v>
      </c>
      <c r="I29" s="76"/>
      <c r="J29" s="76"/>
      <c r="K29" s="76"/>
      <c r="L29" s="76"/>
      <c r="M29" s="76"/>
      <c r="N29" s="76"/>
      <c r="O29" s="76"/>
      <c r="P29" s="76"/>
      <c r="Q29" s="76"/>
      <c r="R29" s="76"/>
      <c r="S29" s="76"/>
      <c r="T29" s="0"/>
      <c r="U29" s="0"/>
    </row>
    <row r="30" customFormat="false" ht="15.6" hidden="false" customHeight="false" outlineLevel="0" collapsed="false">
      <c r="A30" s="87" t="s">
        <v>123</v>
      </c>
      <c r="B30" s="188" t="n">
        <f aca="false">SUM(H40:S40)+SUM(H44:S44)+C30</f>
        <v>16666250000</v>
      </c>
      <c r="C30" s="189" t="n">
        <v>0</v>
      </c>
      <c r="D30" s="193"/>
      <c r="E30" s="193"/>
      <c r="F30" s="193"/>
      <c r="G30" s="134" t="s">
        <v>261</v>
      </c>
      <c r="H30" s="85" t="n">
        <v>1</v>
      </c>
      <c r="I30" s="85" t="n">
        <f aca="false">H30+1</f>
        <v>2</v>
      </c>
      <c r="J30" s="85" t="n">
        <f aca="false">I30+1</f>
        <v>3</v>
      </c>
      <c r="K30" s="85" t="n">
        <f aca="false">J30+1</f>
        <v>4</v>
      </c>
      <c r="L30" s="85" t="n">
        <f aca="false">K30+1</f>
        <v>5</v>
      </c>
      <c r="M30" s="85" t="n">
        <f aca="false">L30+1</f>
        <v>6</v>
      </c>
      <c r="N30" s="85" t="n">
        <f aca="false">M30+1</f>
        <v>7</v>
      </c>
      <c r="O30" s="85" t="n">
        <f aca="false">N30+1</f>
        <v>8</v>
      </c>
      <c r="P30" s="85" t="n">
        <f aca="false">O30+1</f>
        <v>9</v>
      </c>
      <c r="Q30" s="85" t="n">
        <f aca="false">P30+1</f>
        <v>10</v>
      </c>
      <c r="R30" s="85" t="n">
        <f aca="false">Q30+1</f>
        <v>11</v>
      </c>
      <c r="S30" s="85" t="n">
        <f aca="false">R30+1</f>
        <v>12</v>
      </c>
      <c r="T30" s="0"/>
      <c r="U30" s="0"/>
    </row>
    <row r="31" customFormat="false" ht="15.6" hidden="false" customHeight="false" outlineLevel="0" collapsed="false">
      <c r="A31" s="87" t="s">
        <v>125</v>
      </c>
      <c r="B31" s="188" t="n">
        <f aca="false">SUM(H41:S41)+SUM(H45:S45)+C31</f>
        <v>134791666.666667</v>
      </c>
      <c r="C31" s="189" t="n">
        <v>0</v>
      </c>
      <c r="D31" s="193"/>
      <c r="E31" s="193"/>
      <c r="F31" s="193"/>
      <c r="G31" s="153" t="s">
        <v>262</v>
      </c>
      <c r="H31" s="195" t="n">
        <v>37.5</v>
      </c>
      <c r="I31" s="195" t="n">
        <f aca="false">-H31</f>
        <v>-37.5</v>
      </c>
      <c r="J31" s="195" t="n">
        <f aca="false">-H31</f>
        <v>-37.5</v>
      </c>
      <c r="K31" s="195" t="n">
        <f aca="false">H31</f>
        <v>37.5</v>
      </c>
      <c r="L31" s="195" t="n">
        <v>0</v>
      </c>
      <c r="M31" s="195" t="n">
        <v>0</v>
      </c>
      <c r="N31" s="195" t="n">
        <v>0</v>
      </c>
      <c r="O31" s="195" t="n">
        <v>0</v>
      </c>
      <c r="P31" s="195" t="n">
        <v>0</v>
      </c>
      <c r="Q31" s="195" t="n">
        <v>0</v>
      </c>
      <c r="R31" s="195" t="n">
        <v>0</v>
      </c>
      <c r="S31" s="195" t="n">
        <v>0</v>
      </c>
      <c r="T31" s="77" t="s">
        <v>263</v>
      </c>
      <c r="U31" s="77" t="n">
        <v>100</v>
      </c>
    </row>
    <row r="32" customFormat="false" ht="13.95" hidden="false" customHeight="true" outlineLevel="0" collapsed="false">
      <c r="A32" s="196" t="s">
        <v>264</v>
      </c>
      <c r="B32" s="196"/>
      <c r="C32" s="196"/>
      <c r="D32" s="193"/>
      <c r="E32" s="193"/>
      <c r="F32" s="193"/>
      <c r="G32" s="153" t="s">
        <v>265</v>
      </c>
      <c r="H32" s="195" t="n">
        <v>0</v>
      </c>
      <c r="I32" s="195" t="n">
        <v>0</v>
      </c>
      <c r="J32" s="195" t="n">
        <v>0</v>
      </c>
      <c r="K32" s="195" t="n">
        <v>0</v>
      </c>
      <c r="L32" s="195" t="n">
        <v>0</v>
      </c>
      <c r="M32" s="195" t="n">
        <v>0</v>
      </c>
      <c r="N32" s="195" t="n">
        <v>0</v>
      </c>
      <c r="O32" s="195" t="n">
        <v>0</v>
      </c>
      <c r="P32" s="195" t="n">
        <v>0</v>
      </c>
      <c r="Q32" s="195" t="n">
        <v>0</v>
      </c>
      <c r="R32" s="195" t="n">
        <v>0</v>
      </c>
      <c r="S32" s="195" t="n">
        <v>0</v>
      </c>
      <c r="T32" s="77" t="s">
        <v>266</v>
      </c>
      <c r="U32" s="77" t="n">
        <v>60</v>
      </c>
    </row>
    <row r="33" customFormat="false" ht="15" hidden="false" customHeight="true" outlineLevel="0" collapsed="false">
      <c r="A33" s="196"/>
      <c r="B33" s="196"/>
      <c r="C33" s="196"/>
      <c r="D33" s="193"/>
      <c r="E33" s="193"/>
      <c r="F33" s="193"/>
      <c r="G33" s="153" t="s">
        <v>267</v>
      </c>
      <c r="H33" s="197" t="n">
        <v>75</v>
      </c>
      <c r="I33" s="197" t="n">
        <v>75</v>
      </c>
      <c r="J33" s="197" t="n">
        <v>-75</v>
      </c>
      <c r="K33" s="197" t="n">
        <v>-75</v>
      </c>
      <c r="L33" s="195" t="n">
        <v>0</v>
      </c>
      <c r="M33" s="195" t="n">
        <v>0</v>
      </c>
      <c r="N33" s="195" t="n">
        <v>0</v>
      </c>
      <c r="O33" s="195" t="n">
        <v>0</v>
      </c>
      <c r="P33" s="195" t="n">
        <v>0</v>
      </c>
      <c r="Q33" s="195" t="n">
        <v>0</v>
      </c>
      <c r="R33" s="195" t="n">
        <v>0</v>
      </c>
      <c r="S33" s="195" t="n">
        <v>0</v>
      </c>
      <c r="T33" s="77" t="s">
        <v>268</v>
      </c>
      <c r="U33" s="77" t="s">
        <v>269</v>
      </c>
    </row>
    <row r="34" customFormat="false" ht="15.6" hidden="false" customHeight="false" outlineLevel="0" collapsed="false">
      <c r="A34" s="196"/>
      <c r="B34" s="196"/>
      <c r="C34" s="196"/>
      <c r="D34" s="0"/>
      <c r="E34" s="0"/>
      <c r="F34" s="0"/>
      <c r="G34" s="134" t="s">
        <v>270</v>
      </c>
      <c r="H34" s="198"/>
      <c r="I34" s="199"/>
      <c r="J34" s="199"/>
      <c r="K34" s="200"/>
      <c r="L34" s="0"/>
      <c r="M34" s="0"/>
      <c r="N34" s="0"/>
      <c r="O34" s="0"/>
      <c r="P34" s="0"/>
      <c r="Q34" s="0"/>
      <c r="R34" s="0"/>
      <c r="S34" s="0"/>
      <c r="T34" s="0"/>
    </row>
    <row r="35" customFormat="false" ht="15.6" hidden="false" customHeight="false" outlineLevel="0" collapsed="false">
      <c r="A35" s="201" t="s">
        <v>271</v>
      </c>
      <c r="B35" s="201"/>
      <c r="C35" s="201"/>
      <c r="D35" s="193"/>
      <c r="E35" s="193"/>
      <c r="F35" s="193"/>
      <c r="G35" s="153" t="s">
        <v>113</v>
      </c>
      <c r="H35" s="202" t="n">
        <f aca="false">D10</f>
        <v>578200</v>
      </c>
      <c r="I35" s="202" t="n">
        <f aca="false">H35</f>
        <v>578200</v>
      </c>
      <c r="J35" s="202" t="n">
        <f aca="false">I35</f>
        <v>578200</v>
      </c>
      <c r="K35" s="202" t="n">
        <f aca="false">J35</f>
        <v>578200</v>
      </c>
      <c r="L35" s="195" t="n">
        <v>0</v>
      </c>
      <c r="M35" s="195" t="n">
        <v>0</v>
      </c>
      <c r="N35" s="195" t="n">
        <v>0</v>
      </c>
      <c r="O35" s="195" t="n">
        <v>0</v>
      </c>
      <c r="P35" s="195" t="n">
        <v>0</v>
      </c>
      <c r="Q35" s="195" t="n">
        <v>0</v>
      </c>
      <c r="R35" s="195" t="n">
        <v>0</v>
      </c>
      <c r="S35" s="195" t="n">
        <v>0</v>
      </c>
      <c r="T35" s="0"/>
    </row>
    <row r="36" customFormat="false" ht="15.6" hidden="false" customHeight="false" outlineLevel="0" collapsed="false">
      <c r="A36" s="77" t="s">
        <v>28</v>
      </c>
      <c r="B36" s="0"/>
      <c r="C36" s="0"/>
      <c r="D36" s="193"/>
      <c r="E36" s="193"/>
      <c r="F36" s="193" t="s">
        <v>272</v>
      </c>
      <c r="G36" s="153" t="s">
        <v>116</v>
      </c>
      <c r="H36" s="203" t="n">
        <v>0</v>
      </c>
      <c r="I36" s="203" t="n">
        <v>0</v>
      </c>
      <c r="J36" s="203" t="n">
        <v>0</v>
      </c>
      <c r="K36" s="203" t="n">
        <v>0</v>
      </c>
      <c r="L36" s="195" t="n">
        <v>0</v>
      </c>
      <c r="M36" s="195" t="n">
        <v>0</v>
      </c>
      <c r="N36" s="195" t="n">
        <v>0</v>
      </c>
      <c r="O36" s="195" t="n">
        <v>0</v>
      </c>
      <c r="P36" s="195" t="n">
        <v>0</v>
      </c>
      <c r="Q36" s="195" t="n">
        <v>0</v>
      </c>
      <c r="R36" s="195" t="n">
        <v>0</v>
      </c>
      <c r="S36" s="195" t="n">
        <v>0</v>
      </c>
      <c r="T36" s="0"/>
    </row>
    <row r="37" customFormat="false" ht="15.6" hidden="false" customHeight="false" outlineLevel="0" collapsed="false">
      <c r="A37" s="153" t="s">
        <v>273</v>
      </c>
      <c r="B37" s="195" t="n">
        <v>0</v>
      </c>
      <c r="C37" s="142"/>
      <c r="D37" s="193"/>
      <c r="E37" s="193"/>
      <c r="F37" s="193"/>
      <c r="G37" s="153" t="s">
        <v>118</v>
      </c>
      <c r="H37" s="202" t="n">
        <f aca="false">H35</f>
        <v>578200</v>
      </c>
      <c r="I37" s="202" t="n">
        <f aca="false">I35</f>
        <v>578200</v>
      </c>
      <c r="J37" s="202" t="n">
        <f aca="false">J35</f>
        <v>578200</v>
      </c>
      <c r="K37" s="202" t="n">
        <f aca="false">K35</f>
        <v>578200</v>
      </c>
      <c r="L37" s="195" t="n">
        <v>0</v>
      </c>
      <c r="M37" s="195" t="n">
        <v>0</v>
      </c>
      <c r="N37" s="195" t="n">
        <v>0</v>
      </c>
      <c r="O37" s="195" t="n">
        <v>0</v>
      </c>
      <c r="P37" s="195" t="n">
        <v>0</v>
      </c>
      <c r="Q37" s="195" t="n">
        <v>0</v>
      </c>
      <c r="R37" s="195" t="n">
        <v>0</v>
      </c>
      <c r="S37" s="195" t="n">
        <v>0</v>
      </c>
      <c r="T37" s="0"/>
    </row>
    <row r="38" customFormat="false" ht="15.6" hidden="false" customHeight="false" outlineLevel="0" collapsed="false">
      <c r="A38" s="153" t="s">
        <v>274</v>
      </c>
      <c r="B38" s="195" t="n">
        <v>0</v>
      </c>
      <c r="C38" s="142"/>
      <c r="D38" s="193"/>
      <c r="E38" s="193"/>
      <c r="F38" s="193"/>
      <c r="G38" s="134" t="s">
        <v>275</v>
      </c>
      <c r="H38" s="198"/>
      <c r="I38" s="199"/>
      <c r="J38" s="199"/>
      <c r="K38" s="200"/>
      <c r="L38" s="0"/>
      <c r="M38" s="0"/>
      <c r="N38" s="0"/>
      <c r="O38" s="0"/>
      <c r="P38" s="0"/>
      <c r="Q38" s="0"/>
      <c r="R38" s="0"/>
      <c r="S38" s="0"/>
      <c r="T38" s="0"/>
    </row>
    <row r="39" customFormat="false" ht="15.6" hidden="false" customHeight="false" outlineLevel="0" collapsed="false">
      <c r="A39" s="153" t="s">
        <v>276</v>
      </c>
      <c r="B39" s="195" t="n">
        <v>0</v>
      </c>
      <c r="C39" s="142"/>
      <c r="D39" s="193"/>
      <c r="E39" s="193"/>
      <c r="F39" s="193"/>
      <c r="G39" s="153" t="s">
        <v>120</v>
      </c>
      <c r="H39" s="204" t="n">
        <f aca="false">D13</f>
        <v>33697916.6666667</v>
      </c>
      <c r="I39" s="204" t="n">
        <f aca="false">H39</f>
        <v>33697916.6666667</v>
      </c>
      <c r="J39" s="204" t="n">
        <f aca="false">I39</f>
        <v>33697916.6666667</v>
      </c>
      <c r="K39" s="204" t="n">
        <f aca="false">J39</f>
        <v>33697916.6666667</v>
      </c>
      <c r="L39" s="195" t="n">
        <v>0</v>
      </c>
      <c r="M39" s="195" t="n">
        <v>0</v>
      </c>
      <c r="N39" s="195" t="n">
        <v>0</v>
      </c>
      <c r="O39" s="195" t="n">
        <v>0</v>
      </c>
      <c r="P39" s="195" t="n">
        <v>0</v>
      </c>
      <c r="Q39" s="195" t="n">
        <v>0</v>
      </c>
      <c r="R39" s="195" t="n">
        <v>0</v>
      </c>
      <c r="S39" s="195" t="n">
        <v>0</v>
      </c>
      <c r="T39" s="0"/>
    </row>
    <row r="40" customFormat="false" ht="15.6" hidden="false" customHeight="false" outlineLevel="0" collapsed="false">
      <c r="A40" s="165" t="s">
        <v>29</v>
      </c>
      <c r="B40" s="0"/>
      <c r="C40" s="0"/>
      <c r="D40" s="193"/>
      <c r="E40" s="193"/>
      <c r="F40" s="193"/>
      <c r="G40" s="153" t="s">
        <v>123</v>
      </c>
      <c r="H40" s="204" t="n">
        <f aca="false">D12</f>
        <v>101093750</v>
      </c>
      <c r="I40" s="204" t="n">
        <f aca="false">H40</f>
        <v>101093750</v>
      </c>
      <c r="J40" s="204" t="n">
        <f aca="false">I40</f>
        <v>101093750</v>
      </c>
      <c r="K40" s="204" t="n">
        <f aca="false">J40</f>
        <v>101093750</v>
      </c>
      <c r="L40" s="195" t="n">
        <v>0</v>
      </c>
      <c r="M40" s="195" t="n">
        <v>0</v>
      </c>
      <c r="N40" s="195" t="n">
        <v>0</v>
      </c>
      <c r="O40" s="195" t="n">
        <v>0</v>
      </c>
      <c r="P40" s="195" t="n">
        <v>0</v>
      </c>
      <c r="Q40" s="195" t="n">
        <v>0</v>
      </c>
      <c r="R40" s="195" t="n">
        <v>0</v>
      </c>
      <c r="S40" s="195" t="n">
        <v>0</v>
      </c>
      <c r="T40" s="0"/>
    </row>
    <row r="41" customFormat="false" ht="15.6" hidden="false" customHeight="false" outlineLevel="0" collapsed="false">
      <c r="A41" s="153" t="s">
        <v>273</v>
      </c>
      <c r="B41" s="195" t="n">
        <v>0</v>
      </c>
      <c r="C41" s="142"/>
      <c r="D41" s="0"/>
      <c r="E41" s="0"/>
      <c r="F41" s="0"/>
      <c r="G41" s="153" t="s">
        <v>125</v>
      </c>
      <c r="H41" s="204" t="n">
        <f aca="false">D14</f>
        <v>33697916.6666667</v>
      </c>
      <c r="I41" s="204" t="n">
        <f aca="false">H41</f>
        <v>33697916.6666667</v>
      </c>
      <c r="J41" s="204" t="n">
        <f aca="false">I41</f>
        <v>33697916.6666667</v>
      </c>
      <c r="K41" s="204" t="n">
        <f aca="false">J41</f>
        <v>33697916.6666667</v>
      </c>
      <c r="L41" s="195" t="n">
        <v>0</v>
      </c>
      <c r="M41" s="195" t="n">
        <v>0</v>
      </c>
      <c r="N41" s="195" t="n">
        <v>0</v>
      </c>
      <c r="O41" s="195" t="n">
        <v>0</v>
      </c>
      <c r="P41" s="195" t="n">
        <v>0</v>
      </c>
      <c r="Q41" s="195" t="n">
        <v>0</v>
      </c>
      <c r="R41" s="195" t="n">
        <v>0</v>
      </c>
      <c r="S41" s="195" t="n">
        <v>0</v>
      </c>
      <c r="T41" s="0"/>
    </row>
    <row r="42" customFormat="false" ht="15.6" hidden="false" customHeight="false" outlineLevel="0" collapsed="false">
      <c r="A42" s="153" t="s">
        <v>274</v>
      </c>
      <c r="B42" s="195" t="n">
        <v>0</v>
      </c>
      <c r="C42" s="142"/>
      <c r="D42" s="205"/>
      <c r="E42" s="205"/>
      <c r="F42" s="205"/>
      <c r="G42" s="134" t="s">
        <v>277</v>
      </c>
      <c r="H42" s="0"/>
      <c r="I42" s="0"/>
      <c r="J42" s="0"/>
      <c r="K42" s="0"/>
      <c r="L42" s="0"/>
      <c r="M42" s="0"/>
      <c r="N42" s="0"/>
      <c r="O42" s="0"/>
      <c r="P42" s="0"/>
      <c r="Q42" s="0"/>
      <c r="R42" s="0"/>
      <c r="S42" s="0"/>
      <c r="T42" s="0"/>
    </row>
    <row r="43" customFormat="false" ht="15.6" hidden="false" customHeight="false" outlineLevel="0" collapsed="false">
      <c r="A43" s="153" t="s">
        <v>276</v>
      </c>
      <c r="B43" s="195" t="n">
        <v>0</v>
      </c>
      <c r="C43" s="142"/>
      <c r="D43" s="0"/>
      <c r="E43" s="0"/>
      <c r="F43" s="0"/>
      <c r="G43" s="153" t="s">
        <v>120</v>
      </c>
      <c r="H43" s="188" t="n">
        <f aca="false">H36*H33^2+H37*H32^2</f>
        <v>0</v>
      </c>
      <c r="I43" s="188" t="n">
        <f aca="false">I36*I33^2+I37*I32^2</f>
        <v>0</v>
      </c>
      <c r="J43" s="188" t="n">
        <f aca="false">J36*J33^2+J37*J32^2</f>
        <v>0</v>
      </c>
      <c r="K43" s="188" t="n">
        <f aca="false">K36*K33^2+K37*K32^2</f>
        <v>0</v>
      </c>
      <c r="L43" s="24" t="n">
        <f aca="false">L36*L33^2+L37*L32^2</f>
        <v>0</v>
      </c>
      <c r="M43" s="24" t="n">
        <f aca="false">M36*M33^2+M37*M32^2</f>
        <v>0</v>
      </c>
      <c r="N43" s="24" t="n">
        <f aca="false">N36*N33^2+N37*N32^2</f>
        <v>0</v>
      </c>
      <c r="O43" s="24" t="n">
        <f aca="false">O36*O33^2+O37*O32^2</f>
        <v>0</v>
      </c>
      <c r="P43" s="24" t="n">
        <f aca="false">P36*P33^2+P37*P32^2</f>
        <v>0</v>
      </c>
      <c r="Q43" s="24" t="n">
        <f aca="false">Q36*Q33^2+Q37*Q32^2</f>
        <v>0</v>
      </c>
      <c r="R43" s="24" t="n">
        <f aca="false">R36*R33^2+R37*R32^2</f>
        <v>0</v>
      </c>
      <c r="S43" s="24" t="n">
        <f aca="false">S36*S33^2+S37*S32^2</f>
        <v>0</v>
      </c>
      <c r="T43" s="0"/>
    </row>
    <row r="44" customFormat="false" ht="15.6" hidden="false" customHeight="false" outlineLevel="0" collapsed="false">
      <c r="A44" s="76" t="s">
        <v>278</v>
      </c>
      <c r="B44" s="0"/>
      <c r="C44" s="0"/>
      <c r="D44" s="190"/>
      <c r="E44" s="190"/>
      <c r="F44" s="190"/>
      <c r="G44" s="153" t="s">
        <v>123</v>
      </c>
      <c r="H44" s="188" t="n">
        <f aca="false">H35*H33^2+H37*H31^2</f>
        <v>4065468750</v>
      </c>
      <c r="I44" s="188" t="n">
        <f aca="false">I35*I33^2+I37*I31^2</f>
        <v>4065468750</v>
      </c>
      <c r="J44" s="188" t="n">
        <f aca="false">J35*J33^2+J37*J31^2</f>
        <v>4065468750</v>
      </c>
      <c r="K44" s="188" t="n">
        <f aca="false">K35*K33^2+K37*K31^2</f>
        <v>4065468750</v>
      </c>
      <c r="L44" s="24" t="n">
        <f aca="false">L35*L33^2+L37*L31^2</f>
        <v>0</v>
      </c>
      <c r="M44" s="24" t="n">
        <f aca="false">M35*M33^2+M37*M31^2</f>
        <v>0</v>
      </c>
      <c r="N44" s="24" t="n">
        <f aca="false">N35*N33^2+N37*N31^2</f>
        <v>0</v>
      </c>
      <c r="O44" s="24" t="n">
        <f aca="false">O35*O33^2+O37*O31^2</f>
        <v>0</v>
      </c>
      <c r="P44" s="24" t="n">
        <f aca="false">P35*P33^2+P37*P31^2</f>
        <v>0</v>
      </c>
      <c r="Q44" s="24" t="n">
        <f aca="false">Q35*Q33^2+Q37*Q31^2</f>
        <v>0</v>
      </c>
      <c r="R44" s="24" t="n">
        <f aca="false">R35*R33^2+R37*R31^2</f>
        <v>0</v>
      </c>
      <c r="S44" s="24" t="n">
        <f aca="false">S35*S33^2+S37*S31^2</f>
        <v>0</v>
      </c>
      <c r="T44" s="0"/>
    </row>
    <row r="45" customFormat="false" ht="15.6" hidden="false" customHeight="false" outlineLevel="0" collapsed="false">
      <c r="A45" s="153" t="s">
        <v>279</v>
      </c>
      <c r="B45" s="24" t="n">
        <f aca="false">SQRT((H47^2+I47^2+J47^2+K47^2+L47^2+M47^2+N47^2+O47^2+P47^2+Q47^2+R47^2+S47^2)/H$28)</f>
        <v>0.005</v>
      </c>
      <c r="C45" s="193"/>
      <c r="D45" s="189"/>
      <c r="E45" s="189"/>
      <c r="F45" s="189"/>
      <c r="G45" s="153" t="s">
        <v>125</v>
      </c>
      <c r="H45" s="188" t="n">
        <f aca="false">H35*H32^2+H36*H31^2</f>
        <v>0</v>
      </c>
      <c r="I45" s="188" t="n">
        <f aca="false">I35*I32^2+I36*I31^2</f>
        <v>0</v>
      </c>
      <c r="J45" s="188" t="n">
        <f aca="false">J35*J32^2+J36*J31^2</f>
        <v>0</v>
      </c>
      <c r="K45" s="188" t="n">
        <f aca="false">K35*K32^2+K36*K31^2</f>
        <v>0</v>
      </c>
      <c r="L45" s="24" t="n">
        <f aca="false">L35*L32^2+L36*L31^2</f>
        <v>0</v>
      </c>
      <c r="M45" s="24" t="n">
        <f aca="false">M35*M32^2+M36*M31^2</f>
        <v>0</v>
      </c>
      <c r="N45" s="24" t="n">
        <f aca="false">N35*N32^2+N36*N31^2</f>
        <v>0</v>
      </c>
      <c r="O45" s="24" t="n">
        <f aca="false">O35*O32^2+O36*O31^2</f>
        <v>0</v>
      </c>
      <c r="P45" s="24" t="n">
        <f aca="false">P35*P32^2+P36*P31^2</f>
        <v>0</v>
      </c>
      <c r="Q45" s="24" t="n">
        <f aca="false">Q35*Q32^2+Q36*Q31^2</f>
        <v>0</v>
      </c>
      <c r="R45" s="24" t="n">
        <f aca="false">R35*R32^2+R36*R31^2</f>
        <v>0</v>
      </c>
      <c r="S45" s="24" t="n">
        <f aca="false">S35*S32^2+S36*S31^2</f>
        <v>0</v>
      </c>
      <c r="T45" s="0"/>
    </row>
    <row r="46" customFormat="false" ht="15.6" hidden="false" customHeight="false" outlineLevel="0" collapsed="false">
      <c r="A46" s="153" t="s">
        <v>280</v>
      </c>
      <c r="B46" s="24" t="n">
        <f aca="false">SQRT((H48^2+I48^2+J48^2+K48^2+L48^2+M48^2+N48^2+O48^2+P48^2+Q48^2+R48^2+S48^2)/H$28)</f>
        <v>0.005</v>
      </c>
      <c r="C46" s="193"/>
      <c r="D46" s="189"/>
      <c r="E46" s="189"/>
      <c r="F46" s="189"/>
      <c r="G46" s="134" t="s">
        <v>281</v>
      </c>
      <c r="H46" s="0"/>
      <c r="I46" s="0"/>
      <c r="J46" s="0"/>
      <c r="K46" s="0"/>
      <c r="L46" s="0"/>
      <c r="M46" s="0"/>
      <c r="N46" s="0"/>
      <c r="O46" s="0"/>
      <c r="P46" s="0"/>
      <c r="Q46" s="0"/>
      <c r="R46" s="0"/>
      <c r="S46" s="0"/>
      <c r="T46" s="0"/>
    </row>
    <row r="47" customFormat="false" ht="15.6" hidden="false" customHeight="false" outlineLevel="0" collapsed="false">
      <c r="A47" s="153" t="s">
        <v>282</v>
      </c>
      <c r="B47" s="24" t="n">
        <f aca="false">SQRT((H49^2+I49^2+J49^2+K49^2+L49^2+M49^2+N49^2+O49^2+P49^2+Q49^2+R49^2+S49^2)/H$28)</f>
        <v>0.005</v>
      </c>
      <c r="C47" s="193"/>
      <c r="D47" s="192"/>
      <c r="E47" s="192"/>
      <c r="F47" s="192"/>
      <c r="G47" s="153" t="s">
        <v>279</v>
      </c>
      <c r="H47" s="195" t="n">
        <f aca="false">0.005</f>
        <v>0.005</v>
      </c>
      <c r="I47" s="195" t="n">
        <f aca="false">0.005</f>
        <v>0.005</v>
      </c>
      <c r="J47" s="195" t="n">
        <f aca="false">0.005</f>
        <v>0.005</v>
      </c>
      <c r="K47" s="195" t="n">
        <f aca="false">0.005</f>
        <v>0.005</v>
      </c>
      <c r="L47" s="195" t="n">
        <v>0</v>
      </c>
      <c r="M47" s="195" t="n">
        <v>0</v>
      </c>
      <c r="N47" s="195" t="n">
        <v>0</v>
      </c>
      <c r="O47" s="195" t="n">
        <v>0</v>
      </c>
      <c r="P47" s="195" t="n">
        <v>0</v>
      </c>
      <c r="Q47" s="195" t="n">
        <v>0</v>
      </c>
      <c r="R47" s="195" t="n">
        <v>0</v>
      </c>
      <c r="S47" s="195" t="n">
        <v>0</v>
      </c>
      <c r="T47" s="0"/>
    </row>
    <row r="48" customFormat="false" ht="15.6" hidden="false" customHeight="false" outlineLevel="0" collapsed="false">
      <c r="A48" s="153" t="s">
        <v>97</v>
      </c>
      <c r="B48" s="24" t="n">
        <f aca="false">SQRT((H51^2+I51^2+J51^2+K51^2+L51^2+M51^2+N51^2+O51^2+P51^2+Q51^2+R51^2+S51^2+B37^2)/H$28)</f>
        <v>6.66666666666667E-005</v>
      </c>
      <c r="C48" s="193"/>
      <c r="D48" s="189"/>
      <c r="E48" s="189"/>
      <c r="F48" s="189"/>
      <c r="G48" s="153" t="s">
        <v>280</v>
      </c>
      <c r="H48" s="195" t="n">
        <f aca="false">0.005</f>
        <v>0.005</v>
      </c>
      <c r="I48" s="195" t="n">
        <f aca="false">0.005</f>
        <v>0.005</v>
      </c>
      <c r="J48" s="195" t="n">
        <f aca="false">0.005</f>
        <v>0.005</v>
      </c>
      <c r="K48" s="195" t="n">
        <f aca="false">0.005</f>
        <v>0.005</v>
      </c>
      <c r="L48" s="195" t="n">
        <v>0</v>
      </c>
      <c r="M48" s="195" t="n">
        <v>0</v>
      </c>
      <c r="N48" s="195" t="n">
        <v>0</v>
      </c>
      <c r="O48" s="195" t="n">
        <v>0</v>
      </c>
      <c r="P48" s="195" t="n">
        <v>0</v>
      </c>
      <c r="Q48" s="195" t="n">
        <v>0</v>
      </c>
      <c r="R48" s="195" t="n">
        <v>0</v>
      </c>
      <c r="S48" s="195" t="n">
        <v>0</v>
      </c>
      <c r="T48" s="0"/>
    </row>
    <row r="49" customFormat="false" ht="15.6" hidden="false" customHeight="false" outlineLevel="0" collapsed="false">
      <c r="A49" s="153" t="s">
        <v>100</v>
      </c>
      <c r="B49" s="188" t="n">
        <f aca="false">SQRT((H52^2+I52^2+J52^2+K52^2+L52^2+M52^2+N52^2+O52^2+P52^2+Q52^2+R52^2+S52^2+B38^2)/H$28)</f>
        <v>6.66666666666667E-005</v>
      </c>
      <c r="C49" s="193"/>
      <c r="D49" s="189"/>
      <c r="E49" s="189"/>
      <c r="F49" s="189"/>
      <c r="G49" s="153" t="s">
        <v>282</v>
      </c>
      <c r="H49" s="195" t="n">
        <f aca="false">0.005</f>
        <v>0.005</v>
      </c>
      <c r="I49" s="195" t="n">
        <f aca="false">0.005</f>
        <v>0.005</v>
      </c>
      <c r="J49" s="195" t="n">
        <f aca="false">0.005</f>
        <v>0.005</v>
      </c>
      <c r="K49" s="195" t="n">
        <f aca="false">0.005</f>
        <v>0.005</v>
      </c>
      <c r="L49" s="195" t="n">
        <v>0</v>
      </c>
      <c r="M49" s="195" t="n">
        <v>0</v>
      </c>
      <c r="N49" s="195" t="n">
        <v>0</v>
      </c>
      <c r="O49" s="195" t="n">
        <v>0</v>
      </c>
      <c r="P49" s="195" t="n">
        <v>0</v>
      </c>
      <c r="Q49" s="195" t="n">
        <v>0</v>
      </c>
      <c r="R49" s="195" t="n">
        <v>0</v>
      </c>
      <c r="S49" s="195" t="n">
        <v>0</v>
      </c>
      <c r="T49" s="0"/>
    </row>
    <row r="50" customFormat="false" ht="15.6" hidden="false" customHeight="false" outlineLevel="0" collapsed="false">
      <c r="A50" s="153" t="s">
        <v>104</v>
      </c>
      <c r="B50" s="188" t="n">
        <f aca="false">SQRT((H53^2+I53^2+J53^2+K53^2+L53^2+M53^2+N53^2+O53^2+P53^2+Q53^2+R53^2+S53^2+B39^2)/H$28)</f>
        <v>0.000133333333333333</v>
      </c>
      <c r="C50" s="193"/>
      <c r="D50" s="189"/>
      <c r="E50" s="189"/>
      <c r="F50" s="189"/>
      <c r="G50" s="134" t="s">
        <v>283</v>
      </c>
      <c r="H50" s="0"/>
      <c r="I50" s="0"/>
      <c r="J50" s="0"/>
      <c r="K50" s="0"/>
      <c r="L50" s="0"/>
      <c r="M50" s="0"/>
      <c r="N50" s="0"/>
      <c r="O50" s="0"/>
      <c r="P50" s="0"/>
      <c r="Q50" s="0"/>
      <c r="R50" s="0"/>
      <c r="S50" s="0"/>
      <c r="T50" s="0"/>
    </row>
    <row r="51" customFormat="false" ht="46.8" hidden="false" customHeight="false" outlineLevel="0" collapsed="false">
      <c r="A51" s="206" t="s">
        <v>284</v>
      </c>
      <c r="B51" s="25"/>
      <c r="C51" s="0"/>
      <c r="D51" s="0"/>
      <c r="E51" s="0"/>
      <c r="F51" s="0"/>
      <c r="G51" s="153" t="s">
        <v>97</v>
      </c>
      <c r="H51" s="188" t="n">
        <f aca="false">H98</f>
        <v>6.66666657777778E-005</v>
      </c>
      <c r="I51" s="188" t="n">
        <f aca="false">I98</f>
        <v>6.66666657777778E-005</v>
      </c>
      <c r="J51" s="188" t="n">
        <f aca="false">J98</f>
        <v>6.66666675555556E-005</v>
      </c>
      <c r="K51" s="188" t="n">
        <f aca="false">K98</f>
        <v>6.66666675555556E-005</v>
      </c>
      <c r="L51" s="188" t="n">
        <f aca="false">L98</f>
        <v>0</v>
      </c>
      <c r="M51" s="188" t="n">
        <f aca="false">M98</f>
        <v>0</v>
      </c>
      <c r="N51" s="188" t="n">
        <f aca="false">N98</f>
        <v>0</v>
      </c>
      <c r="O51" s="188" t="n">
        <f aca="false">O98</f>
        <v>0</v>
      </c>
      <c r="P51" s="188" t="n">
        <f aca="false">P98</f>
        <v>0</v>
      </c>
      <c r="Q51" s="188" t="n">
        <f aca="false">Q98</f>
        <v>0</v>
      </c>
      <c r="R51" s="188" t="n">
        <f aca="false">R98</f>
        <v>0</v>
      </c>
      <c r="S51" s="188" t="n">
        <f aca="false">S98</f>
        <v>0</v>
      </c>
      <c r="T51" s="0"/>
    </row>
    <row r="52" customFormat="false" ht="15" hidden="false" customHeight="true" outlineLevel="0" collapsed="false">
      <c r="A52" s="153" t="s">
        <v>279</v>
      </c>
      <c r="B52" s="24" t="n">
        <f aca="false">SQRT((H55^2+I55^2+J55^2+K55^2+L55^2+M55^2+N55^2+O55^2+P55^2+Q55^2+R55^2+S55^2)/H$28)</f>
        <v>0</v>
      </c>
      <c r="C52" s="193"/>
      <c r="D52" s="207"/>
      <c r="E52" s="207"/>
      <c r="F52" s="207"/>
      <c r="G52" s="153" t="s">
        <v>100</v>
      </c>
      <c r="H52" s="188" t="n">
        <f aca="false">H102</f>
        <v>6.66666657777778E-005</v>
      </c>
      <c r="I52" s="188" t="n">
        <f aca="false">I102</f>
        <v>6.66666657777778E-005</v>
      </c>
      <c r="J52" s="188" t="n">
        <f aca="false">J102</f>
        <v>6.66666675555556E-005</v>
      </c>
      <c r="K52" s="188" t="n">
        <f aca="false">K102</f>
        <v>6.66666675555556E-005</v>
      </c>
      <c r="L52" s="188" t="n">
        <f aca="false">L102</f>
        <v>0</v>
      </c>
      <c r="M52" s="188" t="n">
        <f aca="false">M102</f>
        <v>0</v>
      </c>
      <c r="N52" s="188" t="n">
        <f aca="false">N102</f>
        <v>0</v>
      </c>
      <c r="O52" s="188" t="n">
        <f aca="false">O102</f>
        <v>0</v>
      </c>
      <c r="P52" s="188" t="n">
        <f aca="false">P102</f>
        <v>0</v>
      </c>
      <c r="Q52" s="188" t="n">
        <f aca="false">Q102</f>
        <v>0</v>
      </c>
      <c r="R52" s="188" t="n">
        <f aca="false">R102</f>
        <v>0</v>
      </c>
      <c r="S52" s="188" t="n">
        <f aca="false">S102</f>
        <v>0</v>
      </c>
      <c r="T52" s="208"/>
    </row>
    <row r="53" customFormat="false" ht="15.6" hidden="false" customHeight="false" outlineLevel="0" collapsed="false">
      <c r="A53" s="153" t="s">
        <v>280</v>
      </c>
      <c r="B53" s="24" t="n">
        <f aca="false">SQRT((H56^2+I56^2+J56^2+K56^2+L56^2+M56^2+N56^2+O56^2+P56^2+Q56^2+R56^2+S56^2)/H$28)</f>
        <v>0</v>
      </c>
      <c r="C53" s="193"/>
      <c r="D53" s="207"/>
      <c r="E53" s="207"/>
      <c r="F53" s="207"/>
      <c r="G53" s="153" t="s">
        <v>104</v>
      </c>
      <c r="H53" s="188" t="n">
        <f aca="false">H106</f>
        <v>0.000133333329777778</v>
      </c>
      <c r="I53" s="188" t="n">
        <f aca="false">I106</f>
        <v>0.000133333336888889</v>
      </c>
      <c r="J53" s="188" t="n">
        <f aca="false">J106</f>
        <v>0.000133333336888889</v>
      </c>
      <c r="K53" s="188" t="n">
        <f aca="false">K106</f>
        <v>0.000133333329777778</v>
      </c>
      <c r="L53" s="188" t="n">
        <f aca="false">L106</f>
        <v>0</v>
      </c>
      <c r="M53" s="188" t="n">
        <f aca="false">M106</f>
        <v>0</v>
      </c>
      <c r="N53" s="188" t="n">
        <f aca="false">N106</f>
        <v>0</v>
      </c>
      <c r="O53" s="188" t="n">
        <f aca="false">O106</f>
        <v>0</v>
      </c>
      <c r="P53" s="188" t="n">
        <f aca="false">P106</f>
        <v>0</v>
      </c>
      <c r="Q53" s="188" t="n">
        <f aca="false">Q106</f>
        <v>0</v>
      </c>
      <c r="R53" s="188" t="n">
        <f aca="false">R106</f>
        <v>0</v>
      </c>
      <c r="S53" s="188" t="n">
        <f aca="false">S106</f>
        <v>0</v>
      </c>
    </row>
    <row r="54" customFormat="false" ht="15.6" hidden="false" customHeight="false" outlineLevel="0" collapsed="false">
      <c r="A54" s="153" t="s">
        <v>282</v>
      </c>
      <c r="B54" s="24" t="n">
        <f aca="false">SQRT((H57^2+I57^2+J57^2+K57^2+L57^2+M57^2+N57^2+O57^2+P57^2+Q57^2+R57^2+S57^2)/H$28)</f>
        <v>0</v>
      </c>
      <c r="C54" s="193"/>
      <c r="D54" s="207"/>
      <c r="E54" s="207"/>
      <c r="F54" s="207"/>
      <c r="G54" s="134" t="s">
        <v>285</v>
      </c>
      <c r="H54" s="0"/>
      <c r="I54" s="0"/>
      <c r="J54" s="0"/>
      <c r="K54" s="0"/>
      <c r="L54" s="0"/>
      <c r="M54" s="0"/>
      <c r="N54" s="0"/>
      <c r="O54" s="0"/>
      <c r="P54" s="0"/>
      <c r="Q54" s="0"/>
      <c r="R54" s="0"/>
      <c r="S54" s="0"/>
    </row>
    <row r="55" customFormat="false" ht="15.6" hidden="false" customHeight="false" outlineLevel="0" collapsed="false">
      <c r="A55" s="153" t="s">
        <v>97</v>
      </c>
      <c r="B55" s="24" t="n">
        <f aca="false">SQRT((H59^2+I59^2+J59^2+K59^2+L59^2+M59^2+N59^2+O59^2+P59^2+Q59^2+R59^2+S59^2+B41^2)/H$28)</f>
        <v>0</v>
      </c>
      <c r="C55" s="193"/>
      <c r="D55" s="201"/>
      <c r="E55" s="201"/>
      <c r="F55" s="201"/>
      <c r="G55" s="153" t="s">
        <v>279</v>
      </c>
      <c r="H55" s="195" t="n">
        <v>0</v>
      </c>
      <c r="I55" s="195" t="n">
        <v>0</v>
      </c>
      <c r="J55" s="195" t="n">
        <v>0</v>
      </c>
      <c r="K55" s="195" t="n">
        <v>0</v>
      </c>
      <c r="L55" s="195" t="n">
        <v>0</v>
      </c>
      <c r="M55" s="195" t="n">
        <v>0</v>
      </c>
      <c r="N55" s="195" t="n">
        <v>0</v>
      </c>
      <c r="O55" s="195" t="n">
        <v>0</v>
      </c>
      <c r="P55" s="195" t="n">
        <v>0</v>
      </c>
      <c r="Q55" s="195" t="n">
        <v>0</v>
      </c>
      <c r="R55" s="195" t="n">
        <v>0</v>
      </c>
      <c r="S55" s="195" t="n">
        <v>0</v>
      </c>
    </row>
    <row r="56" customFormat="false" ht="15.6" hidden="false" customHeight="false" outlineLevel="0" collapsed="false">
      <c r="A56" s="153" t="s">
        <v>100</v>
      </c>
      <c r="B56" s="24" t="n">
        <f aca="false">SQRT((H60^2+I60^2+J60^2+K60^2+L60^2+M60^2+N60^2+O60^2+P60^2+Q60^2+R60^2+S60^2+B42^2)/H$28)</f>
        <v>0</v>
      </c>
      <c r="C56" s="193"/>
      <c r="D56" s="0"/>
      <c r="E56" s="0"/>
      <c r="F56" s="0"/>
      <c r="G56" s="153" t="s">
        <v>280</v>
      </c>
      <c r="H56" s="195" t="n">
        <v>0</v>
      </c>
      <c r="I56" s="195" t="n">
        <v>0</v>
      </c>
      <c r="J56" s="195" t="n">
        <v>0</v>
      </c>
      <c r="K56" s="195" t="n">
        <v>0</v>
      </c>
      <c r="L56" s="195" t="n">
        <v>0</v>
      </c>
      <c r="M56" s="195" t="n">
        <v>0</v>
      </c>
      <c r="N56" s="195" t="n">
        <v>0</v>
      </c>
      <c r="O56" s="195" t="n">
        <v>0</v>
      </c>
      <c r="P56" s="195" t="n">
        <v>0</v>
      </c>
      <c r="Q56" s="195" t="n">
        <v>0</v>
      </c>
      <c r="R56" s="195" t="n">
        <v>0</v>
      </c>
      <c r="S56" s="195" t="n">
        <v>0</v>
      </c>
    </row>
    <row r="57" customFormat="false" ht="15.6" hidden="false" customHeight="false" outlineLevel="0" collapsed="false">
      <c r="A57" s="153" t="s">
        <v>104</v>
      </c>
      <c r="B57" s="24" t="n">
        <f aca="false">SQRT((H61^2+I61^2+J61^2+K61^2+L61^2+M61^2+N61^2+O61^2+P61^2+Q61^2+R61^2+S61^2+B43^2)/H$28)</f>
        <v>0</v>
      </c>
      <c r="C57" s="193"/>
      <c r="D57" s="142"/>
      <c r="E57" s="142"/>
      <c r="F57" s="142"/>
      <c r="G57" s="153" t="s">
        <v>282</v>
      </c>
      <c r="H57" s="195" t="n">
        <v>0</v>
      </c>
      <c r="I57" s="195" t="n">
        <v>0</v>
      </c>
      <c r="J57" s="195" t="n">
        <v>0</v>
      </c>
      <c r="K57" s="195" t="n">
        <v>0</v>
      </c>
      <c r="L57" s="195" t="n">
        <v>0</v>
      </c>
      <c r="M57" s="195" t="n">
        <v>0</v>
      </c>
      <c r="N57" s="195" t="n">
        <v>0</v>
      </c>
      <c r="O57" s="195" t="n">
        <v>0</v>
      </c>
      <c r="P57" s="195" t="n">
        <v>0</v>
      </c>
      <c r="Q57" s="195" t="n">
        <v>0</v>
      </c>
      <c r="R57" s="195" t="n">
        <v>0</v>
      </c>
      <c r="S57" s="195" t="n">
        <v>0</v>
      </c>
    </row>
    <row r="58" customFormat="false" ht="15.6" hidden="false" customHeight="false" outlineLevel="0" collapsed="false">
      <c r="A58" s="0"/>
      <c r="B58" s="0"/>
      <c r="C58" s="0"/>
      <c r="D58" s="142"/>
      <c r="E58" s="142"/>
      <c r="F58" s="142"/>
      <c r="G58" s="134" t="s">
        <v>286</v>
      </c>
      <c r="H58" s="0"/>
      <c r="I58" s="0"/>
      <c r="J58" s="0"/>
      <c r="K58" s="0"/>
      <c r="L58" s="0"/>
      <c r="M58" s="0"/>
      <c r="N58" s="0"/>
      <c r="O58" s="0"/>
      <c r="P58" s="0"/>
      <c r="Q58" s="0"/>
      <c r="R58" s="0"/>
      <c r="S58" s="0"/>
    </row>
    <row r="59" customFormat="false" ht="15.6" hidden="false" customHeight="false" outlineLevel="0" collapsed="false">
      <c r="A59" s="0"/>
      <c r="B59" s="25"/>
      <c r="C59" s="0"/>
      <c r="D59" s="142"/>
      <c r="E59" s="142"/>
      <c r="F59" s="142"/>
      <c r="G59" s="153" t="s">
        <v>97</v>
      </c>
      <c r="H59" s="188" t="n">
        <f aca="false">H113</f>
        <v>0</v>
      </c>
      <c r="I59" s="188" t="n">
        <f aca="false">I113</f>
        <v>0</v>
      </c>
      <c r="J59" s="188" t="n">
        <f aca="false">J113</f>
        <v>0</v>
      </c>
      <c r="K59" s="188" t="n">
        <f aca="false">K113</f>
        <v>0</v>
      </c>
      <c r="L59" s="188" t="n">
        <f aca="false">L113</f>
        <v>0</v>
      </c>
      <c r="M59" s="188" t="n">
        <f aca="false">M113</f>
        <v>0</v>
      </c>
      <c r="N59" s="188" t="n">
        <f aca="false">N113</f>
        <v>0</v>
      </c>
      <c r="O59" s="188" t="n">
        <f aca="false">O113</f>
        <v>0</v>
      </c>
      <c r="P59" s="188" t="n">
        <f aca="false">P113</f>
        <v>0</v>
      </c>
      <c r="Q59" s="188" t="n">
        <f aca="false">Q113</f>
        <v>0</v>
      </c>
      <c r="R59" s="188" t="n">
        <f aca="false">R113</f>
        <v>0</v>
      </c>
      <c r="S59" s="188" t="n">
        <f aca="false">S113</f>
        <v>0</v>
      </c>
    </row>
    <row r="60" customFormat="false" ht="15.6" hidden="false" customHeight="false" outlineLevel="0" collapsed="false">
      <c r="A60" s="0"/>
      <c r="B60" s="0"/>
      <c r="C60" s="0"/>
      <c r="D60" s="0"/>
      <c r="E60" s="0"/>
      <c r="F60" s="0"/>
      <c r="G60" s="153" t="s">
        <v>100</v>
      </c>
      <c r="H60" s="188" t="n">
        <f aca="false">H118</f>
        <v>0</v>
      </c>
      <c r="I60" s="188" t="n">
        <f aca="false">I118</f>
        <v>0</v>
      </c>
      <c r="J60" s="188" t="n">
        <f aca="false">J118</f>
        <v>0</v>
      </c>
      <c r="K60" s="188" t="n">
        <f aca="false">K118</f>
        <v>0</v>
      </c>
      <c r="L60" s="188" t="n">
        <f aca="false">L118</f>
        <v>0</v>
      </c>
      <c r="M60" s="188" t="n">
        <f aca="false">M118</f>
        <v>0</v>
      </c>
      <c r="N60" s="188" t="n">
        <f aca="false">N118</f>
        <v>0</v>
      </c>
      <c r="O60" s="188" t="n">
        <f aca="false">O118</f>
        <v>0</v>
      </c>
      <c r="P60" s="188" t="n">
        <f aca="false">P118</f>
        <v>0</v>
      </c>
      <c r="Q60" s="188" t="n">
        <f aca="false">Q118</f>
        <v>0</v>
      </c>
      <c r="R60" s="188" t="n">
        <f aca="false">R118</f>
        <v>0</v>
      </c>
      <c r="S60" s="188" t="n">
        <f aca="false">S118</f>
        <v>0</v>
      </c>
    </row>
    <row r="61" customFormat="false" ht="15.6" hidden="false" customHeight="false" outlineLevel="0" collapsed="false">
      <c r="A61" s="0"/>
      <c r="B61" s="0"/>
      <c r="C61" s="0"/>
      <c r="D61" s="142"/>
      <c r="E61" s="142"/>
      <c r="F61" s="142"/>
      <c r="G61" s="153" t="s">
        <v>104</v>
      </c>
      <c r="H61" s="188" t="n">
        <f aca="false">H123</f>
        <v>0</v>
      </c>
      <c r="I61" s="188" t="n">
        <f aca="false">I123</f>
        <v>0</v>
      </c>
      <c r="J61" s="188" t="n">
        <f aca="false">J123</f>
        <v>0</v>
      </c>
      <c r="K61" s="188" t="n">
        <f aca="false">K123</f>
        <v>0</v>
      </c>
      <c r="L61" s="188" t="n">
        <f aca="false">L123</f>
        <v>0</v>
      </c>
      <c r="M61" s="188" t="n">
        <f aca="false">M123</f>
        <v>0</v>
      </c>
      <c r="N61" s="188" t="n">
        <f aca="false">N123</f>
        <v>0</v>
      </c>
      <c r="O61" s="188" t="n">
        <f aca="false">O123</f>
        <v>0</v>
      </c>
      <c r="P61" s="188" t="n">
        <f aca="false">P123</f>
        <v>0</v>
      </c>
      <c r="Q61" s="188" t="n">
        <f aca="false">Q123</f>
        <v>0</v>
      </c>
      <c r="R61" s="188" t="n">
        <f aca="false">R123</f>
        <v>0</v>
      </c>
      <c r="S61" s="188" t="n">
        <f aca="false">S123</f>
        <v>0</v>
      </c>
    </row>
    <row r="62" customFormat="false" ht="15.6" hidden="false" customHeight="false" outlineLevel="0" collapsed="false">
      <c r="A62" s="0"/>
      <c r="B62" s="0"/>
      <c r="C62" s="0"/>
      <c r="D62" s="142"/>
      <c r="E62" s="142"/>
      <c r="F62" s="142"/>
      <c r="G62" s="76" t="s">
        <v>287</v>
      </c>
      <c r="H62" s="0"/>
      <c r="I62" s="0"/>
      <c r="J62" s="0"/>
      <c r="K62" s="0"/>
      <c r="L62" s="0"/>
      <c r="M62" s="0"/>
      <c r="N62" s="0"/>
      <c r="O62" s="0"/>
      <c r="P62" s="0"/>
      <c r="Q62" s="0"/>
      <c r="R62" s="0"/>
      <c r="S62" s="0"/>
    </row>
    <row r="63" customFormat="false" ht="15.6" hidden="false" customHeight="false" outlineLevel="0" collapsed="false">
      <c r="A63" s="0"/>
      <c r="B63" s="0"/>
      <c r="C63" s="0"/>
      <c r="D63" s="142"/>
      <c r="E63" s="142"/>
      <c r="F63" s="142"/>
      <c r="G63" s="0"/>
      <c r="H63" s="0"/>
      <c r="I63" s="143"/>
      <c r="J63" s="143"/>
      <c r="K63" s="143"/>
      <c r="L63" s="143"/>
      <c r="M63" s="143"/>
      <c r="N63" s="143"/>
      <c r="O63" s="0"/>
      <c r="P63" s="0"/>
      <c r="Q63" s="0"/>
      <c r="R63" s="0"/>
      <c r="S63" s="0"/>
    </row>
    <row r="64" customFormat="false" ht="15.6" hidden="false" customHeight="false" outlineLevel="0" collapsed="false">
      <c r="A64" s="0"/>
      <c r="B64" s="0"/>
      <c r="C64" s="0"/>
      <c r="D64" s="142"/>
      <c r="E64" s="142"/>
      <c r="F64" s="142"/>
      <c r="G64" s="209"/>
      <c r="H64" s="210"/>
      <c r="I64" s="211"/>
      <c r="J64" s="211"/>
      <c r="K64" s="211"/>
      <c r="L64" s="211"/>
      <c r="M64" s="211"/>
      <c r="N64" s="211"/>
      <c r="O64" s="143"/>
      <c r="P64" s="0"/>
      <c r="Q64" s="0"/>
      <c r="R64" s="0"/>
      <c r="S64" s="0"/>
    </row>
    <row r="65" customFormat="false" ht="15.6" hidden="false" customHeight="false" outlineLevel="0" collapsed="false">
      <c r="A65" s="0"/>
      <c r="B65" s="0"/>
      <c r="C65" s="0"/>
      <c r="D65" s="142"/>
      <c r="E65" s="142"/>
      <c r="F65" s="142"/>
      <c r="G65" s="209"/>
      <c r="H65" s="210"/>
      <c r="I65" s="211"/>
      <c r="J65" s="211"/>
      <c r="K65" s="211"/>
      <c r="L65" s="211"/>
      <c r="M65" s="211"/>
      <c r="N65" s="211"/>
      <c r="O65" s="143"/>
      <c r="P65" s="0"/>
      <c r="Q65" s="0"/>
      <c r="R65" s="0"/>
      <c r="S65" s="0"/>
    </row>
    <row r="66" customFormat="false" ht="15.6" hidden="false" customHeight="false" outlineLevel="0" collapsed="false">
      <c r="A66" s="0"/>
      <c r="B66" s="0"/>
      <c r="C66" s="0"/>
      <c r="D66" s="142"/>
      <c r="E66" s="142"/>
      <c r="F66" s="142"/>
      <c r="G66" s="209"/>
      <c r="H66" s="210"/>
      <c r="I66" s="211"/>
      <c r="J66" s="211"/>
      <c r="K66" s="211"/>
      <c r="L66" s="211"/>
      <c r="M66" s="211"/>
      <c r="N66" s="211"/>
      <c r="O66" s="143"/>
      <c r="P66" s="0"/>
      <c r="Q66" s="0"/>
      <c r="R66" s="0"/>
      <c r="S66" s="0"/>
    </row>
    <row r="67" customFormat="false" ht="15.6" hidden="false" customHeight="false" outlineLevel="0" collapsed="false">
      <c r="A67" s="0"/>
      <c r="B67" s="0"/>
      <c r="C67" s="0"/>
      <c r="D67" s="142"/>
      <c r="E67" s="142"/>
      <c r="F67" s="142"/>
      <c r="G67" s="209"/>
      <c r="H67" s="210"/>
      <c r="I67" s="211"/>
      <c r="J67" s="211"/>
      <c r="K67" s="211"/>
      <c r="L67" s="211"/>
      <c r="M67" s="211"/>
      <c r="N67" s="211"/>
      <c r="O67" s="143"/>
      <c r="P67" s="0"/>
      <c r="Q67" s="0"/>
      <c r="R67" s="0"/>
      <c r="S67" s="0"/>
    </row>
    <row r="68" customFormat="false" ht="15.6" hidden="false" customHeight="false" outlineLevel="0" collapsed="false">
      <c r="A68" s="0"/>
      <c r="B68" s="0"/>
      <c r="C68" s="0"/>
      <c r="D68" s="142"/>
      <c r="E68" s="142"/>
      <c r="F68" s="142"/>
      <c r="G68" s="209"/>
      <c r="H68" s="210"/>
      <c r="I68" s="211"/>
      <c r="J68" s="211"/>
      <c r="K68" s="211"/>
      <c r="L68" s="211"/>
      <c r="M68" s="211"/>
      <c r="N68" s="211"/>
      <c r="O68" s="143"/>
      <c r="P68" s="0"/>
      <c r="Q68" s="0"/>
      <c r="R68" s="0"/>
      <c r="S68" s="0"/>
    </row>
    <row r="69" customFormat="false" ht="15.6" hidden="false" customHeight="false" outlineLevel="0" collapsed="false">
      <c r="A69" s="0"/>
      <c r="B69" s="0"/>
      <c r="C69" s="0"/>
      <c r="D69" s="142"/>
      <c r="E69" s="142"/>
      <c r="F69" s="142"/>
      <c r="G69" s="209"/>
      <c r="H69" s="210"/>
      <c r="I69" s="211"/>
      <c r="J69" s="211"/>
      <c r="K69" s="211"/>
      <c r="L69" s="211"/>
      <c r="M69" s="211"/>
      <c r="N69" s="211"/>
      <c r="O69" s="143"/>
      <c r="P69" s="0"/>
      <c r="Q69" s="0"/>
      <c r="R69" s="0"/>
      <c r="S69" s="0"/>
    </row>
    <row r="70" customFormat="false" ht="15.6" hidden="false" customHeight="false" outlineLevel="0" collapsed="false">
      <c r="A70" s="0"/>
      <c r="B70" s="0"/>
      <c r="C70" s="0"/>
      <c r="D70" s="142"/>
      <c r="E70" s="142"/>
      <c r="F70" s="142"/>
      <c r="G70" s="209"/>
      <c r="H70" s="210"/>
      <c r="I70" s="211"/>
      <c r="J70" s="211"/>
      <c r="K70" s="211"/>
      <c r="L70" s="211"/>
      <c r="M70" s="211"/>
      <c r="N70" s="211"/>
      <c r="O70" s="143"/>
      <c r="P70" s="0"/>
      <c r="Q70" s="0"/>
      <c r="R70" s="0"/>
      <c r="S70" s="0"/>
    </row>
    <row r="71" customFormat="false" ht="15.6" hidden="false" customHeight="false" outlineLevel="0" collapsed="false">
      <c r="A71" s="0"/>
      <c r="B71" s="0"/>
      <c r="C71" s="0"/>
      <c r="D71" s="142"/>
      <c r="E71" s="142"/>
      <c r="F71" s="142"/>
      <c r="G71" s="209"/>
      <c r="H71" s="210"/>
      <c r="I71" s="211"/>
      <c r="J71" s="211"/>
      <c r="K71" s="211"/>
      <c r="L71" s="211"/>
      <c r="M71" s="211"/>
      <c r="N71" s="211"/>
      <c r="O71" s="143"/>
      <c r="P71" s="0"/>
      <c r="Q71" s="0"/>
      <c r="R71" s="0"/>
      <c r="S71" s="0"/>
    </row>
    <row r="72" customFormat="false" ht="15.6" hidden="false" customHeight="false" outlineLevel="0" collapsed="false">
      <c r="A72" s="0"/>
      <c r="B72" s="0"/>
      <c r="C72" s="0"/>
      <c r="D72" s="142"/>
      <c r="E72" s="142"/>
      <c r="F72" s="142"/>
      <c r="G72" s="209"/>
      <c r="H72" s="210"/>
      <c r="I72" s="211"/>
      <c r="J72" s="211"/>
      <c r="K72" s="211"/>
      <c r="L72" s="211"/>
      <c r="M72" s="211"/>
      <c r="N72" s="211"/>
      <c r="O72" s="143"/>
      <c r="P72" s="0"/>
      <c r="Q72" s="0"/>
      <c r="R72" s="0"/>
      <c r="S72" s="0"/>
    </row>
    <row r="73" customFormat="false" ht="15.6" hidden="false" customHeight="false" outlineLevel="0" collapsed="false">
      <c r="A73" s="0"/>
      <c r="B73" s="0"/>
      <c r="C73" s="0"/>
      <c r="D73" s="142"/>
      <c r="E73" s="142"/>
      <c r="F73" s="142"/>
      <c r="G73" s="209"/>
      <c r="H73" s="210"/>
      <c r="I73" s="211"/>
      <c r="J73" s="211"/>
      <c r="K73" s="211"/>
      <c r="L73" s="211"/>
      <c r="M73" s="211"/>
      <c r="N73" s="211"/>
      <c r="O73" s="143"/>
      <c r="P73" s="0"/>
      <c r="Q73" s="0"/>
      <c r="R73" s="0"/>
      <c r="S73" s="0"/>
    </row>
    <row r="74" customFormat="false" ht="15.6" hidden="false" customHeight="false" outlineLevel="0" collapsed="false">
      <c r="A74" s="0"/>
      <c r="B74" s="0"/>
      <c r="C74" s="0"/>
      <c r="D74" s="142"/>
      <c r="E74" s="142"/>
      <c r="F74" s="142"/>
      <c r="G74" s="209"/>
      <c r="H74" s="210"/>
      <c r="I74" s="211"/>
      <c r="J74" s="211"/>
      <c r="K74" s="211"/>
      <c r="L74" s="211"/>
      <c r="M74" s="211"/>
      <c r="N74" s="211"/>
      <c r="O74" s="143"/>
      <c r="P74" s="0"/>
      <c r="Q74" s="0"/>
      <c r="R74" s="0"/>
      <c r="S74" s="0"/>
    </row>
    <row r="75" customFormat="false" ht="15.6" hidden="false" customHeight="false" outlineLevel="0" collapsed="false">
      <c r="A75" s="0"/>
      <c r="B75" s="0"/>
      <c r="C75" s="0"/>
      <c r="D75" s="142"/>
      <c r="E75" s="142"/>
      <c r="F75" s="142"/>
      <c r="G75" s="209"/>
      <c r="H75" s="210"/>
      <c r="I75" s="211"/>
      <c r="J75" s="211"/>
      <c r="K75" s="211"/>
      <c r="L75" s="211"/>
      <c r="M75" s="211"/>
      <c r="N75" s="211"/>
      <c r="O75" s="143"/>
      <c r="P75" s="0"/>
      <c r="Q75" s="0"/>
      <c r="R75" s="0"/>
      <c r="S75" s="0"/>
    </row>
    <row r="76" customFormat="false" ht="15.6" hidden="false" customHeight="false" outlineLevel="0" collapsed="false">
      <c r="A76" s="0"/>
      <c r="B76" s="0"/>
      <c r="C76" s="0"/>
      <c r="D76" s="142"/>
      <c r="E76" s="142"/>
      <c r="F76" s="142"/>
      <c r="G76" s="209"/>
      <c r="H76" s="210"/>
      <c r="I76" s="211"/>
      <c r="J76" s="211"/>
      <c r="K76" s="211"/>
      <c r="L76" s="211"/>
      <c r="M76" s="211"/>
      <c r="N76" s="211"/>
      <c r="O76" s="143"/>
      <c r="P76" s="0"/>
      <c r="Q76" s="0"/>
      <c r="R76" s="0"/>
      <c r="S76" s="0"/>
    </row>
    <row r="77" customFormat="false" ht="15.6" hidden="false" customHeight="false" outlineLevel="0" collapsed="false">
      <c r="A77" s="0"/>
      <c r="B77" s="0"/>
      <c r="C77" s="0"/>
      <c r="D77" s="142"/>
      <c r="E77" s="142"/>
      <c r="F77" s="142"/>
      <c r="G77" s="209"/>
      <c r="H77" s="210"/>
      <c r="I77" s="211"/>
      <c r="J77" s="211"/>
      <c r="K77" s="211"/>
      <c r="L77" s="211"/>
      <c r="M77" s="211"/>
      <c r="N77" s="211"/>
      <c r="O77" s="143"/>
      <c r="P77" s="0"/>
      <c r="Q77" s="0"/>
      <c r="R77" s="0"/>
      <c r="S77" s="0"/>
    </row>
    <row r="78" customFormat="false" ht="15.6" hidden="false" customHeight="false" outlineLevel="0" collapsed="false">
      <c r="A78" s="0"/>
      <c r="B78" s="0"/>
      <c r="C78" s="0"/>
      <c r="D78" s="142"/>
      <c r="E78" s="142"/>
      <c r="F78" s="142"/>
      <c r="G78" s="209"/>
      <c r="H78" s="210"/>
      <c r="I78" s="211"/>
      <c r="J78" s="211"/>
      <c r="K78" s="211"/>
      <c r="L78" s="211"/>
      <c r="M78" s="211"/>
      <c r="N78" s="211"/>
      <c r="O78" s="143"/>
      <c r="P78" s="0"/>
      <c r="Q78" s="0"/>
      <c r="R78" s="0"/>
      <c r="S78" s="0"/>
    </row>
    <row r="79" customFormat="false" ht="15.6" hidden="false" customHeight="false" outlineLevel="0" collapsed="false">
      <c r="A79" s="0"/>
      <c r="B79" s="0"/>
      <c r="C79" s="0"/>
      <c r="D79" s="142"/>
      <c r="E79" s="142"/>
      <c r="F79" s="142"/>
      <c r="G79" s="209"/>
      <c r="H79" s="210"/>
      <c r="I79" s="211"/>
      <c r="J79" s="211"/>
      <c r="K79" s="211"/>
      <c r="L79" s="211"/>
      <c r="M79" s="211"/>
      <c r="N79" s="211"/>
      <c r="O79" s="143"/>
      <c r="P79" s="0"/>
      <c r="Q79" s="0"/>
      <c r="R79" s="0"/>
      <c r="S79" s="0"/>
    </row>
    <row r="80" customFormat="false" ht="15.6" hidden="false" customHeight="false" outlineLevel="0" collapsed="false">
      <c r="A80" s="0"/>
      <c r="B80" s="0"/>
      <c r="C80" s="0"/>
      <c r="D80" s="142"/>
      <c r="E80" s="142"/>
      <c r="F80" s="142"/>
      <c r="G80" s="209"/>
      <c r="H80" s="210"/>
      <c r="I80" s="211"/>
      <c r="J80" s="211"/>
      <c r="K80" s="211"/>
      <c r="L80" s="211"/>
      <c r="M80" s="211"/>
      <c r="N80" s="211"/>
      <c r="O80" s="143"/>
      <c r="P80" s="0"/>
      <c r="Q80" s="0"/>
      <c r="R80" s="0"/>
      <c r="S80" s="0"/>
    </row>
    <row r="81" customFormat="false" ht="15.6" hidden="false" customHeight="false" outlineLevel="0" collapsed="false">
      <c r="A81" s="0"/>
      <c r="B81" s="0"/>
      <c r="C81" s="0"/>
      <c r="D81" s="142"/>
      <c r="E81" s="142"/>
      <c r="F81" s="142"/>
      <c r="G81" s="209"/>
      <c r="H81" s="210"/>
      <c r="I81" s="211"/>
      <c r="J81" s="211"/>
      <c r="K81" s="211"/>
      <c r="L81" s="211"/>
      <c r="M81" s="211"/>
      <c r="N81" s="211"/>
      <c r="O81" s="143"/>
      <c r="P81" s="0"/>
      <c r="Q81" s="0"/>
      <c r="R81" s="0"/>
      <c r="S81" s="0"/>
    </row>
    <row r="82" customFormat="false" ht="15.6" hidden="false" customHeight="false" outlineLevel="0" collapsed="false">
      <c r="A82" s="153"/>
      <c r="B82" s="142"/>
      <c r="C82" s="142"/>
      <c r="D82" s="142"/>
      <c r="E82" s="142"/>
      <c r="F82" s="142"/>
      <c r="G82" s="209"/>
      <c r="H82" s="210"/>
      <c r="I82" s="211"/>
      <c r="J82" s="211"/>
      <c r="K82" s="211"/>
      <c r="L82" s="211"/>
      <c r="M82" s="211"/>
      <c r="N82" s="211"/>
      <c r="O82" s="143"/>
      <c r="P82" s="0"/>
      <c r="Q82" s="0"/>
      <c r="R82" s="0"/>
      <c r="S82" s="0"/>
    </row>
    <row r="83" customFormat="false" ht="15.6" hidden="false" customHeight="false" outlineLevel="0" collapsed="false">
      <c r="A83" s="153"/>
      <c r="B83" s="142"/>
      <c r="C83" s="142"/>
      <c r="D83" s="142"/>
      <c r="E83" s="142"/>
      <c r="F83" s="142"/>
      <c r="G83" s="209"/>
      <c r="H83" s="210"/>
      <c r="I83" s="211"/>
      <c r="J83" s="211"/>
      <c r="K83" s="211"/>
      <c r="L83" s="211"/>
      <c r="M83" s="211"/>
      <c r="N83" s="211"/>
      <c r="O83" s="143"/>
      <c r="P83" s="0"/>
      <c r="Q83" s="0"/>
      <c r="R83" s="0"/>
      <c r="S83" s="0"/>
    </row>
    <row r="84" customFormat="false" ht="15.6" hidden="false" customHeight="false" outlineLevel="0" collapsed="false">
      <c r="A84" s="153"/>
      <c r="B84" s="142"/>
      <c r="C84" s="142"/>
      <c r="D84" s="142"/>
      <c r="E84" s="142"/>
      <c r="F84" s="142"/>
      <c r="G84" s="209"/>
      <c r="H84" s="210"/>
      <c r="I84" s="211"/>
      <c r="J84" s="211"/>
      <c r="K84" s="211"/>
      <c r="L84" s="211"/>
      <c r="M84" s="211"/>
      <c r="N84" s="211"/>
      <c r="O84" s="143"/>
      <c r="P84" s="0"/>
      <c r="Q84" s="0"/>
      <c r="R84" s="0"/>
      <c r="S84" s="0"/>
    </row>
    <row r="85" customFormat="false" ht="15.6" hidden="false" customHeight="false" outlineLevel="0" collapsed="false">
      <c r="A85" s="153"/>
      <c r="B85" s="142"/>
      <c r="C85" s="142"/>
      <c r="D85" s="142"/>
      <c r="E85" s="142"/>
      <c r="F85" s="142"/>
      <c r="G85" s="209"/>
      <c r="H85" s="210"/>
      <c r="I85" s="211"/>
      <c r="J85" s="211"/>
      <c r="K85" s="211"/>
      <c r="L85" s="211"/>
      <c r="M85" s="211"/>
      <c r="N85" s="211"/>
      <c r="O85" s="143"/>
      <c r="P85" s="0"/>
      <c r="Q85" s="0"/>
      <c r="R85" s="0"/>
      <c r="S85" s="0"/>
    </row>
    <row r="86" customFormat="false" ht="15.6" hidden="false" customHeight="false" outlineLevel="0" collapsed="false">
      <c r="A86" s="153" t="s">
        <v>288</v>
      </c>
      <c r="B86" s="142"/>
      <c r="C86" s="142"/>
      <c r="D86" s="142"/>
      <c r="E86" s="142"/>
      <c r="F86" s="142"/>
      <c r="G86" s="209"/>
      <c r="H86" s="210"/>
      <c r="I86" s="211"/>
      <c r="J86" s="211"/>
      <c r="K86" s="211"/>
      <c r="L86" s="211"/>
      <c r="M86" s="211"/>
      <c r="N86" s="211"/>
      <c r="O86" s="143"/>
      <c r="P86" s="0"/>
      <c r="Q86" s="0"/>
      <c r="R86" s="0"/>
      <c r="S86" s="0"/>
    </row>
    <row r="87" customFormat="false" ht="15.6" hidden="false" customHeight="false" outlineLevel="0" collapsed="false">
      <c r="A87" s="153"/>
      <c r="B87" s="142"/>
      <c r="C87" s="142"/>
      <c r="D87" s="142"/>
      <c r="E87" s="142"/>
      <c r="F87" s="142"/>
      <c r="G87" s="209"/>
      <c r="H87" s="210"/>
      <c r="I87" s="211"/>
      <c r="J87" s="211"/>
      <c r="K87" s="211"/>
      <c r="L87" s="211"/>
      <c r="M87" s="211"/>
      <c r="N87" s="211"/>
      <c r="O87" s="143"/>
      <c r="P87" s="0"/>
      <c r="Q87" s="0"/>
      <c r="R87" s="0"/>
      <c r="S87" s="0"/>
    </row>
    <row r="88" customFormat="false" ht="15.6" hidden="false" customHeight="false" outlineLevel="0" collapsed="false">
      <c r="A88" s="153"/>
      <c r="B88" s="142"/>
      <c r="C88" s="142"/>
      <c r="D88" s="142"/>
      <c r="E88" s="142"/>
      <c r="F88" s="142"/>
      <c r="G88" s="209"/>
      <c r="H88" s="210"/>
      <c r="I88" s="211"/>
      <c r="J88" s="211"/>
      <c r="K88" s="211"/>
      <c r="L88" s="211"/>
      <c r="M88" s="211"/>
      <c r="N88" s="211"/>
      <c r="O88" s="143"/>
      <c r="P88" s="0"/>
      <c r="Q88" s="0"/>
      <c r="R88" s="0"/>
      <c r="S88" s="0"/>
    </row>
    <row r="89" customFormat="false" ht="15.6" hidden="false" customHeight="false" outlineLevel="0" collapsed="false">
      <c r="A89" s="153"/>
      <c r="B89" s="142"/>
      <c r="C89" s="142"/>
      <c r="D89" s="142"/>
      <c r="E89" s="142"/>
      <c r="F89" s="142"/>
      <c r="G89" s="209"/>
      <c r="H89" s="210"/>
      <c r="I89" s="211"/>
      <c r="J89" s="211"/>
      <c r="K89" s="211"/>
      <c r="L89" s="211"/>
      <c r="M89" s="211"/>
      <c r="N89" s="211"/>
      <c r="O89" s="143"/>
      <c r="P89" s="0"/>
      <c r="Q89" s="0"/>
      <c r="R89" s="0"/>
      <c r="S89" s="0"/>
    </row>
    <row r="90" customFormat="false" ht="15.6" hidden="false" customHeight="false" outlineLevel="0" collapsed="false">
      <c r="A90" s="153"/>
      <c r="B90" s="142"/>
      <c r="C90" s="142"/>
      <c r="D90" s="142"/>
      <c r="E90" s="142"/>
      <c r="F90" s="142"/>
      <c r="G90" s="209"/>
      <c r="H90" s="210"/>
      <c r="I90" s="211"/>
      <c r="J90" s="211"/>
      <c r="K90" s="211"/>
      <c r="L90" s="211"/>
      <c r="M90" s="211"/>
      <c r="N90" s="211"/>
      <c r="O90" s="143"/>
      <c r="P90" s="0"/>
      <c r="Q90" s="0"/>
      <c r="R90" s="0"/>
      <c r="S90" s="0"/>
    </row>
    <row r="91" customFormat="false" ht="15.6" hidden="false" customHeight="false" outlineLevel="0" collapsed="false">
      <c r="A91" s="153"/>
      <c r="B91" s="142"/>
      <c r="C91" s="142"/>
      <c r="D91" s="142"/>
      <c r="E91" s="142"/>
      <c r="F91" s="142"/>
      <c r="G91" s="0"/>
      <c r="H91" s="0"/>
      <c r="I91" s="0"/>
      <c r="J91" s="0"/>
      <c r="K91" s="0"/>
      <c r="L91" s="0"/>
      <c r="M91" s="0"/>
      <c r="N91" s="0"/>
      <c r="O91" s="0"/>
      <c r="P91" s="0"/>
      <c r="Q91" s="0"/>
      <c r="R91" s="0"/>
      <c r="S91" s="0"/>
    </row>
    <row r="92" customFormat="false" ht="15.6" hidden="false" customHeight="false" outlineLevel="0" collapsed="false">
      <c r="A92" s="153"/>
      <c r="B92" s="142"/>
      <c r="C92" s="142"/>
      <c r="D92" s="142"/>
      <c r="E92" s="142"/>
      <c r="F92" s="142"/>
      <c r="G92" s="0"/>
      <c r="H92" s="0"/>
      <c r="I92" s="0"/>
      <c r="J92" s="0"/>
      <c r="K92" s="0"/>
      <c r="L92" s="0"/>
      <c r="M92" s="0"/>
      <c r="N92" s="0"/>
      <c r="O92" s="0"/>
      <c r="P92" s="0"/>
      <c r="Q92" s="0"/>
      <c r="R92" s="0"/>
      <c r="S92" s="0"/>
    </row>
    <row r="93" customFormat="false" ht="15.6" hidden="false" customHeight="false" outlineLevel="0" collapsed="false">
      <c r="A93" s="153"/>
      <c r="B93" s="142"/>
      <c r="C93" s="142"/>
      <c r="D93" s="142"/>
      <c r="E93" s="142"/>
      <c r="F93" s="142"/>
      <c r="G93" s="0"/>
      <c r="H93" s="0"/>
      <c r="I93" s="0"/>
      <c r="J93" s="0"/>
      <c r="K93" s="0"/>
      <c r="L93" s="0"/>
      <c r="M93" s="0"/>
      <c r="N93" s="0"/>
      <c r="O93" s="0"/>
      <c r="P93" s="0"/>
      <c r="Q93" s="0"/>
      <c r="R93" s="0"/>
      <c r="S93" s="0"/>
    </row>
    <row r="94" customFormat="false" ht="15.6" hidden="false" customHeight="false" outlineLevel="0" collapsed="false">
      <c r="A94" s="153"/>
      <c r="B94" s="142"/>
      <c r="C94" s="142"/>
      <c r="G94" s="212" t="s">
        <v>289</v>
      </c>
      <c r="H94" s="0"/>
      <c r="I94" s="0"/>
      <c r="J94" s="0"/>
      <c r="K94" s="0"/>
      <c r="L94" s="0"/>
      <c r="M94" s="0"/>
      <c r="N94" s="0"/>
      <c r="O94" s="0"/>
      <c r="P94" s="0"/>
      <c r="Q94" s="0"/>
      <c r="R94" s="0"/>
      <c r="S94" s="0"/>
    </row>
    <row r="95" customFormat="false" ht="15.6" hidden="false" customHeight="false" outlineLevel="0" collapsed="false">
      <c r="A95" s="153"/>
      <c r="B95" s="142"/>
      <c r="C95" s="142"/>
      <c r="G95" s="213"/>
      <c r="H95" s="165" t="s">
        <v>290</v>
      </c>
      <c r="I95" s="0"/>
      <c r="J95" s="0"/>
      <c r="K95" s="0"/>
      <c r="L95" s="0"/>
      <c r="M95" s="0"/>
      <c r="N95" s="0"/>
      <c r="O95" s="0"/>
      <c r="P95" s="0"/>
      <c r="Q95" s="0"/>
      <c r="R95" s="0"/>
      <c r="S95" s="0"/>
    </row>
    <row r="96" customFormat="false" ht="15.6" hidden="false" customHeight="false" outlineLevel="0" collapsed="false">
      <c r="A96" s="153"/>
      <c r="B96" s="142"/>
      <c r="C96" s="142"/>
      <c r="G96" s="165" t="s">
        <v>291</v>
      </c>
      <c r="H96" s="77" t="n">
        <f aca="false">H48/ABS(H33+0.000001)</f>
        <v>6.66666657777778E-005</v>
      </c>
      <c r="I96" s="77" t="n">
        <f aca="false">I48/ABS(I33+0.000001)</f>
        <v>6.66666657777778E-005</v>
      </c>
      <c r="J96" s="77" t="n">
        <f aca="false">J48/ABS(J33+0.000001)</f>
        <v>6.66666675555556E-005</v>
      </c>
      <c r="K96" s="77" t="n">
        <f aca="false">K48/ABS(K33+0.000001)</f>
        <v>6.66666675555556E-005</v>
      </c>
      <c r="L96" s="77" t="n">
        <f aca="false">L48/ABS(L33+0.000001)</f>
        <v>0</v>
      </c>
      <c r="M96" s="77" t="n">
        <f aca="false">M48/ABS(M33+0.000001)</f>
        <v>0</v>
      </c>
      <c r="N96" s="77" t="n">
        <f aca="false">N48/ABS(N33+0.000001)</f>
        <v>0</v>
      </c>
      <c r="O96" s="77" t="n">
        <f aca="false">O48/ABS(O33+0.000001)</f>
        <v>0</v>
      </c>
      <c r="P96" s="77" t="n">
        <f aca="false">P48/ABS(P33+0.000001)</f>
        <v>0</v>
      </c>
      <c r="Q96" s="77" t="n">
        <f aca="false">Q48/ABS(Q33+0.000001)</f>
        <v>0</v>
      </c>
      <c r="R96" s="77" t="n">
        <f aca="false">R48/ABS(R33+0.000001)</f>
        <v>0</v>
      </c>
      <c r="S96" s="77" t="n">
        <f aca="false">S48/ABS(S33+0.000001)</f>
        <v>0</v>
      </c>
    </row>
    <row r="97" customFormat="false" ht="15.6" hidden="false" customHeight="false" outlineLevel="0" collapsed="false">
      <c r="A97" s="153"/>
      <c r="B97" s="142"/>
      <c r="C97" s="142"/>
      <c r="G97" s="165" t="s">
        <v>291</v>
      </c>
      <c r="H97" s="77" t="n">
        <f aca="false">H49/ABS(H32+0.000001)</f>
        <v>5000</v>
      </c>
      <c r="I97" s="77" t="n">
        <f aca="false">I49/ABS(I32+0.000001)</f>
        <v>5000</v>
      </c>
      <c r="J97" s="77" t="n">
        <f aca="false">J49/ABS(J32+0.000001)</f>
        <v>5000</v>
      </c>
      <c r="K97" s="77" t="n">
        <f aca="false">K49/ABS(K32+0.000001)</f>
        <v>5000</v>
      </c>
      <c r="L97" s="77" t="n">
        <f aca="false">L49/ABS(L32+0.000001)</f>
        <v>0</v>
      </c>
      <c r="M97" s="77" t="n">
        <f aca="false">M49/ABS(M32+0.000001)</f>
        <v>0</v>
      </c>
      <c r="N97" s="77" t="n">
        <f aca="false">N49/ABS(N32+0.000001)</f>
        <v>0</v>
      </c>
      <c r="O97" s="77" t="n">
        <f aca="false">O49/ABS(O32+0.000001)</f>
        <v>0</v>
      </c>
      <c r="P97" s="77" t="n">
        <f aca="false">P49/ABS(P32+0.000001)</f>
        <v>0</v>
      </c>
      <c r="Q97" s="77" t="n">
        <f aca="false">Q49/ABS(Q32+0.000001)</f>
        <v>0</v>
      </c>
      <c r="R97" s="77" t="n">
        <f aca="false">R49/ABS(R32+0.000001)</f>
        <v>0</v>
      </c>
      <c r="S97" s="77" t="n">
        <f aca="false">S49/ABS(S32+0.000001)</f>
        <v>0</v>
      </c>
    </row>
    <row r="98" customFormat="false" ht="15.6" hidden="false" customHeight="false" outlineLevel="0" collapsed="false">
      <c r="A98" s="153"/>
      <c r="B98" s="142"/>
      <c r="C98" s="142"/>
      <c r="G98" s="77" t="s">
        <v>292</v>
      </c>
      <c r="H98" s="161" t="n">
        <f aca="false">IF(MIN(H96,H97)&gt;1,0,MIN(H96,H97))</f>
        <v>6.66666657777778E-005</v>
      </c>
      <c r="I98" s="161" t="n">
        <f aca="false">IF(MIN(I96,I97)&gt;1,0,MIN(I96,I97))</f>
        <v>6.66666657777778E-005</v>
      </c>
      <c r="J98" s="161" t="n">
        <f aca="false">IF(MIN(J96,J97)&gt;1,0,MIN(J96,J97))</f>
        <v>6.66666675555556E-005</v>
      </c>
      <c r="K98" s="161" t="n">
        <f aca="false">IF(MIN(K96,K97)&gt;1,0,MIN(K96,K97))</f>
        <v>6.66666675555556E-005</v>
      </c>
      <c r="L98" s="161" t="n">
        <f aca="false">IF(MIN(L96,L97)&gt;1,0,MIN(L96,L97))</f>
        <v>0</v>
      </c>
      <c r="M98" s="161" t="n">
        <f aca="false">IF(MIN(M96,M97)&gt;1,0,MIN(M96,M97))</f>
        <v>0</v>
      </c>
      <c r="N98" s="161" t="n">
        <f aca="false">IF(MIN(N96,N97)&gt;1,0,MIN(N96,N97))</f>
        <v>0</v>
      </c>
      <c r="O98" s="161" t="n">
        <f aca="false">IF(MIN(O96,O97)&gt;1,0,MIN(O96,O97))</f>
        <v>0</v>
      </c>
      <c r="P98" s="161" t="n">
        <f aca="false">IF(MIN(P96,P97)&gt;1,0,MIN(P96,P97))</f>
        <v>0</v>
      </c>
      <c r="Q98" s="161" t="n">
        <f aca="false">IF(MIN(Q96,Q97)&gt;1,0,MIN(Q96,Q97))</f>
        <v>0</v>
      </c>
      <c r="R98" s="161" t="n">
        <f aca="false">IF(MIN(R96,R97)&gt;1,0,MIN(R96,R97))</f>
        <v>0</v>
      </c>
      <c r="S98" s="161" t="n">
        <f aca="false">IF(MIN(S96,S97)&gt;1,0,MIN(S96,S97))</f>
        <v>0</v>
      </c>
    </row>
    <row r="99" customFormat="false" ht="15.6" hidden="false" customHeight="false" outlineLevel="0" collapsed="false">
      <c r="A99" s="153"/>
      <c r="B99" s="142"/>
      <c r="C99" s="142"/>
      <c r="G99" s="0"/>
      <c r="H99" s="165" t="s">
        <v>293</v>
      </c>
      <c r="I99" s="165"/>
      <c r="J99" s="165"/>
      <c r="K99" s="165"/>
      <c r="L99" s="165"/>
      <c r="M99" s="165"/>
      <c r="N99" s="165"/>
      <c r="O99" s="165"/>
      <c r="P99" s="165"/>
      <c r="Q99" s="165"/>
      <c r="R99" s="165"/>
      <c r="S99" s="165"/>
    </row>
    <row r="100" customFormat="false" ht="15.6" hidden="false" customHeight="false" outlineLevel="0" collapsed="false">
      <c r="A100" s="153"/>
      <c r="B100" s="142"/>
      <c r="C100" s="142"/>
      <c r="G100" s="214" t="s">
        <v>291</v>
      </c>
      <c r="H100" s="131" t="n">
        <f aca="false">H49/ABS(H31+0.000001)</f>
        <v>0.000133333329777778</v>
      </c>
      <c r="I100" s="131" t="n">
        <f aca="false">I49/ABS(I31+0.000001)</f>
        <v>0.000133333336888889</v>
      </c>
      <c r="J100" s="131" t="n">
        <f aca="false">J49/ABS(J31+0.000001)</f>
        <v>0.000133333336888889</v>
      </c>
      <c r="K100" s="131" t="n">
        <f aca="false">K49/ABS(K31+0.000001)</f>
        <v>0.000133333329777778</v>
      </c>
      <c r="L100" s="131" t="n">
        <f aca="false">L49/ABS(L31+0.000001)</f>
        <v>0</v>
      </c>
      <c r="M100" s="131" t="n">
        <f aca="false">M49/ABS(M31+0.000001)</f>
        <v>0</v>
      </c>
      <c r="N100" s="131" t="n">
        <f aca="false">N49/ABS(N31+0.000001)</f>
        <v>0</v>
      </c>
      <c r="O100" s="131" t="n">
        <f aca="false">O49/ABS(O31+0.000001)</f>
        <v>0</v>
      </c>
      <c r="P100" s="131" t="n">
        <f aca="false">P49/ABS(P31+0.000001)</f>
        <v>0</v>
      </c>
      <c r="Q100" s="131" t="n">
        <f aca="false">Q49/ABS(Q31+0.000001)</f>
        <v>0</v>
      </c>
      <c r="R100" s="131" t="n">
        <f aca="false">R49/ABS(R31+0.000001)</f>
        <v>0</v>
      </c>
      <c r="S100" s="131" t="n">
        <f aca="false">S49/ABS(S31+0.000001)</f>
        <v>0</v>
      </c>
    </row>
    <row r="101" customFormat="false" ht="15.6" hidden="false" customHeight="false" outlineLevel="0" collapsed="false">
      <c r="A101" s="153"/>
      <c r="B101" s="142"/>
      <c r="C101" s="142"/>
      <c r="G101" s="214" t="s">
        <v>291</v>
      </c>
      <c r="H101" s="215" t="n">
        <f aca="false">H47/ABS(H33+0.000001)</f>
        <v>6.66666657777778E-005</v>
      </c>
      <c r="I101" s="215" t="n">
        <f aca="false">I47/ABS(I33+0.000001)</f>
        <v>6.66666657777778E-005</v>
      </c>
      <c r="J101" s="215" t="n">
        <f aca="false">J47/ABS(J33+0.000001)</f>
        <v>6.66666675555556E-005</v>
      </c>
      <c r="K101" s="215" t="n">
        <f aca="false">K47/ABS(K33+0.000001)</f>
        <v>6.66666675555556E-005</v>
      </c>
      <c r="L101" s="215" t="n">
        <f aca="false">L47/ABS(L33+0.000001)</f>
        <v>0</v>
      </c>
      <c r="M101" s="215" t="n">
        <f aca="false">M47/ABS(M33+0.000001)</f>
        <v>0</v>
      </c>
      <c r="N101" s="215" t="n">
        <f aca="false">N47/ABS(N33+0.000001)</f>
        <v>0</v>
      </c>
      <c r="O101" s="215" t="n">
        <f aca="false">O47/ABS(O33+0.000001)</f>
        <v>0</v>
      </c>
      <c r="P101" s="215" t="n">
        <f aca="false">P47/ABS(P33+0.000001)</f>
        <v>0</v>
      </c>
      <c r="Q101" s="215" t="n">
        <f aca="false">Q47/ABS(Q33+0.000001)</f>
        <v>0</v>
      </c>
      <c r="R101" s="215" t="n">
        <f aca="false">R47/ABS(R33+0.000001)</f>
        <v>0</v>
      </c>
      <c r="S101" s="215" t="n">
        <f aca="false">S47/ABS(S33+0.000001)</f>
        <v>0</v>
      </c>
    </row>
    <row r="102" customFormat="false" ht="15.6" hidden="false" customHeight="false" outlineLevel="0" collapsed="false">
      <c r="A102" s="153"/>
      <c r="B102" s="142"/>
      <c r="C102" s="142"/>
      <c r="G102" s="77" t="s">
        <v>292</v>
      </c>
      <c r="H102" s="161" t="n">
        <f aca="false">IF(MIN(H100,H101)&gt;1,0,MIN(H100,H101))</f>
        <v>6.66666657777778E-005</v>
      </c>
      <c r="I102" s="161" t="n">
        <f aca="false">IF(MIN(I100,I101)&gt;1,0,MIN(I100,I101))</f>
        <v>6.66666657777778E-005</v>
      </c>
      <c r="J102" s="161" t="n">
        <f aca="false">IF(MIN(J100,J101)&gt;1,0,MIN(J100,J101))</f>
        <v>6.66666675555556E-005</v>
      </c>
      <c r="K102" s="161" t="n">
        <f aca="false">IF(MIN(K100,K101)&gt;1,0,MIN(K100,K101))</f>
        <v>6.66666675555556E-005</v>
      </c>
      <c r="L102" s="161" t="n">
        <f aca="false">IF(MIN(L100,L101)&gt;1,0,MIN(L100,L101))</f>
        <v>0</v>
      </c>
      <c r="M102" s="161" t="n">
        <f aca="false">IF(MIN(M100,M101)&gt;1,0,MIN(M100,M101))</f>
        <v>0</v>
      </c>
      <c r="N102" s="161" t="n">
        <f aca="false">IF(MIN(N100,N101)&gt;1,0,MIN(N100,N101))</f>
        <v>0</v>
      </c>
      <c r="O102" s="161" t="n">
        <f aca="false">IF(MIN(O100,O101)&gt;1,0,MIN(O100,O101))</f>
        <v>0</v>
      </c>
      <c r="P102" s="161" t="n">
        <f aca="false">IF(MIN(P100,P101)&gt;1,0,MIN(P100,P101))</f>
        <v>0</v>
      </c>
      <c r="Q102" s="161" t="n">
        <f aca="false">IF(MIN(Q100,Q101)&gt;1,0,MIN(Q100,Q101))</f>
        <v>0</v>
      </c>
      <c r="R102" s="161" t="n">
        <f aca="false">IF(MIN(R100,R101)&gt;1,0,MIN(R100,R101))</f>
        <v>0</v>
      </c>
      <c r="S102" s="161" t="n">
        <f aca="false">IF(MIN(S100,S101)&gt;1,0,MIN(S100,S101))</f>
        <v>0</v>
      </c>
    </row>
    <row r="103" customFormat="false" ht="15.6" hidden="false" customHeight="false" outlineLevel="0" collapsed="false">
      <c r="A103" s="153"/>
      <c r="B103" s="142"/>
      <c r="C103" s="142"/>
      <c r="G103" s="0"/>
      <c r="H103" s="77" t="s">
        <v>294</v>
      </c>
      <c r="I103" s="0"/>
      <c r="J103" s="0"/>
      <c r="K103" s="0"/>
      <c r="L103" s="0"/>
      <c r="M103" s="0"/>
      <c r="N103" s="0"/>
      <c r="O103" s="0"/>
      <c r="P103" s="0"/>
      <c r="Q103" s="0"/>
      <c r="R103" s="0"/>
      <c r="S103" s="0"/>
    </row>
    <row r="104" customFormat="false" ht="15.6" hidden="false" customHeight="false" outlineLevel="0" collapsed="false">
      <c r="A104" s="153"/>
      <c r="B104" s="142"/>
      <c r="C104" s="142"/>
      <c r="G104" s="165" t="s">
        <v>291</v>
      </c>
      <c r="H104" s="77" t="n">
        <f aca="false">H48/ABS(H31+0.000001)</f>
        <v>0.000133333329777778</v>
      </c>
      <c r="I104" s="77" t="n">
        <f aca="false">I48/ABS(I31+0.000001)</f>
        <v>0.000133333336888889</v>
      </c>
      <c r="J104" s="77" t="n">
        <f aca="false">J48/ABS(J31+0.000001)</f>
        <v>0.000133333336888889</v>
      </c>
      <c r="K104" s="77" t="n">
        <f aca="false">K48/ABS(K31+0.000001)</f>
        <v>0.000133333329777778</v>
      </c>
      <c r="L104" s="77" t="n">
        <f aca="false">L48/ABS(L31+0.000001)</f>
        <v>0</v>
      </c>
      <c r="M104" s="77" t="n">
        <f aca="false">M48/ABS(M31+0.000001)</f>
        <v>0</v>
      </c>
      <c r="N104" s="77" t="n">
        <f aca="false">N48/ABS(N31+0.000001)</f>
        <v>0</v>
      </c>
      <c r="O104" s="77" t="n">
        <f aca="false">O48/ABS(O31+0.000001)</f>
        <v>0</v>
      </c>
      <c r="P104" s="77" t="n">
        <f aca="false">P48/ABS(P31+0.000001)</f>
        <v>0</v>
      </c>
      <c r="Q104" s="77" t="n">
        <f aca="false">Q48/ABS(Q31+0.000001)</f>
        <v>0</v>
      </c>
      <c r="R104" s="77" t="n">
        <f aca="false">R48/ABS(R31+0.000001)</f>
        <v>0</v>
      </c>
      <c r="S104" s="77" t="n">
        <f aca="false">S48/ABS(S31+0.000001)</f>
        <v>0</v>
      </c>
    </row>
    <row r="105" customFormat="false" ht="15.6" hidden="false" customHeight="false" outlineLevel="0" collapsed="false">
      <c r="A105" s="153"/>
      <c r="B105" s="142"/>
      <c r="C105" s="142"/>
      <c r="G105" s="165" t="s">
        <v>291</v>
      </c>
      <c r="H105" s="77" t="n">
        <f aca="false">H47/ABS(H32+0.000001)</f>
        <v>5000</v>
      </c>
      <c r="I105" s="77" t="n">
        <f aca="false">I47/ABS(I32+0.000001)</f>
        <v>5000</v>
      </c>
      <c r="J105" s="77" t="n">
        <f aca="false">J47/ABS(J32+0.000001)</f>
        <v>5000</v>
      </c>
      <c r="K105" s="77" t="n">
        <f aca="false">K47/ABS(K32+0.000001)</f>
        <v>5000</v>
      </c>
      <c r="L105" s="77" t="n">
        <f aca="false">L47/ABS(L32+0.000001)</f>
        <v>0</v>
      </c>
      <c r="M105" s="77" t="n">
        <f aca="false">M47/ABS(M32+0.000001)</f>
        <v>0</v>
      </c>
      <c r="N105" s="77" t="n">
        <f aca="false">N47/ABS(N32+0.000001)</f>
        <v>0</v>
      </c>
      <c r="O105" s="77" t="n">
        <f aca="false">O47/ABS(O32+0.000001)</f>
        <v>0</v>
      </c>
      <c r="P105" s="77" t="n">
        <f aca="false">P47/ABS(P32+0.000001)</f>
        <v>0</v>
      </c>
      <c r="Q105" s="77" t="n">
        <f aca="false">Q47/ABS(Q32+0.000001)</f>
        <v>0</v>
      </c>
      <c r="R105" s="77" t="n">
        <f aca="false">R47/ABS(R32+0.000001)</f>
        <v>0</v>
      </c>
      <c r="S105" s="77" t="n">
        <f aca="false">S47/ABS(S32+0.000001)</f>
        <v>0</v>
      </c>
    </row>
    <row r="106" customFormat="false" ht="15.6" hidden="false" customHeight="false" outlineLevel="0" collapsed="false">
      <c r="A106" s="153"/>
      <c r="B106" s="142"/>
      <c r="C106" s="142"/>
      <c r="G106" s="77" t="s">
        <v>292</v>
      </c>
      <c r="H106" s="161" t="n">
        <f aca="false">IF(MIN(H104,H105)&gt;1,0,MIN(H104,H105))</f>
        <v>0.000133333329777778</v>
      </c>
      <c r="I106" s="161" t="n">
        <f aca="false">IF(MIN(I104,I105)&gt;1,0,MIN(I104,I105))</f>
        <v>0.000133333336888889</v>
      </c>
      <c r="J106" s="161" t="n">
        <f aca="false">IF(MIN(J104,J105)&gt;1,0,MIN(J104,J105))</f>
        <v>0.000133333336888889</v>
      </c>
      <c r="K106" s="161" t="n">
        <f aca="false">IF(MIN(K104,K105)&gt;1,0,MIN(K104,K105))</f>
        <v>0.000133333329777778</v>
      </c>
      <c r="L106" s="161" t="n">
        <f aca="false">IF(MIN(L104,L105)&gt;1,0,MIN(L104,L105))</f>
        <v>0</v>
      </c>
      <c r="M106" s="161" t="n">
        <f aca="false">IF(MIN(M104,M105)&gt;1,0,MIN(M104,M105))</f>
        <v>0</v>
      </c>
      <c r="N106" s="161" t="n">
        <f aca="false">IF(MIN(N104,N105)&gt;1,0,MIN(N104,N105))</f>
        <v>0</v>
      </c>
      <c r="O106" s="161" t="n">
        <f aca="false">IF(MIN(O104,O105)&gt;1,0,MIN(O104,O105))</f>
        <v>0</v>
      </c>
      <c r="P106" s="161" t="n">
        <f aca="false">IF(MIN(P104,P105)&gt;1,0,MIN(P104,P105))</f>
        <v>0</v>
      </c>
      <c r="Q106" s="161" t="n">
        <f aca="false">IF(MIN(Q104,Q105)&gt;1,0,MIN(Q104,Q105))</f>
        <v>0</v>
      </c>
      <c r="R106" s="161" t="n">
        <f aca="false">IF(MIN(R104,R105)&gt;1,0,MIN(R104,R105))</f>
        <v>0</v>
      </c>
      <c r="S106" s="161" t="n">
        <f aca="false">IF(MIN(S104,S105)&gt;1,0,MIN(S104,S105))</f>
        <v>0</v>
      </c>
    </row>
    <row r="107" customFormat="false" ht="15.6" hidden="false" customHeight="false" outlineLevel="0" collapsed="false">
      <c r="A107" s="153"/>
      <c r="B107" s="142"/>
      <c r="C107" s="142"/>
      <c r="G107" s="0"/>
      <c r="H107" s="0"/>
      <c r="I107" s="0"/>
      <c r="J107" s="0"/>
      <c r="K107" s="0"/>
      <c r="L107" s="0"/>
      <c r="M107" s="0"/>
      <c r="N107" s="0"/>
      <c r="O107" s="0"/>
      <c r="P107" s="0"/>
      <c r="Q107" s="0"/>
      <c r="R107" s="0"/>
      <c r="S107" s="0"/>
    </row>
    <row r="108" customFormat="false" ht="15.6" hidden="false" customHeight="false" outlineLevel="0" collapsed="false">
      <c r="A108" s="153"/>
      <c r="B108" s="142"/>
      <c r="C108" s="142"/>
      <c r="G108" s="212" t="s">
        <v>295</v>
      </c>
      <c r="H108" s="212"/>
      <c r="I108" s="212"/>
      <c r="J108" s="212"/>
      <c r="K108" s="212"/>
      <c r="L108" s="212"/>
      <c r="M108" s="212"/>
      <c r="N108" s="212"/>
      <c r="O108" s="212"/>
      <c r="P108" s="212"/>
      <c r="Q108" s="0"/>
      <c r="R108" s="0"/>
      <c r="S108" s="0"/>
    </row>
    <row r="109" customFormat="false" ht="15.6" hidden="false" customHeight="false" outlineLevel="0" collapsed="false">
      <c r="A109" s="153"/>
      <c r="B109" s="142"/>
      <c r="C109" s="142"/>
      <c r="G109" s="0"/>
      <c r="H109" s="153" t="s">
        <v>296</v>
      </c>
      <c r="I109" s="153"/>
      <c r="J109" s="153"/>
      <c r="K109" s="153"/>
      <c r="L109" s="153"/>
      <c r="M109" s="153"/>
      <c r="N109" s="153"/>
      <c r="O109" s="153"/>
      <c r="P109" s="153"/>
      <c r="Q109" s="153"/>
      <c r="R109" s="153"/>
      <c r="S109" s="153"/>
    </row>
    <row r="110" customFormat="false" ht="15.6" hidden="false" customHeight="false" outlineLevel="0" collapsed="false">
      <c r="A110" s="153"/>
      <c r="B110" s="142"/>
      <c r="C110" s="142"/>
      <c r="G110" s="165" t="s">
        <v>291</v>
      </c>
      <c r="H110" s="161" t="n">
        <f aca="false">H56/(H33+0.000001)</f>
        <v>0</v>
      </c>
      <c r="I110" s="161" t="n">
        <f aca="false">I56/(I33+0.000001)</f>
        <v>0</v>
      </c>
      <c r="J110" s="161" t="n">
        <f aca="false">J56/(J33+0.000001)</f>
        <v>-0</v>
      </c>
      <c r="K110" s="161" t="n">
        <f aca="false">K56/(K33+0.000001)</f>
        <v>-0</v>
      </c>
      <c r="L110" s="161" t="n">
        <f aca="false">L56/(L33+0.000001)</f>
        <v>0</v>
      </c>
      <c r="M110" s="161" t="n">
        <f aca="false">M56/(M33+0.000001)</f>
        <v>0</v>
      </c>
      <c r="N110" s="161" t="n">
        <f aca="false">N56/(N33+0.000001)</f>
        <v>0</v>
      </c>
      <c r="O110" s="161" t="n">
        <f aca="false">O56/(O33+0.000001)</f>
        <v>0</v>
      </c>
      <c r="P110" s="161" t="n">
        <f aca="false">P56/(P33+0.000001)</f>
        <v>0</v>
      </c>
      <c r="Q110" s="161" t="n">
        <f aca="false">Q56/(Q33+0.000001)</f>
        <v>0</v>
      </c>
      <c r="R110" s="161" t="n">
        <f aca="false">R56/(R33+0.000001)</f>
        <v>0</v>
      </c>
      <c r="S110" s="161" t="n">
        <f aca="false">S56/(S33+0.000001)</f>
        <v>0</v>
      </c>
    </row>
    <row r="111" customFormat="false" ht="15.6" hidden="false" customHeight="false" outlineLevel="0" collapsed="false">
      <c r="A111" s="153"/>
      <c r="B111" s="142"/>
      <c r="C111" s="142"/>
      <c r="G111" s="165" t="s">
        <v>291</v>
      </c>
      <c r="H111" s="216" t="n">
        <f aca="false">H57/(H32+0.000001)</f>
        <v>0</v>
      </c>
      <c r="I111" s="216" t="n">
        <f aca="false">I57/(I32+0.000001)</f>
        <v>0</v>
      </c>
      <c r="J111" s="216" t="n">
        <f aca="false">J57/(J32+0.000001)</f>
        <v>0</v>
      </c>
      <c r="K111" s="216" t="n">
        <f aca="false">K57/(K32+0.000001)</f>
        <v>0</v>
      </c>
      <c r="L111" s="216" t="n">
        <f aca="false">L57/(L32+0.000001)</f>
        <v>0</v>
      </c>
      <c r="M111" s="216" t="n">
        <f aca="false">M57/(M32+0.000001)</f>
        <v>0</v>
      </c>
      <c r="N111" s="216" t="n">
        <f aca="false">N57/(N32+0.000001)</f>
        <v>0</v>
      </c>
      <c r="O111" s="216" t="n">
        <f aca="false">O57/(O32+0.000001)</f>
        <v>0</v>
      </c>
      <c r="P111" s="216" t="n">
        <f aca="false">P57/(P32+0.000001)</f>
        <v>0</v>
      </c>
      <c r="Q111" s="216" t="n">
        <f aca="false">Q57/(Q32+0.000001)</f>
        <v>0</v>
      </c>
      <c r="R111" s="216" t="n">
        <f aca="false">R57/(R32+0.000001)</f>
        <v>0</v>
      </c>
      <c r="S111" s="216" t="n">
        <f aca="false">S57/(S32+0.000001)</f>
        <v>0</v>
      </c>
    </row>
    <row r="112" customFormat="false" ht="15.6" hidden="false" customHeight="false" outlineLevel="0" collapsed="false">
      <c r="G112" s="77" t="s">
        <v>297</v>
      </c>
      <c r="H112" s="217" t="n">
        <f aca="false">SIGN(H110+0.000000000001)*SIGN(H111+0.000000000001)</f>
        <v>1</v>
      </c>
      <c r="I112" s="217" t="n">
        <f aca="false">SIGN(I110+0.000000000001)*SIGN(I111+0.000000000001)</f>
        <v>1</v>
      </c>
      <c r="J112" s="217" t="n">
        <f aca="false">SIGN(J110+0.000000000001)*SIGN(J111+0.000000000001)</f>
        <v>1</v>
      </c>
      <c r="K112" s="217" t="n">
        <f aca="false">SIGN(K110+0.000000000001)*SIGN(K111+0.000000000001)</f>
        <v>1</v>
      </c>
      <c r="L112" s="217" t="n">
        <f aca="false">SIGN(L110+0.000000000001)*SIGN(L111+0.000000000001)</f>
        <v>1</v>
      </c>
      <c r="M112" s="217" t="n">
        <f aca="false">SIGN(M110+0.000000000001)*SIGN(M111+0.000000000001)</f>
        <v>1</v>
      </c>
      <c r="N112" s="217" t="n">
        <f aca="false">SIGN(N110+0.000000000001)*SIGN(N111+0.000000000001)</f>
        <v>1</v>
      </c>
      <c r="O112" s="217" t="n">
        <f aca="false">SIGN(O110+0.000000000001)*SIGN(O111+0.000000000001)</f>
        <v>1</v>
      </c>
      <c r="P112" s="217" t="n">
        <f aca="false">SIGN(P110+0.000000000001)*SIGN(P111+0.000000000001)</f>
        <v>1</v>
      </c>
      <c r="Q112" s="217" t="n">
        <f aca="false">SIGN(Q110+0.000000000001)*SIGN(Q111+0.000000000001)</f>
        <v>1</v>
      </c>
      <c r="R112" s="217" t="n">
        <f aca="false">SIGN(R110+0.000000000001)*SIGN(R111+0.000000000001)</f>
        <v>1</v>
      </c>
      <c r="S112" s="217" t="n">
        <f aca="false">SIGN(S110+0.000000000001)*SIGN(S111+0.000000000001)</f>
        <v>1</v>
      </c>
    </row>
    <row r="113" customFormat="false" ht="15.6" hidden="false" customHeight="false" outlineLevel="0" collapsed="false">
      <c r="G113" s="77" t="s">
        <v>292</v>
      </c>
      <c r="H113" s="161" t="n">
        <f aca="false">IF(H112*MIN(ABS(H110),ABS(H111))&gt;1,0,H112*MIN(ABS(H110),ABS(H111)))</f>
        <v>0</v>
      </c>
      <c r="I113" s="161" t="n">
        <f aca="false">IF(I112*MIN(ABS(I110),ABS(I111))&gt;1,0,I112*MIN(ABS(I110),ABS(I111)))</f>
        <v>0</v>
      </c>
      <c r="J113" s="161" t="n">
        <f aca="false">IF(J112*MIN(ABS(J110),ABS(J111))&gt;1,0,J112*MIN(ABS(J110),ABS(J111)))</f>
        <v>0</v>
      </c>
      <c r="K113" s="161" t="n">
        <f aca="false">IF(K112*MIN(ABS(K110),ABS(K111))&gt;1,0,K112*MIN(ABS(K110),ABS(K111)))</f>
        <v>0</v>
      </c>
      <c r="L113" s="161" t="n">
        <f aca="false">IF(L112*MIN(ABS(L110),ABS(L111))&gt;1,0,L112*MIN(ABS(L110),ABS(L111)))</f>
        <v>0</v>
      </c>
      <c r="M113" s="161" t="n">
        <f aca="false">IF(M112*MIN(ABS(M110),ABS(M111))&gt;1,0,M112*MIN(ABS(M110),ABS(M111)))</f>
        <v>0</v>
      </c>
      <c r="N113" s="161" t="n">
        <f aca="false">IF(N112*MIN(ABS(N110),ABS(N111))&gt;1,0,N112*MIN(ABS(N110),ABS(N111)))</f>
        <v>0</v>
      </c>
      <c r="O113" s="161" t="n">
        <f aca="false">IF(O112*MIN(ABS(O110),ABS(O111))&gt;1,0,O112*MIN(ABS(O110),ABS(O111)))</f>
        <v>0</v>
      </c>
      <c r="P113" s="161" t="n">
        <f aca="false">IF(P112*MIN(ABS(P110),ABS(P111))&gt;1,0,P112*MIN(ABS(P110),ABS(P111)))</f>
        <v>0</v>
      </c>
      <c r="Q113" s="161" t="n">
        <f aca="false">IF(Q112*MIN(ABS(Q110),ABS(Q111))&gt;1,0,Q112*MIN(ABS(Q110),ABS(Q111)))</f>
        <v>0</v>
      </c>
      <c r="R113" s="161" t="n">
        <f aca="false">IF(R112*MIN(ABS(R110),ABS(R111))&gt;1,0,R112*MIN(ABS(R110),ABS(R111)))</f>
        <v>0</v>
      </c>
      <c r="S113" s="161" t="n">
        <f aca="false">IF(S112*MIN(ABS(S110),ABS(S111))&gt;1,0,S112*MIN(ABS(S110),ABS(S111)))</f>
        <v>0</v>
      </c>
    </row>
    <row r="114" customFormat="false" ht="15.6" hidden="false" customHeight="false" outlineLevel="0" collapsed="false">
      <c r="G114" s="0"/>
      <c r="H114" s="153" t="s">
        <v>298</v>
      </c>
      <c r="I114" s="153"/>
      <c r="J114" s="153"/>
      <c r="K114" s="153"/>
      <c r="L114" s="153"/>
      <c r="M114" s="153"/>
      <c r="N114" s="153"/>
      <c r="O114" s="153"/>
      <c r="P114" s="153"/>
      <c r="Q114" s="153"/>
      <c r="R114" s="153"/>
      <c r="S114" s="153"/>
    </row>
    <row r="115" customFormat="false" ht="15.6" hidden="false" customHeight="false" outlineLevel="0" collapsed="false">
      <c r="G115" s="214" t="s">
        <v>291</v>
      </c>
      <c r="H115" s="131" t="n">
        <f aca="false">-H57/(H31+0.000001)</f>
        <v>-0</v>
      </c>
      <c r="I115" s="131" t="n">
        <f aca="false">-I57/(I31+0.000001)</f>
        <v>0</v>
      </c>
      <c r="J115" s="131" t="n">
        <f aca="false">-J57/(J31+0.000001)</f>
        <v>0</v>
      </c>
      <c r="K115" s="131" t="n">
        <f aca="false">-K57/(K31+0.000001)</f>
        <v>-0</v>
      </c>
      <c r="L115" s="131" t="n">
        <f aca="false">-L57/(L31+0.000001)</f>
        <v>-0</v>
      </c>
      <c r="M115" s="131" t="n">
        <f aca="false">-M57/(M31+0.000001)</f>
        <v>-0</v>
      </c>
      <c r="N115" s="131" t="n">
        <f aca="false">-N57/(N31+0.000001)</f>
        <v>-0</v>
      </c>
      <c r="O115" s="131" t="n">
        <f aca="false">-O57/(O31+0.000001)</f>
        <v>-0</v>
      </c>
      <c r="P115" s="131" t="n">
        <f aca="false">-P57/(P31+0.000001)</f>
        <v>-0</v>
      </c>
      <c r="Q115" s="131" t="n">
        <f aca="false">-Q57/(Q31+0.000001)</f>
        <v>-0</v>
      </c>
      <c r="R115" s="131" t="n">
        <f aca="false">-R57/(R31+0.000001)</f>
        <v>-0</v>
      </c>
      <c r="S115" s="131" t="n">
        <f aca="false">-S57/(S31+0.000001)</f>
        <v>-0</v>
      </c>
    </row>
    <row r="116" customFormat="false" ht="15.6" hidden="false" customHeight="false" outlineLevel="0" collapsed="false">
      <c r="G116" s="214" t="s">
        <v>291</v>
      </c>
      <c r="H116" s="131" t="n">
        <f aca="false">H55/(H33+0.000001)</f>
        <v>0</v>
      </c>
      <c r="I116" s="131" t="n">
        <f aca="false">I55/(I33+0.000001)</f>
        <v>0</v>
      </c>
      <c r="J116" s="131" t="n">
        <f aca="false">J55/(J33+0.000001)</f>
        <v>-0</v>
      </c>
      <c r="K116" s="131" t="n">
        <f aca="false">K55/(K33+0.000001)</f>
        <v>-0</v>
      </c>
      <c r="L116" s="131" t="n">
        <f aca="false">L55/(L33+0.000001)</f>
        <v>0</v>
      </c>
      <c r="M116" s="131" t="n">
        <f aca="false">M55/(M33+0.000001)</f>
        <v>0</v>
      </c>
      <c r="N116" s="131" t="n">
        <f aca="false">N55/(N33+0.000001)</f>
        <v>0</v>
      </c>
      <c r="O116" s="131" t="n">
        <f aca="false">O55/(O33+0.000001)</f>
        <v>0</v>
      </c>
      <c r="P116" s="131" t="n">
        <f aca="false">P55/(P33+0.000001)</f>
        <v>0</v>
      </c>
      <c r="Q116" s="131" t="n">
        <f aca="false">Q55/(Q33+0.000001)</f>
        <v>0</v>
      </c>
      <c r="R116" s="131" t="n">
        <f aca="false">R55/(R33+0.000001)</f>
        <v>0</v>
      </c>
      <c r="S116" s="131" t="n">
        <f aca="false">S55/(S33+0.000001)</f>
        <v>0</v>
      </c>
    </row>
    <row r="117" customFormat="false" ht="15.6" hidden="false" customHeight="false" outlineLevel="0" collapsed="false">
      <c r="G117" s="131" t="s">
        <v>297</v>
      </c>
      <c r="H117" s="218" t="n">
        <f aca="false">SIGN(H115+0.000000000001)*SIGN(H116+0.000000000001)</f>
        <v>1</v>
      </c>
      <c r="I117" s="218" t="n">
        <f aca="false">SIGN(I115+0.000000000001)*SIGN(I116+0.000000000001)</f>
        <v>1</v>
      </c>
      <c r="J117" s="218" t="n">
        <f aca="false">SIGN(J115+0.000000000001)*SIGN(J116+0.000000000001)</f>
        <v>1</v>
      </c>
      <c r="K117" s="218" t="n">
        <f aca="false">SIGN(K115+0.000000000001)*SIGN(K116+0.000000000001)</f>
        <v>1</v>
      </c>
      <c r="L117" s="218" t="n">
        <f aca="false">SIGN(L115+0.000000000001)*SIGN(L116+0.000000000001)</f>
        <v>1</v>
      </c>
      <c r="M117" s="218" t="n">
        <f aca="false">SIGN(M115+0.000000000001)*SIGN(M116+0.000000000001)</f>
        <v>1</v>
      </c>
      <c r="N117" s="218" t="n">
        <f aca="false">SIGN(N115+0.000000000001)*SIGN(N116+0.000000000001)</f>
        <v>1</v>
      </c>
      <c r="O117" s="218" t="n">
        <f aca="false">SIGN(O115+0.000000000001)*SIGN(O116+0.000000000001)</f>
        <v>1</v>
      </c>
      <c r="P117" s="218" t="n">
        <f aca="false">SIGN(P115+0.000000000001)*SIGN(P116+0.000000000001)</f>
        <v>1</v>
      </c>
      <c r="Q117" s="218" t="n">
        <f aca="false">SIGN(Q115+0.000000000001)*SIGN(Q116+0.000000000001)</f>
        <v>1</v>
      </c>
      <c r="R117" s="218" t="n">
        <f aca="false">SIGN(R115+0.000000000001)*SIGN(R116+0.000000000001)</f>
        <v>1</v>
      </c>
      <c r="S117" s="218" t="n">
        <f aca="false">SIGN(S115+0.000000000001)*SIGN(S116+0.000000000001)</f>
        <v>1</v>
      </c>
    </row>
    <row r="118" customFormat="false" ht="15.6" hidden="false" customHeight="false" outlineLevel="0" collapsed="false">
      <c r="G118" s="131" t="s">
        <v>292</v>
      </c>
      <c r="H118" s="219" t="n">
        <f aca="false">IF(H117*MIN(ABS(H115),ABS(H116))&gt;1,0,H117*MIN(ABS(H115),ABS(H116)))</f>
        <v>0</v>
      </c>
      <c r="I118" s="219" t="n">
        <f aca="false">IF(I117*MIN(ABS(I115),ABS(I116))&gt;1,0,I117*MIN(ABS(I115),ABS(I116)))</f>
        <v>0</v>
      </c>
      <c r="J118" s="219" t="n">
        <f aca="false">IF(J117*MIN(ABS(J115),ABS(J116))&gt;1,0,J117*MIN(ABS(J115),ABS(J116)))</f>
        <v>0</v>
      </c>
      <c r="K118" s="219" t="n">
        <f aca="false">IF(K117*MIN(ABS(K115),ABS(K116))&gt;1,0,K117*MIN(ABS(K115),ABS(K116)))</f>
        <v>0</v>
      </c>
      <c r="L118" s="219" t="n">
        <f aca="false">IF(L117*MIN(ABS(L115),ABS(L116))&gt;1,0,L117*MIN(ABS(L115),ABS(L116)))</f>
        <v>0</v>
      </c>
      <c r="M118" s="219" t="n">
        <f aca="false">IF(M117*MIN(ABS(M115),ABS(M116))&gt;1,0,M117*MIN(ABS(M115),ABS(M116)))</f>
        <v>0</v>
      </c>
      <c r="N118" s="219" t="n">
        <f aca="false">IF(N117*MIN(ABS(N115),ABS(N116))&gt;1,0,N117*MIN(ABS(N115),ABS(N116)))</f>
        <v>0</v>
      </c>
      <c r="O118" s="219" t="n">
        <f aca="false">IF(O117*MIN(ABS(O115),ABS(O116))&gt;1,0,O117*MIN(ABS(O115),ABS(O116)))</f>
        <v>0</v>
      </c>
      <c r="P118" s="219" t="n">
        <f aca="false">IF(P117*MIN(ABS(P115),ABS(P116))&gt;1,0,P117*MIN(ABS(P115),ABS(P116)))</f>
        <v>0</v>
      </c>
      <c r="Q118" s="219" t="n">
        <f aca="false">IF(Q117*MIN(ABS(Q115),ABS(Q116))&gt;1,0,Q117*MIN(ABS(Q115),ABS(Q116)))</f>
        <v>0</v>
      </c>
      <c r="R118" s="219" t="n">
        <f aca="false">IF(R117*MIN(ABS(R115),ABS(R116))&gt;1,0,R117*MIN(ABS(R115),ABS(R116)))</f>
        <v>0</v>
      </c>
      <c r="S118" s="219" t="n">
        <f aca="false">IF(S117*MIN(ABS(S115),ABS(S116))&gt;1,0,S117*MIN(ABS(S115),ABS(S116)))</f>
        <v>0</v>
      </c>
    </row>
    <row r="119" customFormat="false" ht="15.6" hidden="false" customHeight="false" outlineLevel="0" collapsed="false">
      <c r="G119" s="0"/>
      <c r="H119" s="153" t="s">
        <v>299</v>
      </c>
      <c r="I119" s="153"/>
      <c r="J119" s="153"/>
      <c r="K119" s="153"/>
      <c r="L119" s="153"/>
      <c r="M119" s="153"/>
      <c r="N119" s="153"/>
      <c r="O119" s="153"/>
      <c r="P119" s="153"/>
      <c r="Q119" s="153"/>
      <c r="R119" s="153"/>
      <c r="S119" s="153"/>
    </row>
    <row r="120" customFormat="false" ht="15.6" hidden="false" customHeight="false" outlineLevel="0" collapsed="false">
      <c r="G120" s="165" t="s">
        <v>291</v>
      </c>
      <c r="H120" s="161" t="n">
        <f aca="false">H56/(H31+0.000001)</f>
        <v>0</v>
      </c>
      <c r="I120" s="161" t="n">
        <f aca="false">I56/(I31+0.000001)</f>
        <v>-0</v>
      </c>
      <c r="J120" s="161" t="n">
        <f aca="false">J56/(J31+0.000001)</f>
        <v>-0</v>
      </c>
      <c r="K120" s="161" t="n">
        <f aca="false">K56/(K31+0.000001)</f>
        <v>0</v>
      </c>
      <c r="L120" s="161" t="n">
        <f aca="false">L56/(L31+0.000001)</f>
        <v>0</v>
      </c>
      <c r="M120" s="161" t="n">
        <f aca="false">M56/(M31+0.000001)</f>
        <v>0</v>
      </c>
      <c r="N120" s="161" t="n">
        <f aca="false">N56/(N31+0.000001)</f>
        <v>0</v>
      </c>
      <c r="O120" s="161" t="n">
        <f aca="false">O56/(O31+0.000001)</f>
        <v>0</v>
      </c>
      <c r="P120" s="161" t="n">
        <f aca="false">P56/(P31+0.000001)</f>
        <v>0</v>
      </c>
      <c r="Q120" s="161" t="n">
        <f aca="false">Q56/(Q31+0.000001)</f>
        <v>0</v>
      </c>
      <c r="R120" s="161" t="n">
        <f aca="false">R56/(R31+0.000001)</f>
        <v>0</v>
      </c>
      <c r="S120" s="161" t="n">
        <f aca="false">S56/(S31+0.000001)</f>
        <v>0</v>
      </c>
    </row>
    <row r="121" customFormat="false" ht="15.6" hidden="false" customHeight="false" outlineLevel="0" collapsed="false">
      <c r="G121" s="165" t="s">
        <v>291</v>
      </c>
      <c r="H121" s="77" t="n">
        <f aca="false">H55/(H32+0.000001)</f>
        <v>0</v>
      </c>
      <c r="I121" s="77" t="n">
        <f aca="false">I55/(I32+0.000001)</f>
        <v>0</v>
      </c>
      <c r="J121" s="77" t="n">
        <f aca="false">J55/(J32+0.000001)</f>
        <v>0</v>
      </c>
      <c r="K121" s="77" t="n">
        <f aca="false">K55/(K32+0.000001)</f>
        <v>0</v>
      </c>
      <c r="L121" s="77" t="n">
        <f aca="false">L55/(L32+0.000001)</f>
        <v>0</v>
      </c>
      <c r="M121" s="77" t="n">
        <f aca="false">M55/(M32+0.000001)</f>
        <v>0</v>
      </c>
      <c r="N121" s="77" t="n">
        <f aca="false">N55/(N32+0.000001)</f>
        <v>0</v>
      </c>
      <c r="O121" s="77" t="n">
        <f aca="false">O55/(O32+0.000001)</f>
        <v>0</v>
      </c>
      <c r="P121" s="77" t="n">
        <f aca="false">P55/(P32+0.000001)</f>
        <v>0</v>
      </c>
      <c r="Q121" s="77" t="n">
        <f aca="false">Q55/(Q32+0.000001)</f>
        <v>0</v>
      </c>
      <c r="R121" s="77" t="n">
        <f aca="false">R55/(R32+0.000001)</f>
        <v>0</v>
      </c>
      <c r="S121" s="77" t="n">
        <f aca="false">S55/(S32+0.000001)</f>
        <v>0</v>
      </c>
    </row>
    <row r="122" customFormat="false" ht="15.6" hidden="false" customHeight="false" outlineLevel="0" collapsed="false">
      <c r="G122" s="77" t="s">
        <v>297</v>
      </c>
      <c r="H122" s="217" t="n">
        <f aca="false">SIGN(H120+0.000000000001)*SIGN(H121+0.000000000001)</f>
        <v>1</v>
      </c>
      <c r="I122" s="217" t="n">
        <f aca="false">SIGN(I120+0.000000000001)*SIGN(I121+0.000000000001)</f>
        <v>1</v>
      </c>
      <c r="J122" s="217" t="n">
        <f aca="false">SIGN(J120+0.000000000001)*SIGN(J121+0.000000000001)</f>
        <v>1</v>
      </c>
      <c r="K122" s="217" t="n">
        <f aca="false">SIGN(K120+0.000000000001)*SIGN(K121+0.000000000001)</f>
        <v>1</v>
      </c>
      <c r="L122" s="217" t="n">
        <f aca="false">SIGN(L120+0.000000000001)*SIGN(L121+0.000000000001)</f>
        <v>1</v>
      </c>
      <c r="M122" s="217" t="n">
        <f aca="false">SIGN(M120+0.000000000001)*SIGN(M121+0.000000000001)</f>
        <v>1</v>
      </c>
      <c r="N122" s="217" t="n">
        <f aca="false">SIGN(N120+0.000000000001)*SIGN(N121+0.000000000001)</f>
        <v>1</v>
      </c>
      <c r="O122" s="217" t="n">
        <f aca="false">SIGN(O120+0.000000000001)*SIGN(O121+0.000000000001)</f>
        <v>1</v>
      </c>
      <c r="P122" s="217" t="n">
        <f aca="false">SIGN(P120+0.000000000001)*SIGN(P121+0.000000000001)</f>
        <v>1</v>
      </c>
      <c r="Q122" s="217" t="n">
        <f aca="false">SIGN(Q120+0.000000000001)*SIGN(Q121+0.000000000001)</f>
        <v>1</v>
      </c>
      <c r="R122" s="217" t="n">
        <f aca="false">SIGN(R120+0.000000000001)*SIGN(R121+0.000000000001)</f>
        <v>1</v>
      </c>
      <c r="S122" s="217" t="n">
        <f aca="false">SIGN(S120+0.000000000001)*SIGN(S121+0.000000000001)</f>
        <v>1</v>
      </c>
    </row>
    <row r="123" customFormat="false" ht="15.6" hidden="false" customHeight="false" outlineLevel="0" collapsed="false">
      <c r="G123" s="77" t="s">
        <v>292</v>
      </c>
      <c r="H123" s="161" t="n">
        <f aca="false">IF(H122*MIN(ABS(H120),ABS(H121))&gt;1,0,H122*MIN(ABS(H120),ABS(H121)))</f>
        <v>0</v>
      </c>
      <c r="I123" s="161" t="n">
        <f aca="false">IF(I122*MIN(ABS(I120),ABS(I121))&gt;1,0,I122*MIN(ABS(I120),ABS(I121)))</f>
        <v>0</v>
      </c>
      <c r="J123" s="161" t="n">
        <f aca="false">IF(J122*MIN(ABS(J120),ABS(J121))&gt;1,0,J122*MIN(ABS(J120),ABS(J121)))</f>
        <v>0</v>
      </c>
      <c r="K123" s="161" t="n">
        <f aca="false">IF(K122*MIN(ABS(K120),ABS(K121))&gt;1,0,K122*MIN(ABS(K120),ABS(K121)))</f>
        <v>0</v>
      </c>
      <c r="L123" s="161" t="n">
        <f aca="false">IF(L122*MIN(ABS(L120),ABS(L121))&gt;1,0,L122*MIN(ABS(L120),ABS(L121)))</f>
        <v>0</v>
      </c>
      <c r="M123" s="161" t="n">
        <f aca="false">IF(M122*MIN(ABS(M120),ABS(M121))&gt;1,0,M122*MIN(ABS(M120),ABS(M121)))</f>
        <v>0</v>
      </c>
      <c r="N123" s="161" t="n">
        <f aca="false">IF(N122*MIN(ABS(N120),ABS(N121))&gt;1,0,N122*MIN(ABS(N120),ABS(N121)))</f>
        <v>0</v>
      </c>
      <c r="O123" s="161" t="n">
        <f aca="false">IF(O122*MIN(ABS(O120),ABS(O121))&gt;1,0,O122*MIN(ABS(O120),ABS(O121)))</f>
        <v>0</v>
      </c>
      <c r="P123" s="161" t="n">
        <f aca="false">IF(P122*MIN(ABS(P120),ABS(P121))&gt;1,0,P122*MIN(ABS(P120),ABS(P121)))</f>
        <v>0</v>
      </c>
      <c r="Q123" s="161" t="n">
        <f aca="false">IF(Q122*MIN(ABS(Q120),ABS(Q121))&gt;1,0,Q122*MIN(ABS(Q120),ABS(Q121)))</f>
        <v>0</v>
      </c>
      <c r="R123" s="161" t="n">
        <f aca="false">IF(R122*MIN(ABS(R120),ABS(R121))&gt;1,0,R122*MIN(ABS(R120),ABS(R121)))</f>
        <v>0</v>
      </c>
      <c r="S123" s="161" t="n">
        <f aca="false">IF(S122*MIN(ABS(S120),ABS(S121))&gt;1,0,S122*MIN(ABS(S120),ABS(S121)))</f>
        <v>0</v>
      </c>
    </row>
  </sheetData>
  <mergeCells count="7">
    <mergeCell ref="E3:M3"/>
    <mergeCell ref="E4:M4"/>
    <mergeCell ref="F5:F10"/>
    <mergeCell ref="A22:M22"/>
    <mergeCell ref="H29:S29"/>
    <mergeCell ref="A32:C34"/>
    <mergeCell ref="H64:H69"/>
  </mergeCells>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1:123"/>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C46" activeCellId="0" sqref="C46"/>
    </sheetView>
  </sheetViews>
  <sheetFormatPr defaultRowHeight="15.6"/>
  <cols>
    <col collapsed="false" hidden="false" max="1" min="1" style="77" width="46.4481481481482"/>
    <col collapsed="false" hidden="false" max="2" min="2" style="77" width="17.1481481481481"/>
    <col collapsed="false" hidden="false" max="3" min="3" style="77" width="38.9037037037037"/>
    <col collapsed="false" hidden="false" max="4" min="4" style="77" width="10.9740740740741"/>
    <col collapsed="false" hidden="false" max="6" min="5" style="77" width="7.34814814814815"/>
    <col collapsed="false" hidden="false" max="12" min="7" style="77" width="9.8962962962963"/>
    <col collapsed="false" hidden="false" max="1025" min="13" style="77" width="11.2703703703704"/>
  </cols>
  <sheetData>
    <row r="1" customFormat="false" ht="15.6" hidden="false" customHeight="false" outlineLevel="0" collapsed="false">
      <c r="A1" s="132" t="str">
        <f aca="false">'CSs and Loads'!A45</f>
        <v>CS 2</v>
      </c>
      <c r="B1" s="132" t="str">
        <f aca="false">'CSs and Loads'!A55</f>
        <v>vertical column</v>
      </c>
      <c r="C1" s="0"/>
      <c r="D1" s="0"/>
      <c r="E1" s="0"/>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6.2" hidden="false" customHeight="false" outlineLevel="0" collapsed="false">
      <c r="A2" s="134" t="s">
        <v>196</v>
      </c>
      <c r="B2" s="0"/>
      <c r="C2" s="0"/>
      <c r="D2" s="0"/>
      <c r="E2" s="136"/>
      <c r="F2" s="136"/>
      <c r="G2" s="136"/>
      <c r="H2" s="136"/>
      <c r="I2" s="191"/>
      <c r="J2" s="136"/>
      <c r="K2" s="136"/>
      <c r="L2" s="137"/>
      <c r="M2" s="137"/>
      <c r="N2" s="138"/>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6" hidden="false" customHeight="false" outlineLevel="0" collapsed="false">
      <c r="A3" s="134" t="s">
        <v>197</v>
      </c>
      <c r="B3" s="0"/>
      <c r="C3" s="0"/>
      <c r="D3" s="220"/>
      <c r="E3" s="140" t="s">
        <v>198</v>
      </c>
      <c r="F3" s="140"/>
      <c r="G3" s="140"/>
      <c r="H3" s="140"/>
      <c r="I3" s="140"/>
      <c r="J3" s="140"/>
      <c r="K3" s="140"/>
      <c r="L3" s="140"/>
      <c r="M3" s="140"/>
      <c r="N3" s="141"/>
      <c r="O3" s="142"/>
      <c r="P3" s="142"/>
      <c r="Q3" s="142"/>
      <c r="R3" s="142"/>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5.6" hidden="false" customHeight="false" outlineLevel="0" collapsed="false">
      <c r="A4" s="221" t="s">
        <v>199</v>
      </c>
      <c r="B4" s="222" t="s">
        <v>167</v>
      </c>
      <c r="C4" s="134" t="s">
        <v>201</v>
      </c>
      <c r="D4" s="223"/>
      <c r="E4" s="146" t="s">
        <v>300</v>
      </c>
      <c r="F4" s="146"/>
      <c r="G4" s="146"/>
      <c r="H4" s="146"/>
      <c r="I4" s="146"/>
      <c r="J4" s="146"/>
      <c r="K4" s="146"/>
      <c r="L4" s="146"/>
      <c r="M4" s="146"/>
      <c r="N4" s="141"/>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5.6" hidden="false" customHeight="false" outlineLevel="0" collapsed="false">
      <c r="A5" s="224" t="s">
        <v>203</v>
      </c>
      <c r="B5" s="222" t="s">
        <v>204</v>
      </c>
      <c r="C5" s="153" t="s">
        <v>301</v>
      </c>
      <c r="D5" s="223" t="n">
        <v>75</v>
      </c>
      <c r="E5" s="148" t="s">
        <v>206</v>
      </c>
      <c r="F5" s="149" t="s">
        <v>207</v>
      </c>
      <c r="G5" s="150" t="n">
        <f aca="false">B11^3/(3*B7*B17)</f>
        <v>0.000649510283795049</v>
      </c>
      <c r="H5" s="151" t="n">
        <v>0</v>
      </c>
      <c r="I5" s="151" t="n">
        <v>0</v>
      </c>
      <c r="J5" s="151" t="n">
        <v>0</v>
      </c>
      <c r="K5" s="150" t="n">
        <f aca="false">B11^2/(2*B7*B17)</f>
        <v>1.94853085138515E-006</v>
      </c>
      <c r="L5" s="151" t="n">
        <v>0</v>
      </c>
      <c r="M5" s="152" t="s">
        <v>208</v>
      </c>
      <c r="N5" s="141"/>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5.6" hidden="false" customHeight="false" outlineLevel="0" collapsed="false">
      <c r="A6" s="224" t="s">
        <v>209</v>
      </c>
      <c r="B6" s="225" t="s">
        <v>302</v>
      </c>
      <c r="C6" s="153" t="s">
        <v>211</v>
      </c>
      <c r="D6" s="223" t="n">
        <v>20000</v>
      </c>
      <c r="E6" s="148" t="s">
        <v>212</v>
      </c>
      <c r="F6" s="149"/>
      <c r="G6" s="151" t="n">
        <v>0</v>
      </c>
      <c r="H6" s="150" t="n">
        <f aca="false">B11^3/(3*B7*B18)</f>
        <v>0.000649510283795049</v>
      </c>
      <c r="I6" s="151" t="n">
        <v>0</v>
      </c>
      <c r="J6" s="150" t="n">
        <f aca="false">B11^2/(2*B7*B18)</f>
        <v>1.94853085138515E-006</v>
      </c>
      <c r="K6" s="151" t="n">
        <v>0</v>
      </c>
      <c r="L6" s="151" t="n">
        <v>0</v>
      </c>
      <c r="M6" s="152" t="s">
        <v>213</v>
      </c>
      <c r="N6" s="141"/>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5.6" hidden="false" customHeight="false" outlineLevel="0" collapsed="false">
      <c r="A7" s="153" t="s">
        <v>214</v>
      </c>
      <c r="B7" s="154" t="n">
        <f aca="false">9.25*10^9/(10^6)</f>
        <v>9250</v>
      </c>
      <c r="C7" s="153" t="s">
        <v>215</v>
      </c>
      <c r="D7" s="223" t="n">
        <f aca="false">500*1000</f>
        <v>500000</v>
      </c>
      <c r="E7" s="148" t="s">
        <v>216</v>
      </c>
      <c r="F7" s="149"/>
      <c r="G7" s="151" t="n">
        <v>0</v>
      </c>
      <c r="H7" s="151" t="n">
        <v>0</v>
      </c>
      <c r="I7" s="150" t="n">
        <f aca="false">B11/(B16*B7)</f>
        <v>4.5777484801875E-006</v>
      </c>
      <c r="J7" s="151" t="n">
        <v>0</v>
      </c>
      <c r="K7" s="151" t="n">
        <v>0</v>
      </c>
      <c r="L7" s="151" t="n">
        <v>0</v>
      </c>
      <c r="M7" s="152" t="s">
        <v>217</v>
      </c>
      <c r="N7" s="141"/>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5.6" hidden="false" customHeight="false" outlineLevel="0" collapsed="false">
      <c r="A8" s="153" t="s">
        <v>218</v>
      </c>
      <c r="B8" s="134" t="n">
        <v>0.25</v>
      </c>
      <c r="C8" s="153" t="s">
        <v>219</v>
      </c>
      <c r="D8" s="223" t="n">
        <v>3</v>
      </c>
      <c r="E8" s="148" t="s">
        <v>220</v>
      </c>
      <c r="F8" s="149"/>
      <c r="G8" s="151" t="n">
        <v>0</v>
      </c>
      <c r="H8" s="150" t="n">
        <f aca="false">B11^2/(2*B7*B18)</f>
        <v>1.94853085138515E-006</v>
      </c>
      <c r="I8" s="151" t="n">
        <v>0</v>
      </c>
      <c r="J8" s="150" t="n">
        <f aca="false">B11/(B7*B18)</f>
        <v>7.79412340554059E-009</v>
      </c>
      <c r="K8" s="151" t="n">
        <v>0</v>
      </c>
      <c r="L8" s="151" t="n">
        <v>0</v>
      </c>
      <c r="M8" s="152" t="s">
        <v>221</v>
      </c>
      <c r="N8" s="141"/>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5.6" hidden="false" customHeight="false" outlineLevel="0" collapsed="false">
      <c r="A9" s="153" t="s">
        <v>222</v>
      </c>
      <c r="B9" s="155" t="n">
        <f aca="false">B7/(2*(1+B8))</f>
        <v>3700</v>
      </c>
      <c r="C9" s="153" t="s">
        <v>223</v>
      </c>
      <c r="D9" s="223" t="n">
        <v>0.01</v>
      </c>
      <c r="E9" s="148" t="s">
        <v>224</v>
      </c>
      <c r="F9" s="149"/>
      <c r="G9" s="150" t="n">
        <f aca="false">B11^2/(2*B7*B17)</f>
        <v>1.94853085138515E-006</v>
      </c>
      <c r="H9" s="151" t="n">
        <v>0</v>
      </c>
      <c r="I9" s="151" t="n">
        <v>0</v>
      </c>
      <c r="J9" s="151" t="n">
        <v>0</v>
      </c>
      <c r="K9" s="150" t="n">
        <f aca="false">B11/(B7*B17)</f>
        <v>7.79412340554059E-009</v>
      </c>
      <c r="L9" s="151" t="n">
        <v>0</v>
      </c>
      <c r="M9" s="152" t="s">
        <v>225</v>
      </c>
      <c r="N9" s="141"/>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6.2" hidden="false" customHeight="false" outlineLevel="0" collapsed="false">
      <c r="A10" s="226" t="s">
        <v>303</v>
      </c>
      <c r="B10" s="134"/>
      <c r="C10" s="153" t="s">
        <v>227</v>
      </c>
      <c r="D10" s="227" t="n">
        <f aca="false">D6/(D8*D9)</f>
        <v>666666.666666667</v>
      </c>
      <c r="E10" s="157" t="s">
        <v>228</v>
      </c>
      <c r="F10" s="149"/>
      <c r="G10" s="159" t="n">
        <v>0</v>
      </c>
      <c r="H10" s="159" t="n">
        <v>0</v>
      </c>
      <c r="I10" s="159" t="n">
        <v>0</v>
      </c>
      <c r="J10" s="159" t="n">
        <v>0</v>
      </c>
      <c r="K10" s="159" t="n">
        <v>0</v>
      </c>
      <c r="L10" s="158" t="n">
        <f aca="false">B11/(B19*B9)</f>
        <v>6.80807328998737E-009</v>
      </c>
      <c r="M10" s="160" t="s">
        <v>229</v>
      </c>
      <c r="N10" s="141"/>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6.2" hidden="false" customHeight="false" outlineLevel="0" collapsed="false">
      <c r="A11" s="153" t="s">
        <v>230</v>
      </c>
      <c r="B11" s="228" t="n">
        <f aca="false">Summary!K9+Summary!L9+Summary!M9</f>
        <v>500</v>
      </c>
      <c r="C11" s="147" t="s">
        <v>231</v>
      </c>
      <c r="D11" s="144" t="n">
        <v>25</v>
      </c>
      <c r="E11" s="0"/>
      <c r="F11" s="0"/>
      <c r="G11" s="152" t="s">
        <v>208</v>
      </c>
      <c r="H11" s="152" t="s">
        <v>213</v>
      </c>
      <c r="I11" s="152" t="s">
        <v>217</v>
      </c>
      <c r="J11" s="152" t="s">
        <v>221</v>
      </c>
      <c r="K11" s="152" t="s">
        <v>225</v>
      </c>
      <c r="L11" s="160" t="s">
        <v>229</v>
      </c>
      <c r="M11" s="187"/>
      <c r="N11" s="187"/>
      <c r="O11" s="187"/>
      <c r="P11" s="229"/>
      <c r="Q11" s="187"/>
      <c r="R11" s="187"/>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5.6" hidden="false" customHeight="false" outlineLevel="0" collapsed="false">
      <c r="A12" s="153" t="s">
        <v>232</v>
      </c>
      <c r="B12" s="166" t="n">
        <v>750</v>
      </c>
      <c r="C12" s="147" t="s">
        <v>233</v>
      </c>
      <c r="D12" s="167" t="n">
        <f aca="false">D7*D11^2/4</f>
        <v>78125000</v>
      </c>
      <c r="E12" s="0"/>
      <c r="F12" s="0"/>
      <c r="G12" s="0"/>
      <c r="H12" s="0"/>
      <c r="I12" s="0"/>
      <c r="J12" s="134"/>
      <c r="K12" s="0"/>
      <c r="L12" s="0"/>
      <c r="M12" s="0"/>
      <c r="N12" s="0"/>
      <c r="O12" s="0"/>
      <c r="P12" s="165"/>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5" hidden="false" customHeight="false" outlineLevel="0" collapsed="false">
      <c r="A13" s="153" t="s">
        <v>234</v>
      </c>
      <c r="B13" s="134" t="n">
        <v>100</v>
      </c>
      <c r="C13" s="147" t="s">
        <v>235</v>
      </c>
      <c r="D13" s="167" t="n">
        <f aca="false">D7*D11^2/12</f>
        <v>26041666.6666667</v>
      </c>
      <c r="E13" s="0"/>
      <c r="F13" s="0"/>
      <c r="G13" s="0"/>
      <c r="H13" s="0"/>
      <c r="I13" s="0"/>
      <c r="J13" s="134"/>
      <c r="K13" s="0"/>
      <c r="L13" s="0"/>
      <c r="M13" s="0"/>
      <c r="N13" s="0"/>
      <c r="O13" s="0"/>
      <c r="P13" s="165"/>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5.6" hidden="false" customHeight="false" outlineLevel="0" collapsed="false">
      <c r="A14" s="153" t="s">
        <v>236</v>
      </c>
      <c r="B14" s="168" t="n">
        <v>100</v>
      </c>
      <c r="C14" s="147" t="s">
        <v>237</v>
      </c>
      <c r="D14" s="167" t="n">
        <f aca="false">D13</f>
        <v>26041666.6666667</v>
      </c>
      <c r="E14" s="0"/>
      <c r="F14" s="0"/>
      <c r="G14" s="0"/>
      <c r="H14" s="0"/>
      <c r="I14" s="0"/>
      <c r="J14" s="134"/>
      <c r="K14" s="0"/>
      <c r="L14" s="0"/>
      <c r="M14" s="0"/>
      <c r="N14" s="0"/>
      <c r="O14" s="0"/>
      <c r="P14" s="165"/>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5.6" hidden="false" customHeight="false" outlineLevel="0" collapsed="false">
      <c r="A15" s="153" t="s">
        <v>304</v>
      </c>
      <c r="B15" s="134" t="n">
        <v>18</v>
      </c>
      <c r="C15" s="171" t="s">
        <v>239</v>
      </c>
      <c r="D15" s="144"/>
      <c r="E15" s="0"/>
      <c r="F15" s="0"/>
      <c r="G15" s="0"/>
      <c r="H15" s="0"/>
      <c r="I15" s="0"/>
      <c r="J15" s="134"/>
      <c r="K15" s="0"/>
      <c r="L15" s="0"/>
      <c r="M15" s="0"/>
      <c r="N15" s="0"/>
      <c r="O15" s="0"/>
      <c r="P15" s="165"/>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5.6" hidden="false" customHeight="false" outlineLevel="0" collapsed="false">
      <c r="A16" s="153" t="s">
        <v>240</v>
      </c>
      <c r="B16" s="155" t="n">
        <f aca="false">2*(B13*B14-(B13-2*B15)*(B14-2*B15))</f>
        <v>11808</v>
      </c>
      <c r="C16" s="173" t="s">
        <v>241</v>
      </c>
      <c r="D16" s="144"/>
      <c r="E16" s="0"/>
      <c r="F16" s="0"/>
      <c r="G16" s="0"/>
      <c r="H16" s="0"/>
      <c r="I16" s="0"/>
      <c r="J16" s="134"/>
      <c r="K16" s="0"/>
      <c r="L16" s="0"/>
      <c r="M16" s="0"/>
      <c r="N16" s="0"/>
      <c r="O16" s="0"/>
      <c r="P16" s="165"/>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5.6" hidden="false" customHeight="false" outlineLevel="0" collapsed="false">
      <c r="A17" s="153" t="s">
        <v>242</v>
      </c>
      <c r="B17" s="175" t="n">
        <f aca="false">(B14^3*B13-(B13-2*B15)*(B14-2*B15)^3)/12</f>
        <v>6935232</v>
      </c>
      <c r="C17" s="147" t="s">
        <v>243</v>
      </c>
      <c r="D17" s="144" t="n">
        <v>11</v>
      </c>
      <c r="E17" s="0"/>
      <c r="F17" s="0"/>
      <c r="G17" s="0"/>
      <c r="H17" s="0"/>
      <c r="I17" s="0"/>
      <c r="J17" s="134"/>
      <c r="K17" s="0"/>
      <c r="L17" s="0"/>
      <c r="M17" s="0"/>
      <c r="N17" s="0"/>
      <c r="O17" s="0"/>
      <c r="P17" s="165"/>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5.6" hidden="false" customHeight="false" outlineLevel="0" collapsed="false">
      <c r="A18" s="153" t="s">
        <v>244</v>
      </c>
      <c r="B18" s="175" t="n">
        <f aca="false">(B14*B13^3-(B13-2*B15)^3*(B14-2*B15))/12</f>
        <v>6935232</v>
      </c>
      <c r="C18" s="147" t="s">
        <v>232</v>
      </c>
      <c r="D18" s="144" t="n">
        <v>2500</v>
      </c>
      <c r="E18" s="0"/>
      <c r="F18" s="0"/>
      <c r="G18" s="0"/>
      <c r="H18" s="0"/>
      <c r="I18" s="0"/>
      <c r="J18" s="230"/>
      <c r="K18" s="0"/>
      <c r="L18" s="0"/>
      <c r="M18" s="0"/>
      <c r="N18" s="0"/>
      <c r="O18" s="0"/>
      <c r="P18" s="165"/>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5.6" hidden="false" customHeight="false" outlineLevel="0" collapsed="false">
      <c r="A19" s="153" t="s">
        <v>245</v>
      </c>
      <c r="B19" s="175" t="n">
        <f aca="false">2*(2*B15*B15*(B13-B15)^2*(B14-B15)^2/(B13*B15+B14*B15-2*B15^2))</f>
        <v>19849248</v>
      </c>
      <c r="C19" s="147" t="s">
        <v>246</v>
      </c>
      <c r="D19" s="176" t="n">
        <v>200000</v>
      </c>
      <c r="E19" s="0"/>
      <c r="F19" s="0"/>
      <c r="G19" s="0"/>
      <c r="H19" s="0"/>
      <c r="I19" s="0"/>
      <c r="J19" s="231"/>
      <c r="K19" s="232"/>
      <c r="L19" s="0"/>
      <c r="M19" s="0"/>
      <c r="N19" s="232"/>
      <c r="O19" s="232"/>
      <c r="P19" s="233"/>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5.6" hidden="false" customHeight="false" outlineLevel="0" collapsed="false">
      <c r="A20" s="153" t="s">
        <v>247</v>
      </c>
      <c r="B20" s="155" t="n">
        <f aca="false">B18/B16</f>
        <v>587.333333333333</v>
      </c>
      <c r="C20" s="147" t="s">
        <v>248</v>
      </c>
      <c r="D20" s="177" t="n">
        <v>1E+100</v>
      </c>
      <c r="E20" s="0"/>
      <c r="F20" s="0"/>
      <c r="G20" s="0"/>
      <c r="H20" s="0"/>
      <c r="I20" s="0"/>
      <c r="J20" s="231"/>
      <c r="K20" s="232"/>
      <c r="L20" s="232"/>
      <c r="M20" s="232"/>
      <c r="N20" s="232"/>
      <c r="O20" s="232"/>
      <c r="P20" s="233"/>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6.2" hidden="false" customHeight="false" outlineLevel="0" collapsed="false">
      <c r="A21" s="153" t="s">
        <v>249</v>
      </c>
      <c r="B21" s="179" t="n">
        <f aca="false">3*B7*B18/B12^3</f>
        <v>456.184149333333</v>
      </c>
      <c r="C21" s="180" t="s">
        <v>251</v>
      </c>
      <c r="D21" s="181" t="n">
        <v>3</v>
      </c>
      <c r="E21" s="136" t="s">
        <v>305</v>
      </c>
      <c r="F21" s="136"/>
      <c r="G21" s="136"/>
      <c r="H21" s="0"/>
      <c r="I21" s="0"/>
      <c r="J21" s="234"/>
      <c r="K21" s="235"/>
      <c r="L21" s="235"/>
      <c r="M21" s="235"/>
      <c r="N21" s="235"/>
      <c r="O21" s="235"/>
      <c r="P21" s="236"/>
      <c r="Q21" s="136"/>
      <c r="R21" s="136"/>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6.05" hidden="false" customHeight="true" outlineLevel="0" collapsed="false">
      <c r="A22" s="237" t="s">
        <v>306</v>
      </c>
      <c r="B22" s="237"/>
      <c r="C22" s="237"/>
      <c r="D22" s="237"/>
      <c r="E22" s="237"/>
      <c r="F22" s="237"/>
      <c r="G22" s="237"/>
      <c r="H22" s="237"/>
      <c r="I22" s="237"/>
      <c r="J22" s="237"/>
      <c r="K22" s="237"/>
      <c r="L22" s="237"/>
      <c r="M22" s="237"/>
      <c r="N22" s="141"/>
      <c r="O22" s="142"/>
      <c r="P22" s="142"/>
      <c r="Q22" s="142"/>
      <c r="R22" s="142"/>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31.2" hidden="false" customHeight="false" outlineLevel="0" collapsed="false">
      <c r="A23" s="184" t="s">
        <v>253</v>
      </c>
      <c r="B23" s="185"/>
      <c r="C23" s="186" t="s">
        <v>254</v>
      </c>
      <c r="D23" s="187"/>
      <c r="E23" s="187"/>
      <c r="F23" s="187"/>
      <c r="G23" s="187"/>
      <c r="H23" s="187"/>
      <c r="I23" s="187"/>
      <c r="J23" s="187"/>
      <c r="K23" s="187"/>
      <c r="L23" s="187"/>
      <c r="M23" s="187"/>
      <c r="N23" s="0"/>
      <c r="O23" s="142"/>
      <c r="P23" s="142"/>
      <c r="Q23" s="142"/>
      <c r="R23" s="142"/>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5.6" hidden="false" customHeight="false" outlineLevel="0" collapsed="false">
      <c r="A24" s="153" t="s">
        <v>255</v>
      </c>
      <c r="B24" s="25"/>
      <c r="C24" s="131"/>
      <c r="D24" s="0"/>
      <c r="E24" s="0"/>
      <c r="F24" s="0"/>
      <c r="G24" s="0"/>
      <c r="H24" s="0"/>
      <c r="I24" s="0"/>
      <c r="J24" s="0"/>
      <c r="K24" s="0"/>
      <c r="L24" s="0"/>
      <c r="M24" s="0"/>
      <c r="N24" s="0"/>
      <c r="O24" s="142"/>
      <c r="P24" s="142"/>
      <c r="Q24" s="142"/>
      <c r="R24" s="142"/>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5.6" hidden="false" customHeight="false" outlineLevel="0" collapsed="false">
      <c r="A25" s="87" t="s">
        <v>113</v>
      </c>
      <c r="B25" s="188" t="n">
        <f aca="false">SUM(H35:S35)+C25</f>
        <v>2666666.66666667</v>
      </c>
      <c r="C25" s="189" t="n">
        <v>0</v>
      </c>
      <c r="D25" s="0"/>
      <c r="E25" s="0"/>
      <c r="F25" s="0"/>
      <c r="G25" s="0"/>
      <c r="H25" s="0"/>
      <c r="I25" s="0"/>
      <c r="J25" s="0"/>
      <c r="K25" s="0"/>
      <c r="L25" s="0"/>
      <c r="M25" s="0"/>
      <c r="N25" s="0"/>
      <c r="O25" s="142"/>
      <c r="P25" s="142"/>
      <c r="Q25" s="142"/>
      <c r="R25" s="142"/>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5.6" hidden="false" customHeight="false" outlineLevel="0" collapsed="false">
      <c r="A26" s="87" t="s">
        <v>116</v>
      </c>
      <c r="B26" s="188" t="n">
        <f aca="false">SUM(H36:S36)+C26</f>
        <v>0</v>
      </c>
      <c r="C26" s="189" t="n">
        <v>0</v>
      </c>
      <c r="D26" s="0"/>
      <c r="E26" s="0"/>
      <c r="F26" s="0"/>
      <c r="G26" s="191" t="s">
        <v>256</v>
      </c>
      <c r="H26" s="0"/>
      <c r="I26" s="0"/>
      <c r="J26" s="0"/>
      <c r="K26" s="0"/>
      <c r="L26" s="0"/>
      <c r="M26" s="0"/>
      <c r="N26" s="0"/>
      <c r="O26" s="142"/>
      <c r="P26" s="142"/>
      <c r="Q26" s="142"/>
      <c r="R26" s="142"/>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5.6" hidden="false" customHeight="false" outlineLevel="0" collapsed="false">
      <c r="A27" s="87" t="s">
        <v>118</v>
      </c>
      <c r="B27" s="188" t="n">
        <f aca="false">SUM(H37:S37)+C27</f>
        <v>2666666.66666667</v>
      </c>
      <c r="C27" s="189" t="n">
        <v>0</v>
      </c>
      <c r="D27" s="0"/>
      <c r="E27" s="0"/>
      <c r="F27" s="0"/>
      <c r="G27" s="134" t="s">
        <v>257</v>
      </c>
      <c r="H27" s="0"/>
      <c r="I27" s="0"/>
      <c r="J27" s="0"/>
      <c r="K27" s="0"/>
      <c r="L27" s="0"/>
      <c r="M27" s="0"/>
      <c r="N27" s="0"/>
      <c r="O27" s="142"/>
      <c r="P27" s="142"/>
      <c r="Q27" s="142"/>
      <c r="R27" s="142"/>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5.6" hidden="false" customHeight="false" outlineLevel="0" collapsed="false">
      <c r="A28" s="153" t="s">
        <v>258</v>
      </c>
      <c r="B28" s="25"/>
      <c r="C28" s="192"/>
      <c r="D28" s="87"/>
      <c r="E28" s="87"/>
      <c r="F28" s="87"/>
      <c r="G28" s="194" t="s">
        <v>259</v>
      </c>
      <c r="H28" s="195" t="n">
        <v>4</v>
      </c>
      <c r="I28" s="0"/>
      <c r="J28" s="0"/>
      <c r="K28" s="0"/>
      <c r="L28" s="0"/>
      <c r="M28" s="0"/>
      <c r="N28" s="0"/>
      <c r="O28" s="142"/>
      <c r="P28" s="142"/>
      <c r="Q28" s="142"/>
      <c r="R28" s="142"/>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5.6" hidden="false" customHeight="false" outlineLevel="0" collapsed="false">
      <c r="A29" s="87" t="s">
        <v>120</v>
      </c>
      <c r="B29" s="188" t="n">
        <f aca="false">SUM(H39:S39)+SUM(H43:S43)+C29</f>
        <v>27071041666.6667</v>
      </c>
      <c r="C29" s="189" t="n">
        <v>0</v>
      </c>
      <c r="D29" s="87"/>
      <c r="E29" s="87"/>
      <c r="F29" s="87"/>
      <c r="G29" s="0"/>
      <c r="H29" s="76" t="s">
        <v>260</v>
      </c>
      <c r="I29" s="76"/>
      <c r="J29" s="76"/>
      <c r="K29" s="76"/>
      <c r="L29" s="76"/>
      <c r="M29" s="76"/>
      <c r="N29" s="76"/>
      <c r="O29" s="76"/>
      <c r="P29" s="76"/>
      <c r="Q29" s="76"/>
      <c r="R29" s="76"/>
      <c r="S29" s="76"/>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5.6" hidden="false" customHeight="false" outlineLevel="0" collapsed="false">
      <c r="A30" s="87" t="s">
        <v>123</v>
      </c>
      <c r="B30" s="188" t="n">
        <f aca="false">SUM(H40:S40)+SUM(H44:S44)+C30</f>
        <v>26801458333.3333</v>
      </c>
      <c r="C30" s="189" t="n">
        <v>0</v>
      </c>
      <c r="D30" s="87"/>
      <c r="E30" s="87"/>
      <c r="F30" s="87"/>
      <c r="G30" s="134" t="s">
        <v>261</v>
      </c>
      <c r="H30" s="85" t="n">
        <v>1</v>
      </c>
      <c r="I30" s="85" t="n">
        <f aca="false">H30+1</f>
        <v>2</v>
      </c>
      <c r="J30" s="85" t="n">
        <f aca="false">I30+1</f>
        <v>3</v>
      </c>
      <c r="K30" s="85" t="n">
        <f aca="false">J30+1</f>
        <v>4</v>
      </c>
      <c r="L30" s="85" t="n">
        <f aca="false">K30+1</f>
        <v>5</v>
      </c>
      <c r="M30" s="85" t="n">
        <f aca="false">L30+1</f>
        <v>6</v>
      </c>
      <c r="N30" s="85" t="n">
        <f aca="false">M30+1</f>
        <v>7</v>
      </c>
      <c r="O30" s="85" t="n">
        <f aca="false">N30+1</f>
        <v>8</v>
      </c>
      <c r="P30" s="85" t="n">
        <f aca="false">O30+1</f>
        <v>9</v>
      </c>
      <c r="Q30" s="85" t="n">
        <f aca="false">P30+1</f>
        <v>10</v>
      </c>
      <c r="R30" s="85" t="n">
        <f aca="false">Q30+1</f>
        <v>11</v>
      </c>
      <c r="S30" s="85" t="n">
        <f aca="false">R30+1</f>
        <v>12</v>
      </c>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5.6" hidden="false" customHeight="false" outlineLevel="0" collapsed="false">
      <c r="A31" s="87" t="s">
        <v>125</v>
      </c>
      <c r="B31" s="188" t="n">
        <f aca="false">SUM(H41:S41)+SUM(H45:S45)+C31</f>
        <v>26801458333.3333</v>
      </c>
      <c r="C31" s="189" t="n">
        <v>0</v>
      </c>
      <c r="D31" s="87"/>
      <c r="E31" s="87"/>
      <c r="F31" s="87"/>
      <c r="G31" s="153" t="s">
        <v>262</v>
      </c>
      <c r="H31" s="211" t="n">
        <v>0</v>
      </c>
      <c r="I31" s="211" t="n">
        <f aca="false">-H31</f>
        <v>0</v>
      </c>
      <c r="J31" s="211" t="n">
        <f aca="false">I31</f>
        <v>0</v>
      </c>
      <c r="K31" s="211" t="n">
        <f aca="false">H31</f>
        <v>0</v>
      </c>
      <c r="L31" s="195" t="n">
        <v>0</v>
      </c>
      <c r="M31" s="195" t="n">
        <v>0</v>
      </c>
      <c r="N31" s="195" t="n">
        <v>0</v>
      </c>
      <c r="O31" s="195" t="n">
        <v>0</v>
      </c>
      <c r="P31" s="195" t="n">
        <v>0</v>
      </c>
      <c r="Q31" s="195" t="n">
        <v>0</v>
      </c>
      <c r="R31" s="195" t="n">
        <v>0</v>
      </c>
      <c r="S31" s="195" t="n">
        <v>0</v>
      </c>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5.6" hidden="false" customHeight="true" outlineLevel="0" collapsed="false">
      <c r="A32" s="207" t="s">
        <v>264</v>
      </c>
      <c r="B32" s="207"/>
      <c r="C32" s="207"/>
      <c r="D32" s="87"/>
      <c r="E32" s="87"/>
      <c r="F32" s="87"/>
      <c r="G32" s="153" t="s">
        <v>265</v>
      </c>
      <c r="H32" s="211" t="n">
        <v>100</v>
      </c>
      <c r="I32" s="211" t="n">
        <v>100</v>
      </c>
      <c r="J32" s="211" t="n">
        <v>-100</v>
      </c>
      <c r="K32" s="211" t="n">
        <v>-100</v>
      </c>
      <c r="L32" s="195" t="n">
        <v>0</v>
      </c>
      <c r="M32" s="195" t="n">
        <v>0</v>
      </c>
      <c r="N32" s="195" t="n">
        <v>0</v>
      </c>
      <c r="O32" s="195" t="n">
        <v>0</v>
      </c>
      <c r="P32" s="195" t="n">
        <v>0</v>
      </c>
      <c r="Q32" s="195" t="n">
        <v>0</v>
      </c>
      <c r="R32" s="195" t="n">
        <v>0</v>
      </c>
      <c r="S32" s="195" t="n">
        <v>0</v>
      </c>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5.6" hidden="false" customHeight="false" outlineLevel="0" collapsed="false">
      <c r="A33" s="207"/>
      <c r="B33" s="207"/>
      <c r="C33" s="207"/>
      <c r="D33" s="87"/>
      <c r="E33" s="87"/>
      <c r="F33" s="87"/>
      <c r="G33" s="153" t="s">
        <v>267</v>
      </c>
      <c r="H33" s="211" t="n">
        <v>100</v>
      </c>
      <c r="I33" s="211" t="n">
        <v>-100</v>
      </c>
      <c r="J33" s="211" t="n">
        <v>-100</v>
      </c>
      <c r="K33" s="211" t="n">
        <v>100</v>
      </c>
      <c r="L33" s="195" t="n">
        <v>0</v>
      </c>
      <c r="M33" s="195" t="n">
        <v>0</v>
      </c>
      <c r="N33" s="195" t="n">
        <v>0</v>
      </c>
      <c r="O33" s="195" t="n">
        <v>0</v>
      </c>
      <c r="P33" s="195" t="n">
        <v>0</v>
      </c>
      <c r="Q33" s="195" t="n">
        <v>0</v>
      </c>
      <c r="R33" s="195" t="n">
        <v>0</v>
      </c>
      <c r="S33" s="195" t="n">
        <v>0</v>
      </c>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5.6" hidden="false" customHeight="false" outlineLevel="0" collapsed="false">
      <c r="A34" s="207"/>
      <c r="B34" s="207"/>
      <c r="C34" s="207"/>
      <c r="D34" s="0"/>
      <c r="E34" s="0"/>
      <c r="F34" s="0"/>
      <c r="G34" s="134" t="s">
        <v>270</v>
      </c>
      <c r="H34" s="238"/>
      <c r="I34" s="238"/>
      <c r="J34" s="238"/>
      <c r="K34" s="238"/>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5.6" hidden="false" customHeight="false" outlineLevel="0" collapsed="false">
      <c r="A35" s="201" t="s">
        <v>271</v>
      </c>
      <c r="B35" s="195"/>
      <c r="C35" s="195"/>
      <c r="D35" s="87"/>
      <c r="E35" s="87"/>
      <c r="F35" s="87"/>
      <c r="G35" s="153" t="s">
        <v>113</v>
      </c>
      <c r="H35" s="202" t="n">
        <f aca="false">D10</f>
        <v>666666.666666667</v>
      </c>
      <c r="I35" s="202" t="n">
        <f aca="false">H35</f>
        <v>666666.666666667</v>
      </c>
      <c r="J35" s="202" t="n">
        <f aca="false">I35</f>
        <v>666666.666666667</v>
      </c>
      <c r="K35" s="202" t="n">
        <f aca="false">J35</f>
        <v>666666.666666667</v>
      </c>
      <c r="L35" s="195" t="n">
        <v>0</v>
      </c>
      <c r="M35" s="195" t="n">
        <v>0</v>
      </c>
      <c r="N35" s="195" t="n">
        <v>0</v>
      </c>
      <c r="O35" s="195" t="n">
        <v>0</v>
      </c>
      <c r="P35" s="195" t="n">
        <v>0</v>
      </c>
      <c r="Q35" s="195" t="n">
        <v>0</v>
      </c>
      <c r="R35" s="195" t="n">
        <v>0</v>
      </c>
      <c r="S35" s="195" t="n">
        <v>0</v>
      </c>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5.6" hidden="false" customHeight="false" outlineLevel="0" collapsed="false">
      <c r="A36" s="77" t="s">
        <v>28</v>
      </c>
      <c r="B36" s="0"/>
      <c r="C36" s="0"/>
      <c r="D36" s="87"/>
      <c r="E36" s="239" t="s">
        <v>307</v>
      </c>
      <c r="F36" s="239"/>
      <c r="G36" s="153" t="s">
        <v>116</v>
      </c>
      <c r="H36" s="202" t="n">
        <v>0</v>
      </c>
      <c r="I36" s="202" t="n">
        <v>0</v>
      </c>
      <c r="J36" s="202" t="n">
        <v>0</v>
      </c>
      <c r="K36" s="202" t="n">
        <v>0</v>
      </c>
      <c r="L36" s="195" t="n">
        <v>0</v>
      </c>
      <c r="M36" s="195" t="n">
        <v>0</v>
      </c>
      <c r="N36" s="195" t="n">
        <v>0</v>
      </c>
      <c r="O36" s="195" t="n">
        <v>0</v>
      </c>
      <c r="P36" s="195" t="n">
        <v>0</v>
      </c>
      <c r="Q36" s="195" t="n">
        <v>0</v>
      </c>
      <c r="R36" s="195" t="n">
        <v>0</v>
      </c>
      <c r="S36" s="195" t="n">
        <v>0</v>
      </c>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5.6" hidden="false" customHeight="false" outlineLevel="0" collapsed="false">
      <c r="A37" s="153" t="s">
        <v>273</v>
      </c>
      <c r="B37" s="195" t="n">
        <v>0</v>
      </c>
      <c r="C37" s="0"/>
      <c r="D37" s="87"/>
      <c r="E37" s="87"/>
      <c r="F37" s="87"/>
      <c r="G37" s="153" t="s">
        <v>118</v>
      </c>
      <c r="H37" s="202" t="n">
        <f aca="false">H35</f>
        <v>666666.666666667</v>
      </c>
      <c r="I37" s="202" t="n">
        <f aca="false">I35</f>
        <v>666666.666666667</v>
      </c>
      <c r="J37" s="202" t="n">
        <f aca="false">J35</f>
        <v>666666.666666667</v>
      </c>
      <c r="K37" s="202" t="n">
        <f aca="false">K35</f>
        <v>666666.666666667</v>
      </c>
      <c r="L37" s="195" t="n">
        <v>0</v>
      </c>
      <c r="M37" s="195" t="n">
        <v>0</v>
      </c>
      <c r="N37" s="195" t="n">
        <v>0</v>
      </c>
      <c r="O37" s="195" t="n">
        <v>0</v>
      </c>
      <c r="P37" s="195" t="n">
        <v>0</v>
      </c>
      <c r="Q37" s="195" t="n">
        <v>0</v>
      </c>
      <c r="R37" s="195" t="n">
        <v>0</v>
      </c>
      <c r="S37" s="195" t="n">
        <v>0</v>
      </c>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5.6" hidden="false" customHeight="false" outlineLevel="0" collapsed="false">
      <c r="A38" s="153" t="s">
        <v>274</v>
      </c>
      <c r="B38" s="195" t="n">
        <v>0</v>
      </c>
      <c r="C38" s="0"/>
      <c r="D38" s="87"/>
      <c r="E38" s="87"/>
      <c r="F38" s="87"/>
      <c r="G38" s="134" t="s">
        <v>275</v>
      </c>
      <c r="H38" s="238"/>
      <c r="I38" s="238"/>
      <c r="J38" s="238"/>
      <c r="K38" s="238"/>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5.6" hidden="false" customHeight="false" outlineLevel="0" collapsed="false">
      <c r="A39" s="153" t="s">
        <v>276</v>
      </c>
      <c r="B39" s="195" t="n">
        <v>0</v>
      </c>
      <c r="C39" s="0"/>
      <c r="D39" s="87"/>
      <c r="E39" s="87"/>
      <c r="F39" s="87"/>
      <c r="G39" s="153" t="s">
        <v>120</v>
      </c>
      <c r="H39" s="202" t="n">
        <f aca="false">'ref bearings, servo, structure'!B10</f>
        <v>101093750</v>
      </c>
      <c r="I39" s="202" t="n">
        <f aca="false">H39</f>
        <v>101093750</v>
      </c>
      <c r="J39" s="202" t="n">
        <f aca="false">I39</f>
        <v>101093750</v>
      </c>
      <c r="K39" s="202" t="n">
        <f aca="false">J39</f>
        <v>101093750</v>
      </c>
      <c r="L39" s="195" t="n">
        <v>0</v>
      </c>
      <c r="M39" s="195" t="n">
        <v>0</v>
      </c>
      <c r="N39" s="195" t="n">
        <v>0</v>
      </c>
      <c r="O39" s="195" t="n">
        <v>0</v>
      </c>
      <c r="P39" s="195" t="n">
        <v>0</v>
      </c>
      <c r="Q39" s="195" t="n">
        <v>0</v>
      </c>
      <c r="R39" s="195" t="n">
        <v>0</v>
      </c>
      <c r="S39" s="195" t="n">
        <v>0</v>
      </c>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5.6" hidden="false" customHeight="false" outlineLevel="0" collapsed="false">
      <c r="A40" s="165" t="s">
        <v>29</v>
      </c>
      <c r="B40" s="0"/>
      <c r="C40" s="0"/>
      <c r="D40" s="87"/>
      <c r="E40" s="87"/>
      <c r="F40" s="87"/>
      <c r="G40" s="153" t="s">
        <v>123</v>
      </c>
      <c r="H40" s="202" t="n">
        <f aca="false">'ref bearings, servo, structure'!B12</f>
        <v>33697916.6666667</v>
      </c>
      <c r="I40" s="202" t="n">
        <f aca="false">H40</f>
        <v>33697916.6666667</v>
      </c>
      <c r="J40" s="202" t="n">
        <f aca="false">I40</f>
        <v>33697916.6666667</v>
      </c>
      <c r="K40" s="202" t="n">
        <f aca="false">J40</f>
        <v>33697916.6666667</v>
      </c>
      <c r="L40" s="195" t="n">
        <v>0</v>
      </c>
      <c r="M40" s="195" t="n">
        <v>0</v>
      </c>
      <c r="N40" s="195" t="n">
        <v>0</v>
      </c>
      <c r="O40" s="195" t="n">
        <v>0</v>
      </c>
      <c r="P40" s="195" t="n">
        <v>0</v>
      </c>
      <c r="Q40" s="195" t="n">
        <v>0</v>
      </c>
      <c r="R40" s="195" t="n">
        <v>0</v>
      </c>
      <c r="S40" s="195" t="n">
        <v>0</v>
      </c>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5.6" hidden="false" customHeight="false" outlineLevel="0" collapsed="false">
      <c r="A41" s="153" t="s">
        <v>273</v>
      </c>
      <c r="B41" s="195" t="n">
        <v>0</v>
      </c>
      <c r="C41" s="0"/>
      <c r="D41" s="0"/>
      <c r="E41" s="0"/>
      <c r="F41" s="0"/>
      <c r="G41" s="153" t="s">
        <v>125</v>
      </c>
      <c r="H41" s="202" t="n">
        <f aca="false">'ref bearings, servo, structure'!B11</f>
        <v>33697916.6666667</v>
      </c>
      <c r="I41" s="202" t="n">
        <f aca="false">H41</f>
        <v>33697916.6666667</v>
      </c>
      <c r="J41" s="202" t="n">
        <f aca="false">I41</f>
        <v>33697916.6666667</v>
      </c>
      <c r="K41" s="202" t="n">
        <f aca="false">J41</f>
        <v>33697916.6666667</v>
      </c>
      <c r="L41" s="195" t="n">
        <v>0</v>
      </c>
      <c r="M41" s="195" t="n">
        <v>0</v>
      </c>
      <c r="N41" s="195" t="n">
        <v>0</v>
      </c>
      <c r="O41" s="195" t="n">
        <v>0</v>
      </c>
      <c r="P41" s="195" t="n">
        <v>0</v>
      </c>
      <c r="Q41" s="195" t="n">
        <v>0</v>
      </c>
      <c r="R41" s="195" t="n">
        <v>0</v>
      </c>
      <c r="S41" s="195" t="n">
        <v>0</v>
      </c>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5.6" hidden="false" customHeight="false" outlineLevel="0" collapsed="false">
      <c r="A42" s="153" t="s">
        <v>274</v>
      </c>
      <c r="B42" s="195" t="n">
        <v>0</v>
      </c>
      <c r="C42" s="0"/>
      <c r="D42" s="205"/>
      <c r="E42" s="240" t="s">
        <v>308</v>
      </c>
      <c r="F42" s="205"/>
      <c r="G42" s="134" t="s">
        <v>277</v>
      </c>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5.6" hidden="false" customHeight="false" outlineLevel="0" collapsed="false">
      <c r="A43" s="153" t="s">
        <v>276</v>
      </c>
      <c r="B43" s="195" t="n">
        <v>0</v>
      </c>
      <c r="C43" s="0"/>
      <c r="D43" s="131"/>
      <c r="E43" s="131"/>
      <c r="F43" s="131"/>
      <c r="G43" s="153" t="s">
        <v>120</v>
      </c>
      <c r="H43" s="188" t="n">
        <f aca="false">H36*H33^2+H37*H32^2</f>
        <v>6666666666.66667</v>
      </c>
      <c r="I43" s="188" t="n">
        <f aca="false">I36*I33^2+I37*I32^2</f>
        <v>6666666666.66667</v>
      </c>
      <c r="J43" s="188" t="n">
        <f aca="false">J36*J33^2+J37*J32^2</f>
        <v>6666666666.66667</v>
      </c>
      <c r="K43" s="188" t="n">
        <f aca="false">K36*K33^2+K37*K32^2</f>
        <v>6666666666.66667</v>
      </c>
      <c r="L43" s="24" t="n">
        <f aca="false">L36*L33^2+L37*L32^2</f>
        <v>0</v>
      </c>
      <c r="M43" s="24" t="n">
        <f aca="false">M36*M33^2+M37*M32^2</f>
        <v>0</v>
      </c>
      <c r="N43" s="24" t="n">
        <f aca="false">N36*N33^2+N37*N32^2</f>
        <v>0</v>
      </c>
      <c r="O43" s="24" t="n">
        <f aca="false">O36*O33^2+O37*O32^2</f>
        <v>0</v>
      </c>
      <c r="P43" s="24" t="n">
        <f aca="false">P36*P33^2+P37*P32^2</f>
        <v>0</v>
      </c>
      <c r="Q43" s="24" t="n">
        <f aca="false">Q36*Q33^2+Q37*Q32^2</f>
        <v>0</v>
      </c>
      <c r="R43" s="24" t="n">
        <f aca="false">R36*R33^2+R37*R32^2</f>
        <v>0</v>
      </c>
      <c r="S43" s="24" t="n">
        <f aca="false">S36*S33^2+S37*S32^2</f>
        <v>0</v>
      </c>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5.6" hidden="false" customHeight="false" outlineLevel="0" collapsed="false">
      <c r="A44" s="76" t="s">
        <v>278</v>
      </c>
      <c r="B44" s="0"/>
      <c r="C44" s="0"/>
      <c r="D44" s="189"/>
      <c r="E44" s="189"/>
      <c r="F44" s="189"/>
      <c r="G44" s="153" t="s">
        <v>123</v>
      </c>
      <c r="H44" s="188" t="n">
        <f aca="false">H35*H33^2+H37*H31^2</f>
        <v>6666666666.66667</v>
      </c>
      <c r="I44" s="188" t="n">
        <f aca="false">I35*I33^2+I37*I31^2</f>
        <v>6666666666.66667</v>
      </c>
      <c r="J44" s="188" t="n">
        <f aca="false">J35*J33^2+J37*J31^2</f>
        <v>6666666666.66667</v>
      </c>
      <c r="K44" s="188" t="n">
        <f aca="false">K35*K33^2+K37*K31^2</f>
        <v>6666666666.66667</v>
      </c>
      <c r="L44" s="24" t="n">
        <f aca="false">L35*L33^2+L37*L31^2</f>
        <v>0</v>
      </c>
      <c r="M44" s="24" t="n">
        <f aca="false">M35*M33^2+M37*M31^2</f>
        <v>0</v>
      </c>
      <c r="N44" s="24" t="n">
        <f aca="false">N35*N33^2+N37*N31^2</f>
        <v>0</v>
      </c>
      <c r="O44" s="24" t="n">
        <f aca="false">O35*O33^2+O37*O31^2</f>
        <v>0</v>
      </c>
      <c r="P44" s="24" t="n">
        <f aca="false">P35*P33^2+P37*P31^2</f>
        <v>0</v>
      </c>
      <c r="Q44" s="24" t="n">
        <f aca="false">Q35*Q33^2+Q37*Q31^2</f>
        <v>0</v>
      </c>
      <c r="R44" s="24" t="n">
        <f aca="false">R35*R33^2+R37*R31^2</f>
        <v>0</v>
      </c>
      <c r="S44" s="24" t="n">
        <f aca="false">S35*S33^2+S37*S31^2</f>
        <v>0</v>
      </c>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5.6" hidden="false" customHeight="false" outlineLevel="0" collapsed="false">
      <c r="A45" s="153" t="s">
        <v>279</v>
      </c>
      <c r="B45" s="24" t="n">
        <f aca="false">SQRT((H47^2+I47^2+J47^2+K47^2+L47^2+M47^2+N47^2+O47^2+P47^2+Q47^2+R47^2+S47^2)/H$28)</f>
        <v>0.005</v>
      </c>
      <c r="C45" s="87"/>
      <c r="D45" s="189"/>
      <c r="E45" s="189"/>
      <c r="F45" s="189"/>
      <c r="G45" s="153" t="s">
        <v>125</v>
      </c>
      <c r="H45" s="188" t="n">
        <f aca="false">H35*H32^2+H36*H31^2</f>
        <v>6666666666.66667</v>
      </c>
      <c r="I45" s="188" t="n">
        <f aca="false">I35*I32^2+I36*I31^2</f>
        <v>6666666666.66667</v>
      </c>
      <c r="J45" s="188" t="n">
        <f aca="false">J35*J32^2+J36*J31^2</f>
        <v>6666666666.66667</v>
      </c>
      <c r="K45" s="188" t="n">
        <f aca="false">K35*K32^2+K36*K31^2</f>
        <v>6666666666.66667</v>
      </c>
      <c r="L45" s="24" t="n">
        <f aca="false">L35*L32^2+L36*L31^2</f>
        <v>0</v>
      </c>
      <c r="M45" s="24" t="n">
        <f aca="false">M35*M32^2+M36*M31^2</f>
        <v>0</v>
      </c>
      <c r="N45" s="24" t="n">
        <f aca="false">N35*N32^2+N36*N31^2</f>
        <v>0</v>
      </c>
      <c r="O45" s="24" t="n">
        <f aca="false">O35*O32^2+O36*O31^2</f>
        <v>0</v>
      </c>
      <c r="P45" s="24" t="n">
        <f aca="false">P35*P32^2+P36*P31^2</f>
        <v>0</v>
      </c>
      <c r="Q45" s="24" t="n">
        <f aca="false">Q35*Q32^2+Q36*Q31^2</f>
        <v>0</v>
      </c>
      <c r="R45" s="24" t="n">
        <f aca="false">R35*R32^2+R36*R31^2</f>
        <v>0</v>
      </c>
      <c r="S45" s="24" t="n">
        <f aca="false">S35*S32^2+S36*S31^2</f>
        <v>0</v>
      </c>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5.6" hidden="false" customHeight="false" outlineLevel="0" collapsed="false">
      <c r="A46" s="153" t="s">
        <v>280</v>
      </c>
      <c r="B46" s="24" t="n">
        <f aca="false">SQRT((H48^2+I48^2+J48^2+K48^2+L48^2+M48^2+N48^2+O48^2+P48^2+Q48^2+R48^2+S48^2)/H$28)</f>
        <v>0.005</v>
      </c>
      <c r="C46" s="87"/>
      <c r="D46" s="189"/>
      <c r="E46" s="189" t="s">
        <v>309</v>
      </c>
      <c r="F46" s="189"/>
      <c r="G46" s="134" t="s">
        <v>281</v>
      </c>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5.6" hidden="false" customHeight="false" outlineLevel="0" collapsed="false">
      <c r="A47" s="153" t="s">
        <v>282</v>
      </c>
      <c r="B47" s="24" t="n">
        <f aca="false">SQRT((H49^2+I49^2+J49^2+K49^2+L49^2+M49^2+N49^2+O49^2+P49^2+Q49^2+R49^2+S49^2)/H$28)</f>
        <v>0.005</v>
      </c>
      <c r="C47" s="87"/>
      <c r="D47" s="192"/>
      <c r="E47" s="192"/>
      <c r="F47" s="192"/>
      <c r="G47" s="153" t="s">
        <v>279</v>
      </c>
      <c r="H47" s="195" t="n">
        <f aca="false">0.005</f>
        <v>0.005</v>
      </c>
      <c r="I47" s="195" t="n">
        <f aca="false">0.005</f>
        <v>0.005</v>
      </c>
      <c r="J47" s="195" t="n">
        <f aca="false">0.005</f>
        <v>0.005</v>
      </c>
      <c r="K47" s="195" t="n">
        <f aca="false">0.005</f>
        <v>0.005</v>
      </c>
      <c r="L47" s="195" t="n">
        <v>0</v>
      </c>
      <c r="M47" s="195" t="n">
        <v>0</v>
      </c>
      <c r="N47" s="195" t="n">
        <v>0</v>
      </c>
      <c r="O47" s="195" t="n">
        <v>0</v>
      </c>
      <c r="P47" s="195" t="n">
        <v>0</v>
      </c>
      <c r="Q47" s="195" t="n">
        <v>0</v>
      </c>
      <c r="R47" s="195" t="n">
        <v>0</v>
      </c>
      <c r="S47" s="195" t="n">
        <v>0</v>
      </c>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5.6" hidden="false" customHeight="false" outlineLevel="0" collapsed="false">
      <c r="A48" s="153" t="s">
        <v>97</v>
      </c>
      <c r="B48" s="24" t="n">
        <f aca="false">SQRT((H51^2+I51^2+J51^2+K51^2+L51^2+M51^2+N51^2+O51^2+P51^2+Q51^2+R51^2+S51^2+B37^2)/H$28)</f>
        <v>4.999999975E-005</v>
      </c>
      <c r="C48" s="87"/>
      <c r="D48" s="189"/>
      <c r="E48" s="189"/>
      <c r="F48" s="189"/>
      <c r="G48" s="153" t="s">
        <v>280</v>
      </c>
      <c r="H48" s="195" t="n">
        <f aca="false">0.005</f>
        <v>0.005</v>
      </c>
      <c r="I48" s="195" t="n">
        <f aca="false">0.005</f>
        <v>0.005</v>
      </c>
      <c r="J48" s="195" t="n">
        <f aca="false">0.005</f>
        <v>0.005</v>
      </c>
      <c r="K48" s="195" t="n">
        <f aca="false">0.005</f>
        <v>0.005</v>
      </c>
      <c r="L48" s="195" t="n">
        <v>0</v>
      </c>
      <c r="M48" s="195" t="n">
        <v>0</v>
      </c>
      <c r="N48" s="195" t="n">
        <v>0</v>
      </c>
      <c r="O48" s="195" t="n">
        <v>0</v>
      </c>
      <c r="P48" s="195" t="n">
        <v>0</v>
      </c>
      <c r="Q48" s="195" t="n">
        <v>0</v>
      </c>
      <c r="R48" s="195" t="n">
        <v>0</v>
      </c>
      <c r="S48" s="195" t="n">
        <v>0</v>
      </c>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5.6" hidden="false" customHeight="false" outlineLevel="0" collapsed="false">
      <c r="A49" s="153" t="s">
        <v>100</v>
      </c>
      <c r="B49" s="24" t="n">
        <f aca="false">SQRT((H52^2+I52^2+J52^2+K52^2+L52^2+M52^2+N52^2+O52^2+P52^2+Q52^2+R52^2+S52^2+B38^2)/H$28)</f>
        <v>5E-005</v>
      </c>
      <c r="C49" s="87"/>
      <c r="D49" s="189"/>
      <c r="E49" s="189"/>
      <c r="F49" s="189"/>
      <c r="G49" s="153" t="s">
        <v>282</v>
      </c>
      <c r="H49" s="195" t="n">
        <f aca="false">0.005</f>
        <v>0.005</v>
      </c>
      <c r="I49" s="195" t="n">
        <f aca="false">0.005</f>
        <v>0.005</v>
      </c>
      <c r="J49" s="195" t="n">
        <f aca="false">0.005</f>
        <v>0.005</v>
      </c>
      <c r="K49" s="195" t="n">
        <f aca="false">0.005</f>
        <v>0.005</v>
      </c>
      <c r="L49" s="195" t="n">
        <v>0</v>
      </c>
      <c r="M49" s="195" t="n">
        <v>0</v>
      </c>
      <c r="N49" s="195" t="n">
        <v>0</v>
      </c>
      <c r="O49" s="195" t="n">
        <v>0</v>
      </c>
      <c r="P49" s="195" t="n">
        <v>0</v>
      </c>
      <c r="Q49" s="195" t="n">
        <v>0</v>
      </c>
      <c r="R49" s="195" t="n">
        <v>0</v>
      </c>
      <c r="S49" s="195" t="n">
        <v>0</v>
      </c>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5.6" hidden="false" customHeight="false" outlineLevel="0" collapsed="false">
      <c r="A50" s="153" t="s">
        <v>104</v>
      </c>
      <c r="B50" s="24" t="n">
        <f aca="false">SQRT((H53^2+I53^2+J53^2+K53^2+L53^2+M53^2+N53^2+O53^2+P53^2+Q53^2+R53^2+S53^2+B39^2)/H$28)</f>
        <v>5E-005</v>
      </c>
      <c r="C50" s="87"/>
      <c r="D50" s="189"/>
      <c r="E50" s="241" t="s">
        <v>310</v>
      </c>
      <c r="F50" s="189"/>
      <c r="G50" s="134" t="s">
        <v>283</v>
      </c>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46.8" hidden="false" customHeight="false" outlineLevel="0" collapsed="false">
      <c r="A51" s="206" t="s">
        <v>284</v>
      </c>
      <c r="B51" s="25"/>
      <c r="C51" s="0"/>
      <c r="D51" s="207"/>
      <c r="E51" s="207"/>
      <c r="F51" s="207"/>
      <c r="G51" s="153" t="s">
        <v>97</v>
      </c>
      <c r="H51" s="188" t="n">
        <f aca="false">H98</f>
        <v>4.99999995E-005</v>
      </c>
      <c r="I51" s="188" t="n">
        <f aca="false">I98</f>
        <v>4.99999995E-005</v>
      </c>
      <c r="J51" s="188" t="n">
        <f aca="false">J98</f>
        <v>5.00000005E-005</v>
      </c>
      <c r="K51" s="188" t="n">
        <f aca="false">K98</f>
        <v>4.99999995E-005</v>
      </c>
      <c r="L51" s="188" t="n">
        <f aca="false">L98</f>
        <v>0</v>
      </c>
      <c r="M51" s="188" t="n">
        <f aca="false">M98</f>
        <v>0</v>
      </c>
      <c r="N51" s="188" t="n">
        <f aca="false">N98</f>
        <v>0</v>
      </c>
      <c r="O51" s="188" t="n">
        <f aca="false">O98</f>
        <v>0</v>
      </c>
      <c r="P51" s="188" t="n">
        <f aca="false">P98</f>
        <v>0</v>
      </c>
      <c r="Q51" s="188" t="n">
        <f aca="false">Q98</f>
        <v>0</v>
      </c>
      <c r="R51" s="188" t="n">
        <f aca="false">R98</f>
        <v>0</v>
      </c>
      <c r="S51" s="188" t="n">
        <f aca="false">S98</f>
        <v>0</v>
      </c>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5.6" hidden="false" customHeight="false" outlineLevel="0" collapsed="false">
      <c r="A52" s="153" t="s">
        <v>279</v>
      </c>
      <c r="B52" s="24" t="n">
        <f aca="false">SQRT((H55^2+I55^2+J55^2+K55^2+L55^2+M55^2+N55^2+O55^2+P55^2+Q55^2+R55^2+S55^2)/H$28)</f>
        <v>0</v>
      </c>
      <c r="C52" s="87"/>
      <c r="D52" s="207"/>
      <c r="E52" s="207"/>
      <c r="F52" s="207"/>
      <c r="G52" s="153" t="s">
        <v>100</v>
      </c>
      <c r="H52" s="188" t="n">
        <f aca="false">H102</f>
        <v>4.99999995E-005</v>
      </c>
      <c r="I52" s="188" t="n">
        <f aca="false">I102</f>
        <v>5.00000005E-005</v>
      </c>
      <c r="J52" s="188" t="n">
        <f aca="false">J102</f>
        <v>5.00000005E-005</v>
      </c>
      <c r="K52" s="188" t="n">
        <f aca="false">K102</f>
        <v>4.99999995E-005</v>
      </c>
      <c r="L52" s="188" t="n">
        <f aca="false">L102</f>
        <v>0</v>
      </c>
      <c r="M52" s="188" t="n">
        <f aca="false">M102</f>
        <v>0</v>
      </c>
      <c r="N52" s="188" t="n">
        <f aca="false">N102</f>
        <v>0</v>
      </c>
      <c r="O52" s="188" t="n">
        <f aca="false">O102</f>
        <v>0</v>
      </c>
      <c r="P52" s="188" t="n">
        <f aca="false">P102</f>
        <v>0</v>
      </c>
      <c r="Q52" s="188" t="n">
        <f aca="false">Q102</f>
        <v>0</v>
      </c>
      <c r="R52" s="188" t="n">
        <f aca="false">R102</f>
        <v>0</v>
      </c>
      <c r="S52" s="188" t="n">
        <f aca="false">S102</f>
        <v>0</v>
      </c>
      <c r="T52" s="208"/>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5.6" hidden="false" customHeight="false" outlineLevel="0" collapsed="false">
      <c r="A53" s="153" t="s">
        <v>280</v>
      </c>
      <c r="B53" s="24" t="n">
        <f aca="false">SQRT((H56^2+I56^2+J56^2+K56^2+L56^2+M56^2+N56^2+O56^2+P56^2+Q56^2+R56^2+S56^2)/H$28)</f>
        <v>0</v>
      </c>
      <c r="C53" s="87"/>
      <c r="D53" s="207"/>
      <c r="E53" s="207"/>
      <c r="F53" s="207"/>
      <c r="G53" s="153" t="s">
        <v>104</v>
      </c>
      <c r="H53" s="188" t="n">
        <f aca="false">H106</f>
        <v>4.99999995E-005</v>
      </c>
      <c r="I53" s="188" t="n">
        <f aca="false">I106</f>
        <v>4.99999995E-005</v>
      </c>
      <c r="J53" s="188" t="n">
        <f aca="false">J106</f>
        <v>5.00000005E-005</v>
      </c>
      <c r="K53" s="188" t="n">
        <f aca="false">K106</f>
        <v>5.00000005E-005</v>
      </c>
      <c r="L53" s="188" t="n">
        <f aca="false">L106</f>
        <v>0</v>
      </c>
      <c r="M53" s="188" t="n">
        <f aca="false">M106</f>
        <v>0</v>
      </c>
      <c r="N53" s="188" t="n">
        <f aca="false">N106</f>
        <v>0</v>
      </c>
      <c r="O53" s="188" t="n">
        <f aca="false">O106</f>
        <v>0</v>
      </c>
      <c r="P53" s="188" t="n">
        <f aca="false">P106</f>
        <v>0</v>
      </c>
      <c r="Q53" s="188" t="n">
        <f aca="false">Q106</f>
        <v>0</v>
      </c>
      <c r="R53" s="188" t="n">
        <f aca="false">R106</f>
        <v>0</v>
      </c>
      <c r="S53" s="188" t="n">
        <f aca="false">S106</f>
        <v>0</v>
      </c>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5.6" hidden="false" customHeight="false" outlineLevel="0" collapsed="false">
      <c r="A54" s="153" t="s">
        <v>282</v>
      </c>
      <c r="B54" s="24" t="n">
        <f aca="false">SQRT((H57^2+I57^2+J57^2+K57^2+L57^2+M57^2+N57^2+O57^2+P57^2+Q57^2+R57^2+S57^2)/H$28)</f>
        <v>0</v>
      </c>
      <c r="C54" s="87"/>
      <c r="D54" s="195"/>
      <c r="E54" s="195"/>
      <c r="F54" s="195"/>
      <c r="G54" s="134" t="s">
        <v>285</v>
      </c>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5.6" hidden="false" customHeight="false" outlineLevel="0" collapsed="false">
      <c r="A55" s="153" t="s">
        <v>97</v>
      </c>
      <c r="B55" s="24" t="n">
        <f aca="false">SQRT((H59^2+I59^2+J59^2+K59^2+L59^2+M59^2+N59^2+O59^2+P59^2+Q59^2+R59^2+S59^2+B41^2)/H$28)</f>
        <v>0</v>
      </c>
      <c r="C55" s="87"/>
      <c r="D55" s="0"/>
      <c r="E55" s="0"/>
      <c r="F55" s="0"/>
      <c r="G55" s="153" t="s">
        <v>279</v>
      </c>
      <c r="H55" s="195" t="n">
        <v>0</v>
      </c>
      <c r="I55" s="195" t="n">
        <v>0</v>
      </c>
      <c r="J55" s="195" t="n">
        <v>0</v>
      </c>
      <c r="K55" s="195" t="n">
        <v>0</v>
      </c>
      <c r="L55" s="195" t="n">
        <v>0</v>
      </c>
      <c r="M55" s="195" t="n">
        <v>0</v>
      </c>
      <c r="N55" s="195" t="n">
        <v>0</v>
      </c>
      <c r="O55" s="195" t="n">
        <v>0</v>
      </c>
      <c r="P55" s="195" t="n">
        <v>0</v>
      </c>
      <c r="Q55" s="195" t="n">
        <v>0</v>
      </c>
      <c r="R55" s="195" t="n">
        <v>0</v>
      </c>
      <c r="S55" s="195" t="n">
        <v>0</v>
      </c>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5.6" hidden="false" customHeight="false" outlineLevel="0" collapsed="false">
      <c r="A56" s="153" t="s">
        <v>100</v>
      </c>
      <c r="B56" s="24" t="n">
        <f aca="false">SQRT((H60^2+I60^2+J60^2+K60^2+L60^2+M60^2+N60^2+O60^2+P60^2+Q60^2+R60^2+S60^2+B42^2)/H$28)</f>
        <v>0</v>
      </c>
      <c r="C56" s="87"/>
      <c r="D56" s="0"/>
      <c r="E56" s="0"/>
      <c r="F56" s="0"/>
      <c r="G56" s="153" t="s">
        <v>280</v>
      </c>
      <c r="H56" s="195" t="n">
        <v>0</v>
      </c>
      <c r="I56" s="195" t="n">
        <v>0</v>
      </c>
      <c r="J56" s="195" t="n">
        <v>0</v>
      </c>
      <c r="K56" s="195" t="n">
        <v>0</v>
      </c>
      <c r="L56" s="195" t="n">
        <v>0</v>
      </c>
      <c r="M56" s="195" t="n">
        <v>0</v>
      </c>
      <c r="N56" s="195" t="n">
        <v>0</v>
      </c>
      <c r="O56" s="195" t="n">
        <v>0</v>
      </c>
      <c r="P56" s="195" t="n">
        <v>0</v>
      </c>
      <c r="Q56" s="195" t="n">
        <v>0</v>
      </c>
      <c r="R56" s="195" t="n">
        <v>0</v>
      </c>
      <c r="S56" s="195" t="n">
        <v>0</v>
      </c>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5.6" hidden="false" customHeight="false" outlineLevel="0" collapsed="false">
      <c r="A57" s="153" t="s">
        <v>104</v>
      </c>
      <c r="B57" s="24" t="n">
        <f aca="false">SQRT((H61^2+I61^2+J61^2+K61^2+L61^2+M61^2+N61^2+O61^2+P61^2+Q61^2+R61^2+S61^2+B43^2)/H$28)</f>
        <v>0</v>
      </c>
      <c r="C57" s="87"/>
      <c r="D57" s="0"/>
      <c r="E57" s="0"/>
      <c r="F57" s="0"/>
      <c r="G57" s="153" t="s">
        <v>282</v>
      </c>
      <c r="H57" s="195" t="n">
        <v>0</v>
      </c>
      <c r="I57" s="195" t="n">
        <v>0</v>
      </c>
      <c r="J57" s="195" t="n">
        <v>0</v>
      </c>
      <c r="K57" s="195" t="n">
        <v>0</v>
      </c>
      <c r="L57" s="195" t="n">
        <v>0</v>
      </c>
      <c r="M57" s="195" t="n">
        <v>0</v>
      </c>
      <c r="N57" s="195" t="n">
        <v>0</v>
      </c>
      <c r="O57" s="195" t="n">
        <v>0</v>
      </c>
      <c r="P57" s="195" t="n">
        <v>0</v>
      </c>
      <c r="Q57" s="195" t="n">
        <v>0</v>
      </c>
      <c r="R57" s="195" t="n">
        <v>0</v>
      </c>
      <c r="S57" s="195" t="n">
        <v>0</v>
      </c>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5.6" hidden="false" customHeight="false" outlineLevel="0" collapsed="false">
      <c r="A58" s="0"/>
      <c r="B58" s="25"/>
      <c r="C58" s="0"/>
      <c r="D58" s="0"/>
      <c r="E58" s="0"/>
      <c r="F58" s="0"/>
      <c r="G58" s="134" t="s">
        <v>286</v>
      </c>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5.6" hidden="false" customHeight="false" outlineLevel="0" collapsed="false">
      <c r="A59" s="0"/>
      <c r="B59" s="0"/>
      <c r="C59" s="0"/>
      <c r="D59" s="0"/>
      <c r="E59" s="0"/>
      <c r="F59" s="0"/>
      <c r="G59" s="153" t="s">
        <v>97</v>
      </c>
      <c r="H59" s="188" t="n">
        <f aca="false">H113</f>
        <v>0</v>
      </c>
      <c r="I59" s="188" t="n">
        <f aca="false">I113</f>
        <v>0</v>
      </c>
      <c r="J59" s="188" t="n">
        <f aca="false">J113</f>
        <v>0</v>
      </c>
      <c r="K59" s="188" t="n">
        <f aca="false">K113</f>
        <v>0</v>
      </c>
      <c r="L59" s="188" t="n">
        <f aca="false">L113</f>
        <v>0</v>
      </c>
      <c r="M59" s="188" t="n">
        <f aca="false">M113</f>
        <v>0</v>
      </c>
      <c r="N59" s="188" t="n">
        <f aca="false">N113</f>
        <v>0</v>
      </c>
      <c r="O59" s="188" t="n">
        <f aca="false">O113</f>
        <v>0</v>
      </c>
      <c r="P59" s="188" t="n">
        <f aca="false">P113</f>
        <v>0</v>
      </c>
      <c r="Q59" s="188" t="n">
        <f aca="false">Q113</f>
        <v>0</v>
      </c>
      <c r="R59" s="188" t="n">
        <f aca="false">R113</f>
        <v>0</v>
      </c>
      <c r="S59" s="188" t="n">
        <f aca="false">S113</f>
        <v>0</v>
      </c>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5.6" hidden="false" customHeight="false" outlineLevel="0" collapsed="false">
      <c r="A60" s="0"/>
      <c r="B60" s="0"/>
      <c r="C60" s="0"/>
      <c r="D60" s="0"/>
      <c r="E60" s="0"/>
      <c r="F60" s="0"/>
      <c r="G60" s="153" t="s">
        <v>100</v>
      </c>
      <c r="H60" s="188" t="n">
        <f aca="false">H118</f>
        <v>0</v>
      </c>
      <c r="I60" s="188" t="n">
        <f aca="false">I118</f>
        <v>0</v>
      </c>
      <c r="J60" s="188" t="n">
        <f aca="false">J118</f>
        <v>0</v>
      </c>
      <c r="K60" s="188" t="n">
        <f aca="false">K118</f>
        <v>0</v>
      </c>
      <c r="L60" s="188" t="n">
        <f aca="false">L118</f>
        <v>0</v>
      </c>
      <c r="M60" s="188" t="n">
        <f aca="false">M118</f>
        <v>0</v>
      </c>
      <c r="N60" s="188" t="n">
        <f aca="false">N118</f>
        <v>0</v>
      </c>
      <c r="O60" s="188" t="n">
        <f aca="false">O118</f>
        <v>0</v>
      </c>
      <c r="P60" s="188" t="n">
        <f aca="false">P118</f>
        <v>0</v>
      </c>
      <c r="Q60" s="188" t="n">
        <f aca="false">Q118</f>
        <v>0</v>
      </c>
      <c r="R60" s="188" t="n">
        <f aca="false">R118</f>
        <v>0</v>
      </c>
      <c r="S60" s="188" t="n">
        <f aca="false">S118</f>
        <v>0</v>
      </c>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5.6" hidden="false" customHeight="false" outlineLevel="0" collapsed="false">
      <c r="A61" s="0"/>
      <c r="B61" s="0"/>
      <c r="C61" s="0"/>
      <c r="D61" s="0"/>
      <c r="E61" s="0"/>
      <c r="F61" s="0"/>
      <c r="G61" s="153" t="s">
        <v>104</v>
      </c>
      <c r="H61" s="188" t="n">
        <f aca="false">H123</f>
        <v>0</v>
      </c>
      <c r="I61" s="188" t="n">
        <f aca="false">I123</f>
        <v>0</v>
      </c>
      <c r="J61" s="188" t="n">
        <f aca="false">J123</f>
        <v>0</v>
      </c>
      <c r="K61" s="188" t="n">
        <f aca="false">K123</f>
        <v>0</v>
      </c>
      <c r="L61" s="188" t="n">
        <f aca="false">L123</f>
        <v>0</v>
      </c>
      <c r="M61" s="188" t="n">
        <f aca="false">M123</f>
        <v>0</v>
      </c>
      <c r="N61" s="188" t="n">
        <f aca="false">N123</f>
        <v>0</v>
      </c>
      <c r="O61" s="188" t="n">
        <f aca="false">O123</f>
        <v>0</v>
      </c>
      <c r="P61" s="188" t="n">
        <f aca="false">P123</f>
        <v>0</v>
      </c>
      <c r="Q61" s="188" t="n">
        <f aca="false">Q123</f>
        <v>0</v>
      </c>
      <c r="R61" s="188" t="n">
        <f aca="false">R123</f>
        <v>0</v>
      </c>
      <c r="S61" s="188" t="n">
        <f aca="false">S123</f>
        <v>0</v>
      </c>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5.6" hidden="false" customHeight="false" outlineLevel="0" collapsed="false">
      <c r="A62" s="0"/>
      <c r="B62" s="0"/>
      <c r="C62" s="0"/>
      <c r="D62" s="0"/>
      <c r="E62" s="0"/>
      <c r="F62" s="0"/>
      <c r="G62" s="76" t="s">
        <v>287</v>
      </c>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s="131" customFormat="true" ht="15.6" hidden="false" customHeight="false" outlineLevel="0" collapsed="false">
      <c r="G63" s="77"/>
      <c r="H63" s="77"/>
      <c r="I63" s="143"/>
      <c r="J63" s="143"/>
      <c r="K63" s="143"/>
      <c r="L63" s="143"/>
      <c r="M63" s="143"/>
      <c r="N63" s="143"/>
      <c r="O63" s="77"/>
    </row>
    <row r="64" customFormat="false" ht="15.6" hidden="false" customHeight="false" outlineLevel="0" collapsed="false">
      <c r="A64" s="131"/>
      <c r="B64" s="131"/>
      <c r="C64" s="131"/>
      <c r="D64" s="131"/>
      <c r="E64" s="131"/>
      <c r="F64" s="131"/>
      <c r="G64" s="209"/>
      <c r="H64" s="210"/>
      <c r="I64" s="211"/>
      <c r="J64" s="211"/>
      <c r="K64" s="211"/>
      <c r="L64" s="211"/>
      <c r="M64" s="211"/>
      <c r="N64" s="211"/>
      <c r="O64" s="143"/>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5.6" hidden="false" customHeight="false" outlineLevel="0" collapsed="false">
      <c r="A65" s="131"/>
      <c r="B65" s="131"/>
      <c r="C65" s="131"/>
      <c r="D65" s="131"/>
      <c r="E65" s="131"/>
      <c r="F65" s="131"/>
      <c r="G65" s="209"/>
      <c r="H65" s="210"/>
      <c r="I65" s="211"/>
      <c r="J65" s="211"/>
      <c r="K65" s="211"/>
      <c r="L65" s="211"/>
      <c r="M65" s="211"/>
      <c r="N65" s="211"/>
      <c r="O65" s="143"/>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5.6" hidden="false" customHeight="false" outlineLevel="0" collapsed="false">
      <c r="A66" s="131"/>
      <c r="B66" s="131"/>
      <c r="C66" s="131"/>
      <c r="D66" s="131"/>
      <c r="E66" s="131"/>
      <c r="F66" s="131"/>
      <c r="G66" s="209"/>
      <c r="H66" s="210"/>
      <c r="I66" s="211"/>
      <c r="J66" s="211"/>
      <c r="K66" s="211"/>
      <c r="L66" s="211"/>
      <c r="M66" s="211"/>
      <c r="N66" s="211"/>
      <c r="O66" s="143"/>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5.6" hidden="false" customHeight="false" outlineLevel="0" collapsed="false">
      <c r="A67" s="131"/>
      <c r="B67" s="131"/>
      <c r="C67" s="131"/>
      <c r="D67" s="131"/>
      <c r="E67" s="131"/>
      <c r="F67" s="131"/>
      <c r="G67" s="209"/>
      <c r="H67" s="210"/>
      <c r="I67" s="211"/>
      <c r="J67" s="211"/>
      <c r="K67" s="211"/>
      <c r="L67" s="211"/>
      <c r="M67" s="211"/>
      <c r="N67" s="211"/>
      <c r="O67" s="143"/>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5.6" hidden="false" customHeight="false" outlineLevel="0" collapsed="false">
      <c r="A68" s="131"/>
      <c r="B68" s="131"/>
      <c r="C68" s="131"/>
      <c r="D68" s="131"/>
      <c r="E68" s="131"/>
      <c r="F68" s="131"/>
      <c r="G68" s="209"/>
      <c r="H68" s="210"/>
      <c r="I68" s="211"/>
      <c r="J68" s="211"/>
      <c r="K68" s="211"/>
      <c r="L68" s="211"/>
      <c r="M68" s="211"/>
      <c r="N68" s="211"/>
      <c r="O68" s="143"/>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5.6" hidden="false" customHeight="false" outlineLevel="0" collapsed="false">
      <c r="A69" s="131"/>
      <c r="B69" s="131"/>
      <c r="C69" s="131"/>
      <c r="D69" s="131"/>
      <c r="E69" s="131"/>
      <c r="F69" s="131"/>
      <c r="G69" s="209"/>
      <c r="H69" s="210"/>
      <c r="I69" s="211"/>
      <c r="J69" s="211"/>
      <c r="K69" s="211"/>
      <c r="L69" s="211"/>
      <c r="M69" s="211"/>
      <c r="N69" s="211"/>
      <c r="O69" s="143"/>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5.6" hidden="false" customHeight="false" outlineLevel="0" collapsed="false">
      <c r="A70" s="131"/>
      <c r="B70" s="131"/>
      <c r="C70" s="131"/>
      <c r="D70" s="131"/>
      <c r="E70" s="131"/>
      <c r="F70" s="131"/>
      <c r="G70" s="209"/>
      <c r="H70" s="210"/>
      <c r="I70" s="211"/>
      <c r="J70" s="211"/>
      <c r="K70" s="211"/>
      <c r="L70" s="211"/>
      <c r="M70" s="211"/>
      <c r="N70" s="211"/>
      <c r="O70" s="143"/>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5.6" hidden="false" customHeight="false" outlineLevel="0" collapsed="false">
      <c r="A71" s="131"/>
      <c r="B71" s="131"/>
      <c r="C71" s="131"/>
      <c r="D71" s="131"/>
      <c r="E71" s="131"/>
      <c r="F71" s="131"/>
      <c r="G71" s="209"/>
      <c r="H71" s="210"/>
      <c r="I71" s="211"/>
      <c r="J71" s="211"/>
      <c r="K71" s="211"/>
      <c r="L71" s="211"/>
      <c r="M71" s="211"/>
      <c r="N71" s="211"/>
      <c r="O71" s="143"/>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5.6" hidden="false" customHeight="false" outlineLevel="0" collapsed="false">
      <c r="A72" s="131"/>
      <c r="B72" s="131"/>
      <c r="C72" s="131"/>
      <c r="D72" s="131"/>
      <c r="E72" s="131"/>
      <c r="F72" s="131"/>
      <c r="G72" s="209"/>
      <c r="H72" s="210"/>
      <c r="I72" s="211"/>
      <c r="J72" s="211"/>
      <c r="K72" s="211"/>
      <c r="L72" s="211"/>
      <c r="M72" s="211"/>
      <c r="N72" s="211"/>
      <c r="O72" s="143"/>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5.6" hidden="false" customHeight="false" outlineLevel="0" collapsed="false">
      <c r="A73" s="131"/>
      <c r="B73" s="131"/>
      <c r="C73" s="131"/>
      <c r="D73" s="131"/>
      <c r="E73" s="131"/>
      <c r="F73" s="131"/>
      <c r="G73" s="209"/>
      <c r="H73" s="210"/>
      <c r="I73" s="211"/>
      <c r="J73" s="211"/>
      <c r="K73" s="211"/>
      <c r="L73" s="211"/>
      <c r="M73" s="211"/>
      <c r="N73" s="211"/>
      <c r="O73" s="143"/>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5.6" hidden="false" customHeight="false" outlineLevel="0" collapsed="false">
      <c r="A74" s="131"/>
      <c r="B74" s="131"/>
      <c r="C74" s="131"/>
      <c r="D74" s="131"/>
      <c r="E74" s="131"/>
      <c r="F74" s="131"/>
      <c r="G74" s="209"/>
      <c r="H74" s="210"/>
      <c r="I74" s="211"/>
      <c r="J74" s="211"/>
      <c r="K74" s="211"/>
      <c r="L74" s="211"/>
      <c r="M74" s="211"/>
      <c r="N74" s="211"/>
      <c r="O74" s="143"/>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5.6" hidden="false" customHeight="false" outlineLevel="0" collapsed="false">
      <c r="A75" s="131"/>
      <c r="B75" s="131"/>
      <c r="C75" s="131"/>
      <c r="D75" s="131"/>
      <c r="E75" s="131"/>
      <c r="F75" s="131"/>
      <c r="G75" s="209"/>
      <c r="H75" s="210"/>
      <c r="I75" s="211"/>
      <c r="J75" s="211"/>
      <c r="K75" s="211"/>
      <c r="L75" s="211"/>
      <c r="M75" s="211"/>
      <c r="N75" s="211"/>
      <c r="O75" s="143"/>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5.6" hidden="false" customHeight="false" outlineLevel="0" collapsed="false">
      <c r="A76" s="131"/>
      <c r="B76" s="131"/>
      <c r="C76" s="131"/>
      <c r="D76" s="131"/>
      <c r="E76" s="131"/>
      <c r="F76" s="131"/>
      <c r="G76" s="209"/>
      <c r="H76" s="210"/>
      <c r="I76" s="211"/>
      <c r="J76" s="211"/>
      <c r="K76" s="211"/>
      <c r="L76" s="211"/>
      <c r="M76" s="211"/>
      <c r="N76" s="211"/>
      <c r="O76" s="143"/>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5.6" hidden="false" customHeight="false" outlineLevel="0" collapsed="false">
      <c r="A77" s="131"/>
      <c r="B77" s="131"/>
      <c r="C77" s="131"/>
      <c r="D77" s="131"/>
      <c r="E77" s="131"/>
      <c r="F77" s="131"/>
      <c r="G77" s="209"/>
      <c r="H77" s="210"/>
      <c r="I77" s="211"/>
      <c r="J77" s="211"/>
      <c r="K77" s="211"/>
      <c r="L77" s="211"/>
      <c r="M77" s="211"/>
      <c r="N77" s="211"/>
      <c r="O77" s="143"/>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5.6" hidden="false" customHeight="false" outlineLevel="0" collapsed="false">
      <c r="A78" s="131"/>
      <c r="B78" s="131"/>
      <c r="C78" s="131"/>
      <c r="D78" s="131"/>
      <c r="E78" s="131"/>
      <c r="F78" s="131"/>
      <c r="G78" s="209"/>
      <c r="H78" s="210"/>
      <c r="I78" s="211"/>
      <c r="J78" s="211"/>
      <c r="K78" s="211"/>
      <c r="L78" s="211"/>
      <c r="M78" s="211"/>
      <c r="N78" s="211"/>
      <c r="O78" s="143"/>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5.6" hidden="false" customHeight="false" outlineLevel="0" collapsed="false">
      <c r="A79" s="131"/>
      <c r="B79" s="131"/>
      <c r="C79" s="131"/>
      <c r="D79" s="131"/>
      <c r="E79" s="131"/>
      <c r="F79" s="131"/>
      <c r="G79" s="209"/>
      <c r="H79" s="210"/>
      <c r="I79" s="211"/>
      <c r="J79" s="211"/>
      <c r="K79" s="211"/>
      <c r="L79" s="211"/>
      <c r="M79" s="211"/>
      <c r="N79" s="211"/>
      <c r="O79" s="143"/>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5.6" hidden="false" customHeight="false" outlineLevel="0" collapsed="false">
      <c r="A80" s="242"/>
      <c r="B80" s="142"/>
      <c r="C80" s="0"/>
      <c r="D80" s="0"/>
      <c r="E80" s="0"/>
      <c r="F80" s="0"/>
      <c r="G80" s="209"/>
      <c r="H80" s="210"/>
      <c r="I80" s="211"/>
      <c r="J80" s="211"/>
      <c r="K80" s="211"/>
      <c r="L80" s="211"/>
      <c r="M80" s="211"/>
      <c r="N80" s="211"/>
      <c r="O80" s="143"/>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5.6" hidden="false" customHeight="false" outlineLevel="0" collapsed="false">
      <c r="A81" s="242"/>
      <c r="B81" s="142"/>
      <c r="C81" s="0"/>
      <c r="D81" s="0"/>
      <c r="E81" s="0"/>
      <c r="F81" s="0"/>
      <c r="G81" s="209"/>
      <c r="H81" s="210"/>
      <c r="I81" s="211"/>
      <c r="J81" s="211"/>
      <c r="K81" s="211"/>
      <c r="L81" s="211"/>
      <c r="M81" s="211"/>
      <c r="N81" s="211"/>
      <c r="O81" s="143"/>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5.6" hidden="false" customHeight="false" outlineLevel="0" collapsed="false">
      <c r="A82" s="242"/>
      <c r="B82" s="142"/>
      <c r="C82" s="0"/>
      <c r="D82" s="0"/>
      <c r="E82" s="0"/>
      <c r="F82" s="0"/>
      <c r="G82" s="209"/>
      <c r="H82" s="210"/>
      <c r="I82" s="211"/>
      <c r="J82" s="211"/>
      <c r="K82" s="211"/>
      <c r="L82" s="211"/>
      <c r="M82" s="211"/>
      <c r="N82" s="211"/>
      <c r="O82" s="143"/>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5.6" hidden="false" customHeight="false" outlineLevel="0" collapsed="false">
      <c r="A83" s="242"/>
      <c r="B83" s="142"/>
      <c r="C83" s="0"/>
      <c r="D83" s="0"/>
      <c r="E83" s="0"/>
      <c r="F83" s="0"/>
      <c r="G83" s="209"/>
      <c r="H83" s="210"/>
      <c r="I83" s="211"/>
      <c r="J83" s="211"/>
      <c r="K83" s="211"/>
      <c r="L83" s="211"/>
      <c r="M83" s="211"/>
      <c r="N83" s="211"/>
      <c r="O83" s="143"/>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5.6" hidden="false" customHeight="false" outlineLevel="0" collapsed="false">
      <c r="A84" s="242"/>
      <c r="B84" s="142"/>
      <c r="C84" s="0"/>
      <c r="D84" s="0"/>
      <c r="E84" s="0"/>
      <c r="F84" s="0"/>
      <c r="G84" s="209"/>
      <c r="H84" s="210"/>
      <c r="I84" s="211"/>
      <c r="J84" s="211"/>
      <c r="K84" s="211"/>
      <c r="L84" s="211"/>
      <c r="M84" s="211"/>
      <c r="N84" s="211"/>
      <c r="O84" s="143"/>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5.6" hidden="false" customHeight="false" outlineLevel="0" collapsed="false">
      <c r="A85" s="242"/>
      <c r="B85" s="142"/>
      <c r="C85" s="0"/>
      <c r="D85" s="0"/>
      <c r="E85" s="0"/>
      <c r="F85" s="0"/>
      <c r="G85" s="209"/>
      <c r="H85" s="210"/>
      <c r="I85" s="211"/>
      <c r="J85" s="211"/>
      <c r="K85" s="211"/>
      <c r="L85" s="211"/>
      <c r="M85" s="211"/>
      <c r="N85" s="211"/>
      <c r="O85" s="143"/>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5.6" hidden="false" customHeight="false" outlineLevel="0" collapsed="false">
      <c r="A86" s="242"/>
      <c r="B86" s="142"/>
      <c r="C86" s="0"/>
      <c r="D86" s="0"/>
      <c r="E86" s="0"/>
      <c r="F86" s="0"/>
      <c r="G86" s="209"/>
      <c r="H86" s="210"/>
      <c r="I86" s="211"/>
      <c r="J86" s="211"/>
      <c r="K86" s="211"/>
      <c r="L86" s="211"/>
      <c r="M86" s="211"/>
      <c r="N86" s="211"/>
      <c r="O86" s="143"/>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5.6" hidden="false" customHeight="false" outlineLevel="0" collapsed="false">
      <c r="A87" s="242"/>
      <c r="B87" s="142"/>
      <c r="C87" s="0"/>
      <c r="D87" s="0"/>
      <c r="E87" s="0"/>
      <c r="F87" s="0"/>
      <c r="G87" s="209"/>
      <c r="H87" s="210"/>
      <c r="I87" s="211"/>
      <c r="J87" s="211"/>
      <c r="K87" s="211"/>
      <c r="L87" s="211"/>
      <c r="M87" s="211"/>
      <c r="N87" s="211"/>
      <c r="O87" s="143"/>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5.6" hidden="false" customHeight="false" outlineLevel="0" collapsed="false">
      <c r="A88" s="242"/>
      <c r="B88" s="142"/>
      <c r="C88" s="0"/>
      <c r="D88" s="0"/>
      <c r="E88" s="0"/>
      <c r="F88" s="0"/>
      <c r="G88" s="209"/>
      <c r="H88" s="210"/>
      <c r="I88" s="211"/>
      <c r="J88" s="211"/>
      <c r="K88" s="211"/>
      <c r="L88" s="211"/>
      <c r="M88" s="211"/>
      <c r="N88" s="211"/>
      <c r="O88" s="143"/>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5.6" hidden="false" customHeight="false" outlineLevel="0" collapsed="false">
      <c r="A89" s="242"/>
      <c r="B89" s="142"/>
      <c r="C89" s="0"/>
      <c r="D89" s="0"/>
      <c r="E89" s="0"/>
      <c r="F89" s="0"/>
      <c r="G89" s="209"/>
      <c r="H89" s="210"/>
      <c r="I89" s="211"/>
      <c r="J89" s="211"/>
      <c r="K89" s="211"/>
      <c r="L89" s="211"/>
      <c r="M89" s="211"/>
      <c r="N89" s="211"/>
      <c r="O89" s="143"/>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5.6" hidden="false" customHeight="false" outlineLevel="0" collapsed="false">
      <c r="A90" s="242"/>
      <c r="B90" s="142"/>
      <c r="C90" s="0"/>
      <c r="D90" s="0"/>
      <c r="E90" s="0"/>
      <c r="F90" s="0"/>
      <c r="G90" s="209"/>
      <c r="H90" s="210"/>
      <c r="I90" s="211"/>
      <c r="J90" s="211"/>
      <c r="K90" s="211"/>
      <c r="L90" s="211"/>
      <c r="M90" s="211"/>
      <c r="N90" s="211"/>
      <c r="O90" s="143"/>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5.6" hidden="false" customHeight="false" outlineLevel="0" collapsed="false">
      <c r="A91" s="242"/>
      <c r="B91" s="142"/>
      <c r="C91" s="0"/>
      <c r="D91" s="0"/>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5.6" hidden="false" customHeight="false" outlineLevel="0" collapsed="false">
      <c r="A92" s="242"/>
      <c r="B92" s="142"/>
      <c r="C92" s="0"/>
      <c r="D92" s="0"/>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5.6" hidden="false" customHeight="false" outlineLevel="0" collapsed="false">
      <c r="A93" s="242"/>
      <c r="B93" s="142"/>
      <c r="C93" s="131"/>
      <c r="D93" s="0"/>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5.6" hidden="false" customHeight="false" outlineLevel="0" collapsed="false">
      <c r="A94" s="242"/>
      <c r="B94" s="142"/>
      <c r="C94" s="131"/>
      <c r="D94" s="0"/>
      <c r="E94" s="0"/>
      <c r="F94" s="0"/>
      <c r="G94" s="212" t="s">
        <v>289</v>
      </c>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5.6" hidden="false" customHeight="false" outlineLevel="0" collapsed="false">
      <c r="A95" s="242"/>
      <c r="B95" s="142"/>
      <c r="C95" s="131"/>
      <c r="D95" s="0"/>
      <c r="E95" s="0"/>
      <c r="F95" s="0"/>
      <c r="G95" s="213"/>
      <c r="H95" s="165" t="s">
        <v>290</v>
      </c>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5.6" hidden="false" customHeight="false" outlineLevel="0" collapsed="false">
      <c r="A96" s="242"/>
      <c r="B96" s="142"/>
      <c r="C96" s="131"/>
      <c r="D96" s="0"/>
      <c r="E96" s="0"/>
      <c r="F96" s="0"/>
      <c r="G96" s="165" t="s">
        <v>291</v>
      </c>
      <c r="H96" s="77" t="n">
        <f aca="false">H48/ABS(H33+0.000001)</f>
        <v>4.99999995E-005</v>
      </c>
      <c r="I96" s="77" t="n">
        <f aca="false">I48/ABS(I33+0.000001)</f>
        <v>5.00000005E-005</v>
      </c>
      <c r="J96" s="77" t="n">
        <f aca="false">J48/ABS(J33+0.000001)</f>
        <v>5.00000005E-005</v>
      </c>
      <c r="K96" s="77" t="n">
        <f aca="false">K48/ABS(K33+0.000001)</f>
        <v>4.99999995E-005</v>
      </c>
      <c r="L96" s="77" t="n">
        <f aca="false">L48/ABS(L33+0.000001)</f>
        <v>0</v>
      </c>
      <c r="M96" s="77" t="n">
        <f aca="false">M48/ABS(M33+0.000001)</f>
        <v>0</v>
      </c>
      <c r="N96" s="77" t="n">
        <f aca="false">N48/ABS(N33+0.000001)</f>
        <v>0</v>
      </c>
      <c r="O96" s="77" t="n">
        <f aca="false">O48/ABS(O33+0.000001)</f>
        <v>0</v>
      </c>
      <c r="P96" s="77" t="n">
        <f aca="false">P48/ABS(P33+0.000001)</f>
        <v>0</v>
      </c>
      <c r="Q96" s="77" t="n">
        <f aca="false">Q48/ABS(Q33+0.000001)</f>
        <v>0</v>
      </c>
      <c r="R96" s="77" t="n">
        <f aca="false">R48/ABS(R33+0.000001)</f>
        <v>0</v>
      </c>
      <c r="S96" s="77" t="n">
        <f aca="false">S48/ABS(S33+0.000001)</f>
        <v>0</v>
      </c>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5.6" hidden="false" customHeight="false" outlineLevel="0" collapsed="false">
      <c r="A97" s="242"/>
      <c r="B97" s="142"/>
      <c r="C97" s="131"/>
      <c r="D97" s="0"/>
      <c r="E97" s="0"/>
      <c r="F97" s="0"/>
      <c r="G97" s="165" t="s">
        <v>291</v>
      </c>
      <c r="H97" s="77" t="n">
        <f aca="false">H49/ABS(H32+0.000001)</f>
        <v>4.99999995E-005</v>
      </c>
      <c r="I97" s="77" t="n">
        <f aca="false">I49/ABS(I32+0.000001)</f>
        <v>4.99999995E-005</v>
      </c>
      <c r="J97" s="77" t="n">
        <f aca="false">J49/ABS(J32+0.000001)</f>
        <v>5.00000005E-005</v>
      </c>
      <c r="K97" s="77" t="n">
        <f aca="false">K49/ABS(K32+0.000001)</f>
        <v>5.00000005E-005</v>
      </c>
      <c r="L97" s="77" t="n">
        <f aca="false">L49/ABS(L32+0.000001)</f>
        <v>0</v>
      </c>
      <c r="M97" s="77" t="n">
        <f aca="false">M49/ABS(M32+0.000001)</f>
        <v>0</v>
      </c>
      <c r="N97" s="77" t="n">
        <f aca="false">N49/ABS(N32+0.000001)</f>
        <v>0</v>
      </c>
      <c r="O97" s="77" t="n">
        <f aca="false">O49/ABS(O32+0.000001)</f>
        <v>0</v>
      </c>
      <c r="P97" s="77" t="n">
        <f aca="false">P49/ABS(P32+0.000001)</f>
        <v>0</v>
      </c>
      <c r="Q97" s="77" t="n">
        <f aca="false">Q49/ABS(Q32+0.000001)</f>
        <v>0</v>
      </c>
      <c r="R97" s="77" t="n">
        <f aca="false">R49/ABS(R32+0.000001)</f>
        <v>0</v>
      </c>
      <c r="S97" s="77" t="n">
        <f aca="false">S49/ABS(S32+0.000001)</f>
        <v>0</v>
      </c>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5.6" hidden="false" customHeight="false" outlineLevel="0" collapsed="false">
      <c r="A98" s="242"/>
      <c r="B98" s="142"/>
      <c r="C98" s="131"/>
      <c r="D98" s="0"/>
      <c r="E98" s="0"/>
      <c r="F98" s="0"/>
      <c r="G98" s="77" t="s">
        <v>292</v>
      </c>
      <c r="H98" s="161" t="n">
        <f aca="false">IF(MIN(H96,H97)&gt;1,0,MIN(H96,H97))</f>
        <v>4.99999995E-005</v>
      </c>
      <c r="I98" s="161" t="n">
        <f aca="false">IF(MIN(I96,I97)&gt;1,0,MIN(I96,I97))</f>
        <v>4.99999995E-005</v>
      </c>
      <c r="J98" s="161" t="n">
        <f aca="false">IF(MIN(J96,J97)&gt;1,0,MIN(J96,J97))</f>
        <v>5.00000005E-005</v>
      </c>
      <c r="K98" s="161" t="n">
        <f aca="false">IF(MIN(K96,K97)&gt;1,0,MIN(K96,K97))</f>
        <v>4.99999995E-005</v>
      </c>
      <c r="L98" s="161" t="n">
        <f aca="false">IF(MIN(L96,L97)&gt;1,0,MIN(L96,L97))</f>
        <v>0</v>
      </c>
      <c r="M98" s="161" t="n">
        <f aca="false">IF(MIN(M96,M97)&gt;1,0,MIN(M96,M97))</f>
        <v>0</v>
      </c>
      <c r="N98" s="161" t="n">
        <f aca="false">IF(MIN(N96,N97)&gt;1,0,MIN(N96,N97))</f>
        <v>0</v>
      </c>
      <c r="O98" s="161" t="n">
        <f aca="false">IF(MIN(O96,O97)&gt;1,0,MIN(O96,O97))</f>
        <v>0</v>
      </c>
      <c r="P98" s="161" t="n">
        <f aca="false">IF(MIN(P96,P97)&gt;1,0,MIN(P96,P97))</f>
        <v>0</v>
      </c>
      <c r="Q98" s="161" t="n">
        <f aca="false">IF(MIN(Q96,Q97)&gt;1,0,MIN(Q96,Q97))</f>
        <v>0</v>
      </c>
      <c r="R98" s="161" t="n">
        <f aca="false">IF(MIN(R96,R97)&gt;1,0,MIN(R96,R97))</f>
        <v>0</v>
      </c>
      <c r="S98" s="161" t="n">
        <f aca="false">IF(MIN(S96,S97)&gt;1,0,MIN(S96,S97))</f>
        <v>0</v>
      </c>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5.6" hidden="false" customHeight="false" outlineLevel="0" collapsed="false">
      <c r="A99" s="242"/>
      <c r="B99" s="142"/>
      <c r="C99" s="131"/>
      <c r="D99" s="0"/>
      <c r="E99" s="0"/>
      <c r="F99" s="0"/>
      <c r="G99" s="0"/>
      <c r="H99" s="165" t="s">
        <v>293</v>
      </c>
      <c r="I99" s="165"/>
      <c r="J99" s="165"/>
      <c r="K99" s="165"/>
      <c r="L99" s="165"/>
      <c r="M99" s="165"/>
      <c r="N99" s="165"/>
      <c r="O99" s="165"/>
      <c r="P99" s="165"/>
      <c r="Q99" s="165"/>
      <c r="R99" s="165"/>
      <c r="S99" s="165"/>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s="131" customFormat="true" ht="15.6" hidden="false" customHeight="false" outlineLevel="0" collapsed="false">
      <c r="A100" s="242"/>
      <c r="B100" s="142"/>
      <c r="G100" s="214" t="s">
        <v>291</v>
      </c>
      <c r="H100" s="131" t="n">
        <f aca="false">H49/ABS(H31+0.000001)</f>
        <v>5000</v>
      </c>
      <c r="I100" s="131" t="n">
        <f aca="false">I49/ABS(I31+0.000001)</f>
        <v>5000</v>
      </c>
      <c r="J100" s="131" t="n">
        <f aca="false">J49/ABS(J31+0.000001)</f>
        <v>5000</v>
      </c>
      <c r="K100" s="131" t="n">
        <f aca="false">K49/ABS(K31+0.000001)</f>
        <v>5000</v>
      </c>
      <c r="L100" s="131" t="n">
        <f aca="false">L49/ABS(L31+0.000001)</f>
        <v>0</v>
      </c>
      <c r="M100" s="131" t="n">
        <f aca="false">M49/ABS(M31+0.000001)</f>
        <v>0</v>
      </c>
      <c r="N100" s="131" t="n">
        <f aca="false">N49/ABS(N31+0.000001)</f>
        <v>0</v>
      </c>
      <c r="O100" s="131" t="n">
        <f aca="false">O49/ABS(O31+0.000001)</f>
        <v>0</v>
      </c>
      <c r="P100" s="131" t="n">
        <f aca="false">P49/ABS(P31+0.000001)</f>
        <v>0</v>
      </c>
      <c r="Q100" s="131" t="n">
        <f aca="false">Q49/ABS(Q31+0.000001)</f>
        <v>0</v>
      </c>
      <c r="R100" s="131" t="n">
        <f aca="false">R49/ABS(R31+0.000001)</f>
        <v>0</v>
      </c>
      <c r="S100" s="131" t="n">
        <f aca="false">S49/ABS(S31+0.000001)</f>
        <v>0</v>
      </c>
    </row>
    <row r="101" customFormat="false" ht="15.6" hidden="false" customHeight="false" outlineLevel="0" collapsed="false">
      <c r="A101" s="242"/>
      <c r="B101" s="142"/>
      <c r="C101" s="131"/>
      <c r="D101" s="131"/>
      <c r="E101" s="131"/>
      <c r="F101" s="131"/>
      <c r="G101" s="214" t="s">
        <v>291</v>
      </c>
      <c r="H101" s="215" t="n">
        <f aca="false">H47/ABS(H33+0.000001)</f>
        <v>4.99999995E-005</v>
      </c>
      <c r="I101" s="215" t="n">
        <f aca="false">I47/ABS(I33+0.000001)</f>
        <v>5.00000005E-005</v>
      </c>
      <c r="J101" s="215" t="n">
        <f aca="false">J47/ABS(J33+0.000001)</f>
        <v>5.00000005E-005</v>
      </c>
      <c r="K101" s="215" t="n">
        <f aca="false">K47/ABS(K33+0.000001)</f>
        <v>4.99999995E-005</v>
      </c>
      <c r="L101" s="215" t="n">
        <f aca="false">L47/ABS(L33+0.000001)</f>
        <v>0</v>
      </c>
      <c r="M101" s="215" t="n">
        <f aca="false">M47/ABS(M33+0.000001)</f>
        <v>0</v>
      </c>
      <c r="N101" s="215" t="n">
        <f aca="false">N47/ABS(N33+0.000001)</f>
        <v>0</v>
      </c>
      <c r="O101" s="215" t="n">
        <f aca="false">O47/ABS(O33+0.000001)</f>
        <v>0</v>
      </c>
      <c r="P101" s="215" t="n">
        <f aca="false">P47/ABS(P33+0.000001)</f>
        <v>0</v>
      </c>
      <c r="Q101" s="215" t="n">
        <f aca="false">Q47/ABS(Q33+0.000001)</f>
        <v>0</v>
      </c>
      <c r="R101" s="215" t="n">
        <f aca="false">R47/ABS(R33+0.000001)</f>
        <v>0</v>
      </c>
      <c r="S101" s="215" t="n">
        <f aca="false">S47/ABS(S33+0.000001)</f>
        <v>0</v>
      </c>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5.6" hidden="false" customHeight="false" outlineLevel="0" collapsed="false">
      <c r="A102" s="242"/>
      <c r="B102" s="142"/>
      <c r="C102" s="131"/>
      <c r="D102" s="0"/>
      <c r="E102" s="0"/>
      <c r="F102" s="0"/>
      <c r="G102" s="77" t="s">
        <v>292</v>
      </c>
      <c r="H102" s="161" t="n">
        <f aca="false">IF(MIN(H100,H101)&gt;1,0,MIN(H100,H101))</f>
        <v>4.99999995E-005</v>
      </c>
      <c r="I102" s="161" t="n">
        <f aca="false">IF(MIN(I100,I101)&gt;1,0,MIN(I100,I101))</f>
        <v>5.00000005E-005</v>
      </c>
      <c r="J102" s="161" t="n">
        <f aca="false">IF(MIN(J100,J101)&gt;1,0,MIN(J100,J101))</f>
        <v>5.00000005E-005</v>
      </c>
      <c r="K102" s="161" t="n">
        <f aca="false">IF(MIN(K100,K101)&gt;1,0,MIN(K100,K101))</f>
        <v>4.99999995E-005</v>
      </c>
      <c r="L102" s="161" t="n">
        <f aca="false">IF(MIN(L100,L101)&gt;1,0,MIN(L100,L101))</f>
        <v>0</v>
      </c>
      <c r="M102" s="161" t="n">
        <f aca="false">IF(MIN(M100,M101)&gt;1,0,MIN(M100,M101))</f>
        <v>0</v>
      </c>
      <c r="N102" s="161" t="n">
        <f aca="false">IF(MIN(N100,N101)&gt;1,0,MIN(N100,N101))</f>
        <v>0</v>
      </c>
      <c r="O102" s="161" t="n">
        <f aca="false">IF(MIN(O100,O101)&gt;1,0,MIN(O100,O101))</f>
        <v>0</v>
      </c>
      <c r="P102" s="161" t="n">
        <f aca="false">IF(MIN(P100,P101)&gt;1,0,MIN(P100,P101))</f>
        <v>0</v>
      </c>
      <c r="Q102" s="161" t="n">
        <f aca="false">IF(MIN(Q100,Q101)&gt;1,0,MIN(Q100,Q101))</f>
        <v>0</v>
      </c>
      <c r="R102" s="161" t="n">
        <f aca="false">IF(MIN(R100,R101)&gt;1,0,MIN(R100,R101))</f>
        <v>0</v>
      </c>
      <c r="S102" s="161" t="n">
        <f aca="false">IF(MIN(S100,S101)&gt;1,0,MIN(S100,S101))</f>
        <v>0</v>
      </c>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5.6" hidden="false" customHeight="false" outlineLevel="0" collapsed="false">
      <c r="A103" s="242"/>
      <c r="B103" s="142"/>
      <c r="C103" s="131"/>
      <c r="D103" s="0"/>
      <c r="E103" s="0"/>
      <c r="F103" s="0"/>
      <c r="G103" s="0"/>
      <c r="H103" s="77" t="s">
        <v>294</v>
      </c>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5.6" hidden="false" customHeight="false" outlineLevel="0" collapsed="false">
      <c r="A104" s="242"/>
      <c r="B104" s="142"/>
      <c r="C104" s="131"/>
      <c r="D104" s="0"/>
      <c r="E104" s="0"/>
      <c r="F104" s="0"/>
      <c r="G104" s="165" t="s">
        <v>291</v>
      </c>
      <c r="H104" s="77" t="n">
        <f aca="false">H48/ABS(H31+0.000001)</f>
        <v>5000</v>
      </c>
      <c r="I104" s="77" t="n">
        <f aca="false">I48/ABS(I31+0.000001)</f>
        <v>5000</v>
      </c>
      <c r="J104" s="77" t="n">
        <f aca="false">J48/ABS(J31+0.000001)</f>
        <v>5000</v>
      </c>
      <c r="K104" s="77" t="n">
        <f aca="false">K48/ABS(K31+0.000001)</f>
        <v>5000</v>
      </c>
      <c r="L104" s="77" t="n">
        <f aca="false">L48/ABS(L31+0.000001)</f>
        <v>0</v>
      </c>
      <c r="M104" s="77" t="n">
        <f aca="false">M48/ABS(M31+0.000001)</f>
        <v>0</v>
      </c>
      <c r="N104" s="77" t="n">
        <f aca="false">N48/ABS(N31+0.000001)</f>
        <v>0</v>
      </c>
      <c r="O104" s="77" t="n">
        <f aca="false">O48/ABS(O31+0.000001)</f>
        <v>0</v>
      </c>
      <c r="P104" s="77" t="n">
        <f aca="false">P48/ABS(P31+0.000001)</f>
        <v>0</v>
      </c>
      <c r="Q104" s="77" t="n">
        <f aca="false">Q48/ABS(Q31+0.000001)</f>
        <v>0</v>
      </c>
      <c r="R104" s="77" t="n">
        <f aca="false">R48/ABS(R31+0.000001)</f>
        <v>0</v>
      </c>
      <c r="S104" s="77" t="n">
        <f aca="false">S48/ABS(S31+0.000001)</f>
        <v>0</v>
      </c>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5.6" hidden="false" customHeight="false" outlineLevel="0" collapsed="false">
      <c r="A105" s="242"/>
      <c r="B105" s="142"/>
      <c r="C105" s="131"/>
      <c r="D105" s="0"/>
      <c r="E105" s="0"/>
      <c r="F105" s="0"/>
      <c r="G105" s="165" t="s">
        <v>291</v>
      </c>
      <c r="H105" s="77" t="n">
        <f aca="false">H47/ABS(H32+0.000001)</f>
        <v>4.99999995E-005</v>
      </c>
      <c r="I105" s="77" t="n">
        <f aca="false">I47/ABS(I32+0.000001)</f>
        <v>4.99999995E-005</v>
      </c>
      <c r="J105" s="77" t="n">
        <f aca="false">J47/ABS(J32+0.000001)</f>
        <v>5.00000005E-005</v>
      </c>
      <c r="K105" s="77" t="n">
        <f aca="false">K47/ABS(K32+0.000001)</f>
        <v>5.00000005E-005</v>
      </c>
      <c r="L105" s="77" t="n">
        <f aca="false">L47/ABS(L32+0.000001)</f>
        <v>0</v>
      </c>
      <c r="M105" s="77" t="n">
        <f aca="false">M47/ABS(M32+0.000001)</f>
        <v>0</v>
      </c>
      <c r="N105" s="77" t="n">
        <f aca="false">N47/ABS(N32+0.000001)</f>
        <v>0</v>
      </c>
      <c r="O105" s="77" t="n">
        <f aca="false">O47/ABS(O32+0.000001)</f>
        <v>0</v>
      </c>
      <c r="P105" s="77" t="n">
        <f aca="false">P47/ABS(P32+0.000001)</f>
        <v>0</v>
      </c>
      <c r="Q105" s="77" t="n">
        <f aca="false">Q47/ABS(Q32+0.000001)</f>
        <v>0</v>
      </c>
      <c r="R105" s="77" t="n">
        <f aca="false">R47/ABS(R32+0.000001)</f>
        <v>0</v>
      </c>
      <c r="S105" s="77" t="n">
        <f aca="false">S47/ABS(S32+0.000001)</f>
        <v>0</v>
      </c>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5.6" hidden="false" customHeight="false" outlineLevel="0" collapsed="false">
      <c r="A106" s="242"/>
      <c r="B106" s="142"/>
      <c r="C106" s="131"/>
      <c r="D106" s="0"/>
      <c r="E106" s="0"/>
      <c r="F106" s="0"/>
      <c r="G106" s="77" t="s">
        <v>292</v>
      </c>
      <c r="H106" s="161" t="n">
        <f aca="false">IF(MIN(H104,H105)&gt;1,0,MIN(H104,H105))</f>
        <v>4.99999995E-005</v>
      </c>
      <c r="I106" s="161" t="n">
        <f aca="false">IF(MIN(I104,I105)&gt;1,0,MIN(I104,I105))</f>
        <v>4.99999995E-005</v>
      </c>
      <c r="J106" s="161" t="n">
        <f aca="false">IF(MIN(J104,J105)&gt;1,0,MIN(J104,J105))</f>
        <v>5.00000005E-005</v>
      </c>
      <c r="K106" s="161" t="n">
        <f aca="false">IF(MIN(K104,K105)&gt;1,0,MIN(K104,K105))</f>
        <v>5.00000005E-005</v>
      </c>
      <c r="L106" s="161" t="n">
        <f aca="false">IF(MIN(L104,L105)&gt;1,0,MIN(L104,L105))</f>
        <v>0</v>
      </c>
      <c r="M106" s="161" t="n">
        <f aca="false">IF(MIN(M104,M105)&gt;1,0,MIN(M104,M105))</f>
        <v>0</v>
      </c>
      <c r="N106" s="161" t="n">
        <f aca="false">IF(MIN(N104,N105)&gt;1,0,MIN(N104,N105))</f>
        <v>0</v>
      </c>
      <c r="O106" s="161" t="n">
        <f aca="false">IF(MIN(O104,O105)&gt;1,0,MIN(O104,O105))</f>
        <v>0</v>
      </c>
      <c r="P106" s="161" t="n">
        <f aca="false">IF(MIN(P104,P105)&gt;1,0,MIN(P104,P105))</f>
        <v>0</v>
      </c>
      <c r="Q106" s="161" t="n">
        <f aca="false">IF(MIN(Q104,Q105)&gt;1,0,MIN(Q104,Q105))</f>
        <v>0</v>
      </c>
      <c r="R106" s="161" t="n">
        <f aca="false">IF(MIN(R104,R105)&gt;1,0,MIN(R104,R105))</f>
        <v>0</v>
      </c>
      <c r="S106" s="161" t="n">
        <f aca="false">IF(MIN(S104,S105)&gt;1,0,MIN(S104,S105))</f>
        <v>0</v>
      </c>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5.6" hidden="false" customHeight="false" outlineLevel="0" collapsed="false">
      <c r="A107" s="242"/>
      <c r="B107" s="142"/>
      <c r="C107" s="131"/>
      <c r="D107" s="0"/>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5.6" hidden="false" customHeight="false" outlineLevel="0" collapsed="false">
      <c r="A108" s="242"/>
      <c r="B108" s="142"/>
      <c r="C108" s="131"/>
      <c r="D108" s="0"/>
      <c r="E108" s="0"/>
      <c r="F108" s="0"/>
      <c r="G108" s="212" t="s">
        <v>295</v>
      </c>
      <c r="H108" s="212"/>
      <c r="I108" s="212"/>
      <c r="J108" s="212"/>
      <c r="K108" s="212"/>
      <c r="L108" s="212"/>
      <c r="M108" s="212"/>
      <c r="N108" s="212"/>
      <c r="O108" s="212"/>
      <c r="P108" s="212"/>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5.6" hidden="false" customHeight="false" outlineLevel="0" collapsed="false">
      <c r="A109" s="242"/>
      <c r="B109" s="142"/>
      <c r="C109" s="131"/>
      <c r="D109" s="0"/>
      <c r="E109" s="0"/>
      <c r="F109" s="0"/>
      <c r="G109" s="0"/>
      <c r="H109" s="153" t="s">
        <v>296</v>
      </c>
      <c r="I109" s="153"/>
      <c r="J109" s="153"/>
      <c r="K109" s="153"/>
      <c r="L109" s="153"/>
      <c r="M109" s="153"/>
      <c r="N109" s="153"/>
      <c r="O109" s="153"/>
      <c r="P109" s="153"/>
      <c r="Q109" s="153"/>
      <c r="R109" s="153"/>
      <c r="S109" s="153"/>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5.6" hidden="false" customHeight="false" outlineLevel="0" collapsed="false">
      <c r="A110" s="0"/>
      <c r="B110" s="0"/>
      <c r="C110" s="0"/>
      <c r="D110" s="0"/>
      <c r="E110" s="0"/>
      <c r="F110" s="0"/>
      <c r="G110" s="165" t="s">
        <v>291</v>
      </c>
      <c r="H110" s="161" t="n">
        <f aca="false">H56/(H33+0.000001)</f>
        <v>0</v>
      </c>
      <c r="I110" s="161" t="n">
        <f aca="false">I56/(I33+0.000001)</f>
        <v>-0</v>
      </c>
      <c r="J110" s="161" t="n">
        <f aca="false">J56/(J33+0.000001)</f>
        <v>-0</v>
      </c>
      <c r="K110" s="161" t="n">
        <f aca="false">K56/(K33+0.000001)</f>
        <v>0</v>
      </c>
      <c r="L110" s="161" t="n">
        <f aca="false">L56/(L33+0.000001)</f>
        <v>0</v>
      </c>
      <c r="M110" s="161" t="n">
        <f aca="false">M56/(M33+0.000001)</f>
        <v>0</v>
      </c>
      <c r="N110" s="161" t="n">
        <f aca="false">N56/(N33+0.000001)</f>
        <v>0</v>
      </c>
      <c r="O110" s="161" t="n">
        <f aca="false">O56/(O33+0.000001)</f>
        <v>0</v>
      </c>
      <c r="P110" s="161" t="n">
        <f aca="false">P56/(P33+0.000001)</f>
        <v>0</v>
      </c>
      <c r="Q110" s="161" t="n">
        <f aca="false">Q56/(Q33+0.000001)</f>
        <v>0</v>
      </c>
      <c r="R110" s="161" t="n">
        <f aca="false">R56/(R33+0.000001)</f>
        <v>0</v>
      </c>
      <c r="S110" s="161" t="n">
        <f aca="false">S56/(S33+0.000001)</f>
        <v>0</v>
      </c>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5.6" hidden="false" customHeight="false" outlineLevel="0" collapsed="false">
      <c r="A111" s="0"/>
      <c r="B111" s="0"/>
      <c r="C111" s="0"/>
      <c r="D111" s="0"/>
      <c r="E111" s="0"/>
      <c r="F111" s="0"/>
      <c r="G111" s="165" t="s">
        <v>291</v>
      </c>
      <c r="H111" s="216" t="n">
        <f aca="false">H57/(H32+0.000001)</f>
        <v>0</v>
      </c>
      <c r="I111" s="216" t="n">
        <f aca="false">I57/(I32+0.000001)</f>
        <v>0</v>
      </c>
      <c r="J111" s="216" t="n">
        <f aca="false">J57/(J32+0.000001)</f>
        <v>-0</v>
      </c>
      <c r="K111" s="216" t="n">
        <f aca="false">K57/(K32+0.000001)</f>
        <v>-0</v>
      </c>
      <c r="L111" s="216" t="n">
        <f aca="false">L57/(L32+0.000001)</f>
        <v>0</v>
      </c>
      <c r="M111" s="216" t="n">
        <f aca="false">M57/(M32+0.000001)</f>
        <v>0</v>
      </c>
      <c r="N111" s="216" t="n">
        <f aca="false">N57/(N32+0.000001)</f>
        <v>0</v>
      </c>
      <c r="O111" s="216" t="n">
        <f aca="false">O57/(O32+0.000001)</f>
        <v>0</v>
      </c>
      <c r="P111" s="216" t="n">
        <f aca="false">P57/(P32+0.000001)</f>
        <v>0</v>
      </c>
      <c r="Q111" s="216" t="n">
        <f aca="false">Q57/(Q32+0.000001)</f>
        <v>0</v>
      </c>
      <c r="R111" s="216" t="n">
        <f aca="false">R57/(R32+0.000001)</f>
        <v>0</v>
      </c>
      <c r="S111" s="216" t="n">
        <f aca="false">S57/(S32+0.000001)</f>
        <v>0</v>
      </c>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5.6" hidden="false" customHeight="false" outlineLevel="0" collapsed="false">
      <c r="A112" s="0"/>
      <c r="B112" s="0"/>
      <c r="C112" s="0"/>
      <c r="D112" s="0"/>
      <c r="E112" s="0"/>
      <c r="F112" s="0"/>
      <c r="G112" s="77" t="s">
        <v>297</v>
      </c>
      <c r="H112" s="217" t="n">
        <f aca="false">SIGN(H110+0.000000000001)*SIGN(H111+0.000000000001)</f>
        <v>1</v>
      </c>
      <c r="I112" s="217" t="n">
        <f aca="false">SIGN(I110+0.000000000001)*SIGN(I111+0.000000000001)</f>
        <v>1</v>
      </c>
      <c r="J112" s="217" t="n">
        <f aca="false">SIGN(J110+0.000000000001)*SIGN(J111+0.000000000001)</f>
        <v>1</v>
      </c>
      <c r="K112" s="217" t="n">
        <f aca="false">SIGN(K110+0.000000000001)*SIGN(K111+0.000000000001)</f>
        <v>1</v>
      </c>
      <c r="L112" s="217" t="n">
        <f aca="false">SIGN(L110+0.000000000001)*SIGN(L111+0.000000000001)</f>
        <v>1</v>
      </c>
      <c r="M112" s="217" t="n">
        <f aca="false">SIGN(M110+0.000000000001)*SIGN(M111+0.000000000001)</f>
        <v>1</v>
      </c>
      <c r="N112" s="217" t="n">
        <f aca="false">SIGN(N110+0.000000000001)*SIGN(N111+0.000000000001)</f>
        <v>1</v>
      </c>
      <c r="O112" s="217" t="n">
        <f aca="false">SIGN(O110+0.000000000001)*SIGN(O111+0.000000000001)</f>
        <v>1</v>
      </c>
      <c r="P112" s="217" t="n">
        <f aca="false">SIGN(P110+0.000000000001)*SIGN(P111+0.000000000001)</f>
        <v>1</v>
      </c>
      <c r="Q112" s="217" t="n">
        <f aca="false">SIGN(Q110+0.000000000001)*SIGN(Q111+0.000000000001)</f>
        <v>1</v>
      </c>
      <c r="R112" s="217" t="n">
        <f aca="false">SIGN(R110+0.000000000001)*SIGN(R111+0.000000000001)</f>
        <v>1</v>
      </c>
      <c r="S112" s="217" t="n">
        <f aca="false">SIGN(S110+0.000000000001)*SIGN(S111+0.000000000001)</f>
        <v>1</v>
      </c>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5.6" hidden="false" customHeight="false" outlineLevel="0" collapsed="false">
      <c r="A113" s="0"/>
      <c r="B113" s="0"/>
      <c r="C113" s="0"/>
      <c r="D113" s="0"/>
      <c r="E113" s="0"/>
      <c r="F113" s="0"/>
      <c r="G113" s="77" t="s">
        <v>292</v>
      </c>
      <c r="H113" s="161" t="n">
        <f aca="false">IF(H112*MIN(ABS(H110),ABS(H111))&gt;1,0,H112*MIN(ABS(H110),ABS(H111)))</f>
        <v>0</v>
      </c>
      <c r="I113" s="161" t="n">
        <f aca="false">IF(I112*MIN(ABS(I110),ABS(I111))&gt;1,0,I112*MIN(ABS(I110),ABS(I111)))</f>
        <v>0</v>
      </c>
      <c r="J113" s="161" t="n">
        <f aca="false">IF(J112*MIN(ABS(J110),ABS(J111))&gt;1,0,J112*MIN(ABS(J110),ABS(J111)))</f>
        <v>0</v>
      </c>
      <c r="K113" s="161" t="n">
        <f aca="false">IF(K112*MIN(ABS(K110),ABS(K111))&gt;1,0,K112*MIN(ABS(K110),ABS(K111)))</f>
        <v>0</v>
      </c>
      <c r="L113" s="161" t="n">
        <f aca="false">IF(L112*MIN(ABS(L110),ABS(L111))&gt;1,0,L112*MIN(ABS(L110),ABS(L111)))</f>
        <v>0</v>
      </c>
      <c r="M113" s="161" t="n">
        <f aca="false">IF(M112*MIN(ABS(M110),ABS(M111))&gt;1,0,M112*MIN(ABS(M110),ABS(M111)))</f>
        <v>0</v>
      </c>
      <c r="N113" s="161" t="n">
        <f aca="false">IF(N112*MIN(ABS(N110),ABS(N111))&gt;1,0,N112*MIN(ABS(N110),ABS(N111)))</f>
        <v>0</v>
      </c>
      <c r="O113" s="161" t="n">
        <f aca="false">IF(O112*MIN(ABS(O110),ABS(O111))&gt;1,0,O112*MIN(ABS(O110),ABS(O111)))</f>
        <v>0</v>
      </c>
      <c r="P113" s="161" t="n">
        <f aca="false">IF(P112*MIN(ABS(P110),ABS(P111))&gt;1,0,P112*MIN(ABS(P110),ABS(P111)))</f>
        <v>0</v>
      </c>
      <c r="Q113" s="161" t="n">
        <f aca="false">IF(Q112*MIN(ABS(Q110),ABS(Q111))&gt;1,0,Q112*MIN(ABS(Q110),ABS(Q111)))</f>
        <v>0</v>
      </c>
      <c r="R113" s="161" t="n">
        <f aca="false">IF(R112*MIN(ABS(R110),ABS(R111))&gt;1,0,R112*MIN(ABS(R110),ABS(R111)))</f>
        <v>0</v>
      </c>
      <c r="S113" s="161" t="n">
        <f aca="false">IF(S112*MIN(ABS(S110),ABS(S111))&gt;1,0,S112*MIN(ABS(S110),ABS(S111)))</f>
        <v>0</v>
      </c>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5.6" hidden="false" customHeight="false" outlineLevel="0" collapsed="false">
      <c r="A114" s="0"/>
      <c r="B114" s="0"/>
      <c r="C114" s="0"/>
      <c r="D114" s="0"/>
      <c r="E114" s="0"/>
      <c r="F114" s="0"/>
      <c r="G114" s="0"/>
      <c r="H114" s="153" t="s">
        <v>298</v>
      </c>
      <c r="I114" s="153"/>
      <c r="J114" s="153"/>
      <c r="K114" s="153"/>
      <c r="L114" s="153"/>
      <c r="M114" s="153"/>
      <c r="N114" s="153"/>
      <c r="O114" s="153"/>
      <c r="P114" s="153"/>
      <c r="Q114" s="153"/>
      <c r="R114" s="153"/>
      <c r="S114" s="153"/>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s="131" customFormat="true" ht="15.6" hidden="false" customHeight="false" outlineLevel="0" collapsed="false">
      <c r="A115" s="77"/>
      <c r="B115" s="77"/>
      <c r="C115" s="77"/>
      <c r="G115" s="214" t="s">
        <v>291</v>
      </c>
      <c r="H115" s="131" t="n">
        <f aca="false">-H57/(H31+0.000001)</f>
        <v>-0</v>
      </c>
      <c r="I115" s="131" t="n">
        <f aca="false">-I57/(I31+0.000001)</f>
        <v>-0</v>
      </c>
      <c r="J115" s="131" t="n">
        <f aca="false">-J57/(J31+0.000001)</f>
        <v>-0</v>
      </c>
      <c r="K115" s="131" t="n">
        <f aca="false">-K57/(K31+0.000001)</f>
        <v>-0</v>
      </c>
      <c r="L115" s="131" t="n">
        <f aca="false">-L57/(L31+0.000001)</f>
        <v>-0</v>
      </c>
      <c r="M115" s="131" t="n">
        <f aca="false">-M57/(M31+0.000001)</f>
        <v>-0</v>
      </c>
      <c r="N115" s="131" t="n">
        <f aca="false">-N57/(N31+0.000001)</f>
        <v>-0</v>
      </c>
      <c r="O115" s="131" t="n">
        <f aca="false">-O57/(O31+0.000001)</f>
        <v>-0</v>
      </c>
      <c r="P115" s="131" t="n">
        <f aca="false">-P57/(P31+0.000001)</f>
        <v>-0</v>
      </c>
      <c r="Q115" s="131" t="n">
        <f aca="false">-Q57/(Q31+0.000001)</f>
        <v>-0</v>
      </c>
      <c r="R115" s="131" t="n">
        <f aca="false">-R57/(R31+0.000001)</f>
        <v>-0</v>
      </c>
      <c r="S115" s="131" t="n">
        <f aca="false">-S57/(S31+0.000001)</f>
        <v>-0</v>
      </c>
    </row>
    <row r="116" s="131" customFormat="true" ht="15.6" hidden="false" customHeight="false" outlineLevel="0" collapsed="false">
      <c r="A116" s="77"/>
      <c r="B116" s="77"/>
      <c r="C116" s="77"/>
      <c r="G116" s="214" t="s">
        <v>291</v>
      </c>
      <c r="H116" s="131" t="n">
        <f aca="false">H55/(H33+0.000001)</f>
        <v>0</v>
      </c>
      <c r="I116" s="131" t="n">
        <f aca="false">I55/(I33+0.000001)</f>
        <v>-0</v>
      </c>
      <c r="J116" s="131" t="n">
        <f aca="false">J55/(J33+0.000001)</f>
        <v>-0</v>
      </c>
      <c r="K116" s="131" t="n">
        <f aca="false">K55/(K33+0.000001)</f>
        <v>0</v>
      </c>
      <c r="L116" s="131" t="n">
        <f aca="false">L55/(L33+0.000001)</f>
        <v>0</v>
      </c>
      <c r="M116" s="131" t="n">
        <f aca="false">M55/(M33+0.000001)</f>
        <v>0</v>
      </c>
      <c r="N116" s="131" t="n">
        <f aca="false">N55/(N33+0.000001)</f>
        <v>0</v>
      </c>
      <c r="O116" s="131" t="n">
        <f aca="false">O55/(O33+0.000001)</f>
        <v>0</v>
      </c>
      <c r="P116" s="131" t="n">
        <f aca="false">P55/(P33+0.000001)</f>
        <v>0</v>
      </c>
      <c r="Q116" s="131" t="n">
        <f aca="false">Q55/(Q33+0.000001)</f>
        <v>0</v>
      </c>
      <c r="R116" s="131" t="n">
        <f aca="false">R55/(R33+0.000001)</f>
        <v>0</v>
      </c>
      <c r="S116" s="131" t="n">
        <f aca="false">S55/(S33+0.000001)</f>
        <v>0</v>
      </c>
    </row>
    <row r="117" customFormat="false" ht="15.6" hidden="false" customHeight="false" outlineLevel="0" collapsed="false">
      <c r="A117" s="0"/>
      <c r="B117" s="0"/>
      <c r="C117" s="0"/>
      <c r="D117" s="131"/>
      <c r="E117" s="131"/>
      <c r="F117" s="131"/>
      <c r="G117" s="131" t="s">
        <v>297</v>
      </c>
      <c r="H117" s="218" t="n">
        <f aca="false">SIGN(H115+0.000000000001)*SIGN(H116+0.000000000001)</f>
        <v>1</v>
      </c>
      <c r="I117" s="218" t="n">
        <f aca="false">SIGN(I115+0.000000000001)*SIGN(I116+0.000000000001)</f>
        <v>1</v>
      </c>
      <c r="J117" s="218" t="n">
        <f aca="false">SIGN(J115+0.000000000001)*SIGN(J116+0.000000000001)</f>
        <v>1</v>
      </c>
      <c r="K117" s="218" t="n">
        <f aca="false">SIGN(K115+0.000000000001)*SIGN(K116+0.000000000001)</f>
        <v>1</v>
      </c>
      <c r="L117" s="218" t="n">
        <f aca="false">SIGN(L115+0.000000000001)*SIGN(L116+0.000000000001)</f>
        <v>1</v>
      </c>
      <c r="M117" s="218" t="n">
        <f aca="false">SIGN(M115+0.000000000001)*SIGN(M116+0.000000000001)</f>
        <v>1</v>
      </c>
      <c r="N117" s="218" t="n">
        <f aca="false">SIGN(N115+0.000000000001)*SIGN(N116+0.000000000001)</f>
        <v>1</v>
      </c>
      <c r="O117" s="218" t="n">
        <f aca="false">SIGN(O115+0.000000000001)*SIGN(O116+0.000000000001)</f>
        <v>1</v>
      </c>
      <c r="P117" s="218" t="n">
        <f aca="false">SIGN(P115+0.000000000001)*SIGN(P116+0.000000000001)</f>
        <v>1</v>
      </c>
      <c r="Q117" s="218" t="n">
        <f aca="false">SIGN(Q115+0.000000000001)*SIGN(Q116+0.000000000001)</f>
        <v>1</v>
      </c>
      <c r="R117" s="218" t="n">
        <f aca="false">SIGN(R115+0.000000000001)*SIGN(R116+0.000000000001)</f>
        <v>1</v>
      </c>
      <c r="S117" s="218" t="n">
        <f aca="false">SIGN(S115+0.000000000001)*SIGN(S116+0.000000000001)</f>
        <v>1</v>
      </c>
    </row>
    <row r="118" customFormat="false" ht="15.6" hidden="false" customHeight="false" outlineLevel="0" collapsed="false">
      <c r="A118" s="0"/>
      <c r="B118" s="0"/>
      <c r="C118" s="0"/>
      <c r="D118" s="131"/>
      <c r="E118" s="131"/>
      <c r="F118" s="131"/>
      <c r="G118" s="131" t="s">
        <v>292</v>
      </c>
      <c r="H118" s="219" t="n">
        <f aca="false">IF(H117*MIN(ABS(H115),ABS(H116))&gt;1,0,H117*MIN(ABS(H115),ABS(H116)))</f>
        <v>0</v>
      </c>
      <c r="I118" s="219" t="n">
        <f aca="false">IF(I117*MIN(ABS(I115),ABS(I116))&gt;1,0,I117*MIN(ABS(I115),ABS(I116)))</f>
        <v>0</v>
      </c>
      <c r="J118" s="219" t="n">
        <f aca="false">IF(J117*MIN(ABS(J115),ABS(J116))&gt;1,0,J117*MIN(ABS(J115),ABS(J116)))</f>
        <v>0</v>
      </c>
      <c r="K118" s="219" t="n">
        <f aca="false">IF(K117*MIN(ABS(K115),ABS(K116))&gt;1,0,K117*MIN(ABS(K115),ABS(K116)))</f>
        <v>0</v>
      </c>
      <c r="L118" s="219" t="n">
        <f aca="false">IF(L117*MIN(ABS(L115),ABS(L116))&gt;1,0,L117*MIN(ABS(L115),ABS(L116)))</f>
        <v>0</v>
      </c>
      <c r="M118" s="219" t="n">
        <f aca="false">IF(M117*MIN(ABS(M115),ABS(M116))&gt;1,0,M117*MIN(ABS(M115),ABS(M116)))</f>
        <v>0</v>
      </c>
      <c r="N118" s="219" t="n">
        <f aca="false">IF(N117*MIN(ABS(N115),ABS(N116))&gt;1,0,N117*MIN(ABS(N115),ABS(N116)))</f>
        <v>0</v>
      </c>
      <c r="O118" s="219" t="n">
        <f aca="false">IF(O117*MIN(ABS(O115),ABS(O116))&gt;1,0,O117*MIN(ABS(O115),ABS(O116)))</f>
        <v>0</v>
      </c>
      <c r="P118" s="219" t="n">
        <f aca="false">IF(P117*MIN(ABS(P115),ABS(P116))&gt;1,0,P117*MIN(ABS(P115),ABS(P116)))</f>
        <v>0</v>
      </c>
      <c r="Q118" s="219" t="n">
        <f aca="false">IF(Q117*MIN(ABS(Q115),ABS(Q116))&gt;1,0,Q117*MIN(ABS(Q115),ABS(Q116)))</f>
        <v>0</v>
      </c>
      <c r="R118" s="219" t="n">
        <f aca="false">IF(R117*MIN(ABS(R115),ABS(R116))&gt;1,0,R117*MIN(ABS(R115),ABS(R116)))</f>
        <v>0</v>
      </c>
      <c r="S118" s="219" t="n">
        <f aca="false">IF(S117*MIN(ABS(S115),ABS(S116))&gt;1,0,S117*MIN(ABS(S115),ABS(S116)))</f>
        <v>0</v>
      </c>
    </row>
    <row r="119" customFormat="false" ht="15.6" hidden="false" customHeight="false" outlineLevel="0" collapsed="false">
      <c r="A119" s="0"/>
      <c r="B119" s="0"/>
      <c r="C119" s="0"/>
      <c r="G119" s="0"/>
      <c r="H119" s="153" t="s">
        <v>299</v>
      </c>
      <c r="I119" s="153"/>
      <c r="J119" s="153"/>
      <c r="K119" s="153"/>
      <c r="L119" s="153"/>
      <c r="M119" s="153"/>
      <c r="N119" s="153"/>
      <c r="O119" s="153"/>
      <c r="P119" s="153"/>
      <c r="Q119" s="153"/>
      <c r="R119" s="153"/>
      <c r="S119" s="153"/>
    </row>
    <row r="120" customFormat="false" ht="15.6" hidden="false" customHeight="false" outlineLevel="0" collapsed="false">
      <c r="A120" s="0"/>
      <c r="B120" s="243"/>
      <c r="C120" s="0"/>
      <c r="G120" s="165" t="s">
        <v>291</v>
      </c>
      <c r="H120" s="161" t="n">
        <f aca="false">H56/(H31+0.000001)</f>
        <v>0</v>
      </c>
      <c r="I120" s="161" t="n">
        <f aca="false">I56/(I31+0.000001)</f>
        <v>0</v>
      </c>
      <c r="J120" s="161" t="n">
        <f aca="false">J56/(J31+0.000001)</f>
        <v>0</v>
      </c>
      <c r="K120" s="161" t="n">
        <f aca="false">K56/(K31+0.000001)</f>
        <v>0</v>
      </c>
      <c r="L120" s="161" t="n">
        <f aca="false">L56/(L31+0.000001)</f>
        <v>0</v>
      </c>
      <c r="M120" s="161" t="n">
        <f aca="false">M56/(M31+0.000001)</f>
        <v>0</v>
      </c>
      <c r="N120" s="161" t="n">
        <f aca="false">N56/(N31+0.000001)</f>
        <v>0</v>
      </c>
      <c r="O120" s="161" t="n">
        <f aca="false">O56/(O31+0.000001)</f>
        <v>0</v>
      </c>
      <c r="P120" s="161" t="n">
        <f aca="false">P56/(P31+0.000001)</f>
        <v>0</v>
      </c>
      <c r="Q120" s="161" t="n">
        <f aca="false">Q56/(Q31+0.000001)</f>
        <v>0</v>
      </c>
      <c r="R120" s="161" t="n">
        <f aca="false">R56/(R31+0.000001)</f>
        <v>0</v>
      </c>
      <c r="S120" s="161" t="n">
        <f aca="false">S56/(S31+0.000001)</f>
        <v>0</v>
      </c>
    </row>
    <row r="121" customFormat="false" ht="15.6" hidden="false" customHeight="false" outlineLevel="0" collapsed="false">
      <c r="A121" s="0"/>
      <c r="B121" s="0"/>
      <c r="C121" s="0"/>
      <c r="G121" s="165" t="s">
        <v>291</v>
      </c>
      <c r="H121" s="77" t="n">
        <f aca="false">H55/(H32+0.000001)</f>
        <v>0</v>
      </c>
      <c r="I121" s="77" t="n">
        <f aca="false">I55/(I32+0.000001)</f>
        <v>0</v>
      </c>
      <c r="J121" s="77" t="n">
        <f aca="false">J55/(J32+0.000001)</f>
        <v>-0</v>
      </c>
      <c r="K121" s="77" t="n">
        <f aca="false">K55/(K32+0.000001)</f>
        <v>-0</v>
      </c>
      <c r="L121" s="77" t="n">
        <f aca="false">L55/(L32+0.000001)</f>
        <v>0</v>
      </c>
      <c r="M121" s="77" t="n">
        <f aca="false">M55/(M32+0.000001)</f>
        <v>0</v>
      </c>
      <c r="N121" s="77" t="n">
        <f aca="false">N55/(N32+0.000001)</f>
        <v>0</v>
      </c>
      <c r="O121" s="77" t="n">
        <f aca="false">O55/(O32+0.000001)</f>
        <v>0</v>
      </c>
      <c r="P121" s="77" t="n">
        <f aca="false">P55/(P32+0.000001)</f>
        <v>0</v>
      </c>
      <c r="Q121" s="77" t="n">
        <f aca="false">Q55/(Q32+0.000001)</f>
        <v>0</v>
      </c>
      <c r="R121" s="77" t="n">
        <f aca="false">R55/(R32+0.000001)</f>
        <v>0</v>
      </c>
      <c r="S121" s="77" t="n">
        <f aca="false">S55/(S32+0.000001)</f>
        <v>0</v>
      </c>
    </row>
    <row r="122" customFormat="false" ht="15.6" hidden="false" customHeight="false" outlineLevel="0" collapsed="false">
      <c r="A122" s="0"/>
      <c r="B122" s="0"/>
      <c r="C122" s="0"/>
      <c r="G122" s="77" t="s">
        <v>297</v>
      </c>
      <c r="H122" s="217" t="n">
        <f aca="false">SIGN(H120+0.000000000001)*SIGN(H121+0.000000000001)</f>
        <v>1</v>
      </c>
      <c r="I122" s="217" t="n">
        <f aca="false">SIGN(I120+0.000000000001)*SIGN(I121+0.000000000001)</f>
        <v>1</v>
      </c>
      <c r="J122" s="217" t="n">
        <f aca="false">SIGN(J120+0.000000000001)*SIGN(J121+0.000000000001)</f>
        <v>1</v>
      </c>
      <c r="K122" s="217" t="n">
        <f aca="false">SIGN(K120+0.000000000001)*SIGN(K121+0.000000000001)</f>
        <v>1</v>
      </c>
      <c r="L122" s="217" t="n">
        <f aca="false">SIGN(L120+0.000000000001)*SIGN(L121+0.000000000001)</f>
        <v>1</v>
      </c>
      <c r="M122" s="217" t="n">
        <f aca="false">SIGN(M120+0.000000000001)*SIGN(M121+0.000000000001)</f>
        <v>1</v>
      </c>
      <c r="N122" s="217" t="n">
        <f aca="false">SIGN(N120+0.000000000001)*SIGN(N121+0.000000000001)</f>
        <v>1</v>
      </c>
      <c r="O122" s="217" t="n">
        <f aca="false">SIGN(O120+0.000000000001)*SIGN(O121+0.000000000001)</f>
        <v>1</v>
      </c>
      <c r="P122" s="217" t="n">
        <f aca="false">SIGN(P120+0.000000000001)*SIGN(P121+0.000000000001)</f>
        <v>1</v>
      </c>
      <c r="Q122" s="217" t="n">
        <f aca="false">SIGN(Q120+0.000000000001)*SIGN(Q121+0.000000000001)</f>
        <v>1</v>
      </c>
      <c r="R122" s="217" t="n">
        <f aca="false">SIGN(R120+0.000000000001)*SIGN(R121+0.000000000001)</f>
        <v>1</v>
      </c>
      <c r="S122" s="217" t="n">
        <f aca="false">SIGN(S120+0.000000000001)*SIGN(S121+0.000000000001)</f>
        <v>1</v>
      </c>
    </row>
    <row r="123" customFormat="false" ht="15.6" hidden="false" customHeight="false" outlineLevel="0" collapsed="false">
      <c r="A123" s="0"/>
      <c r="B123" s="0"/>
      <c r="C123" s="0"/>
      <c r="G123" s="77" t="s">
        <v>292</v>
      </c>
      <c r="H123" s="161" t="n">
        <f aca="false">IF(H122*MIN(ABS(H120),ABS(H121))&gt;1,0,H122*MIN(ABS(H120),ABS(H121)))</f>
        <v>0</v>
      </c>
      <c r="I123" s="161" t="n">
        <f aca="false">IF(I122*MIN(ABS(I120),ABS(I121))&gt;1,0,I122*MIN(ABS(I120),ABS(I121)))</f>
        <v>0</v>
      </c>
      <c r="J123" s="161" t="n">
        <f aca="false">IF(J122*MIN(ABS(J120),ABS(J121))&gt;1,0,J122*MIN(ABS(J120),ABS(J121)))</f>
        <v>0</v>
      </c>
      <c r="K123" s="161" t="n">
        <f aca="false">IF(K122*MIN(ABS(K120),ABS(K121))&gt;1,0,K122*MIN(ABS(K120),ABS(K121)))</f>
        <v>0</v>
      </c>
      <c r="L123" s="161" t="n">
        <f aca="false">IF(L122*MIN(ABS(L120),ABS(L121))&gt;1,0,L122*MIN(ABS(L120),ABS(L121)))</f>
        <v>0</v>
      </c>
      <c r="M123" s="161" t="n">
        <f aca="false">IF(M122*MIN(ABS(M120),ABS(M121))&gt;1,0,M122*MIN(ABS(M120),ABS(M121)))</f>
        <v>0</v>
      </c>
      <c r="N123" s="161" t="n">
        <f aca="false">IF(N122*MIN(ABS(N120),ABS(N121))&gt;1,0,N122*MIN(ABS(N120),ABS(N121)))</f>
        <v>0</v>
      </c>
      <c r="O123" s="161" t="n">
        <f aca="false">IF(O122*MIN(ABS(O120),ABS(O121))&gt;1,0,O122*MIN(ABS(O120),ABS(O121)))</f>
        <v>0</v>
      </c>
      <c r="P123" s="161" t="n">
        <f aca="false">IF(P122*MIN(ABS(P120),ABS(P121))&gt;1,0,P122*MIN(ABS(P120),ABS(P121)))</f>
        <v>0</v>
      </c>
      <c r="Q123" s="161" t="n">
        <f aca="false">IF(Q122*MIN(ABS(Q120),ABS(Q121))&gt;1,0,Q122*MIN(ABS(Q120),ABS(Q121)))</f>
        <v>0</v>
      </c>
      <c r="R123" s="161" t="n">
        <f aca="false">IF(R122*MIN(ABS(R120),ABS(R121))&gt;1,0,R122*MIN(ABS(R120),ABS(R121)))</f>
        <v>0</v>
      </c>
      <c r="S123" s="161" t="n">
        <f aca="false">IF(S122*MIN(ABS(S120),ABS(S121))&gt;1,0,S122*MIN(ABS(S120),ABS(S121)))</f>
        <v>0</v>
      </c>
    </row>
  </sheetData>
  <mergeCells count="9">
    <mergeCell ref="E3:M3"/>
    <mergeCell ref="E4:M4"/>
    <mergeCell ref="F5:F10"/>
    <mergeCell ref="A22:M22"/>
    <mergeCell ref="H29:S29"/>
    <mergeCell ref="A32:C34"/>
    <mergeCell ref="H34:K34"/>
    <mergeCell ref="H38:K38"/>
    <mergeCell ref="H64:H69"/>
  </mergeCells>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1:123"/>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E32" activeCellId="0" sqref="E32"/>
    </sheetView>
  </sheetViews>
  <sheetFormatPr defaultRowHeight="15.6"/>
  <cols>
    <col collapsed="false" hidden="false" max="1" min="1" style="77" width="46.4481481481482"/>
    <col collapsed="false" hidden="false" max="2" min="2" style="77" width="23.2259259259259"/>
    <col collapsed="false" hidden="false" max="3" min="3" style="77" width="39.7851851851852"/>
    <col collapsed="false" hidden="false" max="4" min="4" style="77" width="12.2481481481481"/>
    <col collapsed="false" hidden="false" max="6" min="5" style="77" width="7.34814814814815"/>
    <col collapsed="false" hidden="false" max="7" min="7" style="77" width="26.0666666666667"/>
    <col collapsed="false" hidden="false" max="8" min="8" style="77" width="13.4259259259259"/>
    <col collapsed="false" hidden="false" max="11" min="9" style="77" width="11.2703703703704"/>
    <col collapsed="false" hidden="false" max="12" min="12" style="77" width="16.5592592592593"/>
    <col collapsed="false" hidden="false" max="1025" min="13" style="77" width="11.2703703703704"/>
  </cols>
  <sheetData>
    <row r="1" customFormat="false" ht="15.6" hidden="false" customHeight="false" outlineLevel="0" collapsed="false">
      <c r="A1" s="132" t="str">
        <f aca="false">'CSs and Loads'!A78</f>
        <v>CS 3</v>
      </c>
      <c r="B1" s="244" t="str">
        <f aca="false">'CSs and Loads'!A88</f>
        <v>Crossbeam</v>
      </c>
      <c r="C1" s="0"/>
      <c r="D1" s="0"/>
      <c r="E1" s="0"/>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6.2" hidden="false" customHeight="false" outlineLevel="0" collapsed="false">
      <c r="A2" s="134" t="s">
        <v>196</v>
      </c>
      <c r="B2" s="0"/>
      <c r="C2" s="0"/>
      <c r="D2" s="0"/>
      <c r="E2" s="136"/>
      <c r="F2" s="136"/>
      <c r="G2" s="136"/>
      <c r="H2" s="136"/>
      <c r="I2" s="191"/>
      <c r="J2" s="136"/>
      <c r="K2" s="136"/>
      <c r="L2" s="137"/>
      <c r="M2" s="137"/>
      <c r="N2" s="138"/>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6" hidden="false" customHeight="false" outlineLevel="0" collapsed="false">
      <c r="A3" s="134" t="s">
        <v>197</v>
      </c>
      <c r="B3" s="0"/>
      <c r="C3" s="0"/>
      <c r="D3" s="220"/>
      <c r="E3" s="140" t="s">
        <v>198</v>
      </c>
      <c r="F3" s="140"/>
      <c r="G3" s="140"/>
      <c r="H3" s="140"/>
      <c r="I3" s="140"/>
      <c r="J3" s="140"/>
      <c r="K3" s="140"/>
      <c r="L3" s="140"/>
      <c r="M3" s="140"/>
      <c r="N3" s="141"/>
      <c r="O3" s="142"/>
      <c r="P3" s="142"/>
      <c r="Q3" s="142"/>
      <c r="R3" s="142"/>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5.6" hidden="false" customHeight="false" outlineLevel="0" collapsed="false">
      <c r="A4" s="134" t="s">
        <v>199</v>
      </c>
      <c r="B4" s="143" t="s">
        <v>311</v>
      </c>
      <c r="C4" s="245" t="s">
        <v>201</v>
      </c>
      <c r="D4" s="246"/>
      <c r="E4" s="146" t="s">
        <v>312</v>
      </c>
      <c r="F4" s="146"/>
      <c r="G4" s="146"/>
      <c r="H4" s="146"/>
      <c r="I4" s="146"/>
      <c r="J4" s="146"/>
      <c r="K4" s="146"/>
      <c r="L4" s="146"/>
      <c r="M4" s="146"/>
      <c r="N4" s="141"/>
      <c r="O4" s="0"/>
      <c r="P4" s="0"/>
      <c r="Q4" s="0"/>
      <c r="R4" s="142"/>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5.6" hidden="false" customHeight="false" outlineLevel="0" collapsed="false">
      <c r="A5" s="247" t="s">
        <v>203</v>
      </c>
      <c r="B5" s="143" t="s">
        <v>313</v>
      </c>
      <c r="C5" s="248" t="s">
        <v>205</v>
      </c>
      <c r="D5" s="246" t="n">
        <v>25</v>
      </c>
      <c r="E5" s="148" t="s">
        <v>206</v>
      </c>
      <c r="F5" s="149" t="s">
        <v>207</v>
      </c>
      <c r="G5" s="150" t="n">
        <f aca="false">B11/(B16*B7)</f>
        <v>8.49056603773585E-006</v>
      </c>
      <c r="H5" s="151" t="n">
        <v>0</v>
      </c>
      <c r="I5" s="151" t="n">
        <v>0</v>
      </c>
      <c r="J5" s="151" t="n">
        <v>0</v>
      </c>
      <c r="K5" s="151" t="n">
        <v>0</v>
      </c>
      <c r="L5" s="151" t="n">
        <v>0</v>
      </c>
      <c r="M5" s="152" t="s">
        <v>208</v>
      </c>
      <c r="N5" s="141"/>
      <c r="O5" s="0"/>
      <c r="P5" s="0"/>
      <c r="Q5" s="0"/>
      <c r="R5" s="142"/>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5.6" hidden="false" customHeight="false" outlineLevel="0" collapsed="false">
      <c r="A6" s="247" t="s">
        <v>209</v>
      </c>
      <c r="B6" s="143" t="s">
        <v>314</v>
      </c>
      <c r="C6" s="248" t="s">
        <v>211</v>
      </c>
      <c r="D6" s="246" t="n">
        <f aca="false">1770*9.8</f>
        <v>17346</v>
      </c>
      <c r="E6" s="148" t="s">
        <v>212</v>
      </c>
      <c r="F6" s="149"/>
      <c r="G6" s="151" t="n">
        <v>0</v>
      </c>
      <c r="H6" s="150" t="n">
        <f aca="false">B11^2*(B12^2-2*B11*B12+B11^2)/(3*B7*B17*B12)</f>
        <v>0.000343867924528302</v>
      </c>
      <c r="I6" s="151" t="n">
        <v>0</v>
      </c>
      <c r="J6" s="151" t="n">
        <v>0</v>
      </c>
      <c r="K6" s="151" t="n">
        <v>0</v>
      </c>
      <c r="L6" s="150" t="n">
        <f aca="false">-(B11*(B12^2-3*B12*B11+2*B11^2))/(3*B7*B17*B12)</f>
        <v>-0</v>
      </c>
      <c r="M6" s="152" t="s">
        <v>213</v>
      </c>
      <c r="N6" s="141"/>
      <c r="O6" s="0"/>
      <c r="P6" s="0"/>
      <c r="Q6" s="0"/>
      <c r="R6" s="142"/>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5" hidden="false" customHeight="false" outlineLevel="0" collapsed="false">
      <c r="A7" s="153" t="s">
        <v>214</v>
      </c>
      <c r="B7" s="154" t="n">
        <f aca="false">10.6*10^9/(10^6)</f>
        <v>10600</v>
      </c>
      <c r="C7" s="248" t="s">
        <v>215</v>
      </c>
      <c r="D7" s="246" t="n">
        <f aca="false">647*1000</f>
        <v>647000</v>
      </c>
      <c r="E7" s="148" t="s">
        <v>216</v>
      </c>
      <c r="F7" s="149"/>
      <c r="G7" s="151" t="n">
        <v>0</v>
      </c>
      <c r="H7" s="151" t="n">
        <v>0</v>
      </c>
      <c r="I7" s="150" t="n">
        <f aca="false">(B11^2*(B12^2-2*B12*B11+B11^2))/(3*B7*B18*B12)</f>
        <v>0.00137547169811321</v>
      </c>
      <c r="J7" s="151" t="n">
        <v>0</v>
      </c>
      <c r="K7" s="150" t="n">
        <f aca="false">(B11*(B12^2-3*B12*B11+2*B11^2))/(3*B7*B18*B12)</f>
        <v>0</v>
      </c>
      <c r="L7" s="151" t="n">
        <v>0</v>
      </c>
      <c r="M7" s="152" t="s">
        <v>217</v>
      </c>
      <c r="N7" s="141"/>
      <c r="O7" s="0"/>
      <c r="P7" s="0"/>
      <c r="Q7" s="0"/>
      <c r="R7" s="142"/>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5.6" hidden="false" customHeight="false" outlineLevel="0" collapsed="false">
      <c r="A8" s="153" t="s">
        <v>218</v>
      </c>
      <c r="B8" s="134" t="n">
        <v>0.25</v>
      </c>
      <c r="C8" s="248" t="s">
        <v>219</v>
      </c>
      <c r="D8" s="246" t="n">
        <v>3</v>
      </c>
      <c r="E8" s="148" t="s">
        <v>220</v>
      </c>
      <c r="F8" s="149"/>
      <c r="G8" s="151" t="n">
        <v>0</v>
      </c>
      <c r="H8" s="151" t="n">
        <v>0</v>
      </c>
      <c r="I8" s="151" t="n">
        <v>0</v>
      </c>
      <c r="J8" s="150" t="n">
        <f aca="false">B11/(B19*B9)</f>
        <v>2.0377358490566E-008</v>
      </c>
      <c r="K8" s="151" t="n">
        <v>0</v>
      </c>
      <c r="L8" s="151" t="n">
        <v>0</v>
      </c>
      <c r="M8" s="152" t="s">
        <v>221</v>
      </c>
      <c r="N8" s="141"/>
      <c r="O8" s="0"/>
      <c r="P8" s="0"/>
      <c r="Q8" s="0"/>
      <c r="R8" s="142"/>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5.6" hidden="false" customHeight="false" outlineLevel="0" collapsed="false">
      <c r="A9" s="153" t="s">
        <v>222</v>
      </c>
      <c r="B9" s="155" t="n">
        <f aca="false">B7/(2*(1+B8))</f>
        <v>4240</v>
      </c>
      <c r="C9" s="248" t="s">
        <v>223</v>
      </c>
      <c r="D9" s="246" t="n">
        <v>0.01</v>
      </c>
      <c r="E9" s="148" t="s">
        <v>224</v>
      </c>
      <c r="F9" s="149"/>
      <c r="G9" s="151" t="n">
        <v>0</v>
      </c>
      <c r="H9" s="151" t="n">
        <v>0</v>
      </c>
      <c r="I9" s="150" t="n">
        <f aca="false">(B11*(B12^2-3*B11*B12+2*B11^2))/(B7*B18*B12)</f>
        <v>0</v>
      </c>
      <c r="J9" s="151" t="n">
        <v>0</v>
      </c>
      <c r="K9" s="150" t="n">
        <f aca="false">(2*B12^2-3*B12*B11+3*B11^2)/(3*B7*B18*B12)</f>
        <v>3.39622641509434E-008</v>
      </c>
      <c r="L9" s="151" t="n">
        <v>0</v>
      </c>
      <c r="M9" s="152" t="s">
        <v>225</v>
      </c>
      <c r="N9" s="141"/>
      <c r="O9" s="0"/>
      <c r="P9" s="0"/>
      <c r="Q9" s="0"/>
      <c r="R9" s="142"/>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6.2" hidden="false" customHeight="false" outlineLevel="0" collapsed="false">
      <c r="A10" s="212" t="s">
        <v>315</v>
      </c>
      <c r="B10" s="134"/>
      <c r="C10" s="248" t="s">
        <v>227</v>
      </c>
      <c r="D10" s="249" t="n">
        <f aca="false">D6/(D8*D9)</f>
        <v>578200</v>
      </c>
      <c r="E10" s="157" t="s">
        <v>228</v>
      </c>
      <c r="F10" s="149"/>
      <c r="G10" s="151" t="n">
        <v>0</v>
      </c>
      <c r="H10" s="150" t="n">
        <f aca="false">(B11*(B12^2-3*B12*B11+2*B11^2))/(B7*B17*B12)</f>
        <v>0</v>
      </c>
      <c r="I10" s="151" t="n">
        <v>0</v>
      </c>
      <c r="J10" s="151" t="n">
        <v>0</v>
      </c>
      <c r="K10" s="151" t="n">
        <v>0</v>
      </c>
      <c r="L10" s="158" t="n">
        <f aca="false">(2*B12^2-3*B12*B11+3*B11^2)/(3*B7*B17*B12)</f>
        <v>8.49056603773585E-009</v>
      </c>
      <c r="M10" s="160" t="s">
        <v>229</v>
      </c>
      <c r="N10" s="141"/>
      <c r="O10" s="0"/>
      <c r="P10" s="0"/>
      <c r="Q10" s="0"/>
      <c r="R10" s="142"/>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6.2" hidden="false" customHeight="false" outlineLevel="0" collapsed="false">
      <c r="A11" s="153" t="s">
        <v>230</v>
      </c>
      <c r="B11" s="250" t="n">
        <v>450</v>
      </c>
      <c r="C11" s="248" t="s">
        <v>231</v>
      </c>
      <c r="D11" s="245" t="n">
        <v>25</v>
      </c>
      <c r="E11" s="187"/>
      <c r="F11" s="187"/>
      <c r="G11" s="152" t="s">
        <v>208</v>
      </c>
      <c r="H11" s="152" t="s">
        <v>213</v>
      </c>
      <c r="I11" s="152" t="s">
        <v>217</v>
      </c>
      <c r="J11" s="152" t="s">
        <v>221</v>
      </c>
      <c r="K11" s="152" t="s">
        <v>225</v>
      </c>
      <c r="L11" s="160" t="s">
        <v>229</v>
      </c>
      <c r="M11" s="187"/>
      <c r="N11" s="0"/>
      <c r="O11" s="165"/>
      <c r="P11" s="0"/>
      <c r="Q11" s="0"/>
      <c r="R11" s="142"/>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5.6" hidden="false" customHeight="false" outlineLevel="0" collapsed="false">
      <c r="A12" s="153" t="s">
        <v>232</v>
      </c>
      <c r="B12" s="208" t="n">
        <f aca="false">'CSs and Loads'!C53*2</f>
        <v>900</v>
      </c>
      <c r="C12" s="248" t="s">
        <v>233</v>
      </c>
      <c r="D12" s="251" t="n">
        <f aca="false">D7*D11^2/4</f>
        <v>101093750</v>
      </c>
      <c r="E12" s="0"/>
      <c r="F12" s="0"/>
      <c r="G12" s="0"/>
      <c r="H12" s="0"/>
      <c r="I12" s="134"/>
      <c r="J12" s="0"/>
      <c r="K12" s="0"/>
      <c r="L12" s="0"/>
      <c r="M12" s="0"/>
      <c r="N12" s="0"/>
      <c r="O12" s="165"/>
      <c r="P12" s="0"/>
      <c r="Q12" s="0"/>
      <c r="R12" s="142"/>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5" hidden="false" customHeight="false" outlineLevel="0" collapsed="false">
      <c r="A13" s="153" t="s">
        <v>316</v>
      </c>
      <c r="B13" s="134" t="n">
        <v>50</v>
      </c>
      <c r="C13" s="248" t="s">
        <v>235</v>
      </c>
      <c r="D13" s="251" t="n">
        <f aca="false">D7*D11^2/12</f>
        <v>33697916.6666667</v>
      </c>
      <c r="E13" s="0"/>
      <c r="F13" s="0"/>
      <c r="G13" s="0"/>
      <c r="H13" s="0"/>
      <c r="I13" s="134"/>
      <c r="J13" s="0"/>
      <c r="K13" s="0"/>
      <c r="L13" s="0"/>
      <c r="M13" s="0"/>
      <c r="N13" s="0"/>
      <c r="O13" s="165"/>
      <c r="P13" s="0"/>
      <c r="Q13" s="0"/>
      <c r="R13" s="142"/>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5.6" hidden="false" customHeight="false" outlineLevel="0" collapsed="false">
      <c r="A14" s="153" t="s">
        <v>317</v>
      </c>
      <c r="B14" s="134" t="n">
        <v>100</v>
      </c>
      <c r="C14" s="248" t="s">
        <v>237</v>
      </c>
      <c r="D14" s="251" t="n">
        <f aca="false">D13</f>
        <v>33697916.6666667</v>
      </c>
      <c r="E14" s="0"/>
      <c r="F14" s="0"/>
      <c r="G14" s="0"/>
      <c r="H14" s="0"/>
      <c r="I14" s="134"/>
      <c r="J14" s="0"/>
      <c r="K14" s="0"/>
      <c r="L14" s="77" t="s">
        <v>318</v>
      </c>
      <c r="M14" s="0"/>
      <c r="N14" s="0"/>
      <c r="O14" s="165"/>
      <c r="P14" s="0"/>
      <c r="Q14" s="0"/>
      <c r="R14" s="142"/>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5.6" hidden="false" customHeight="false" outlineLevel="0" collapsed="false">
      <c r="A15" s="153" t="s">
        <v>304</v>
      </c>
      <c r="B15" s="209" t="s">
        <v>250</v>
      </c>
      <c r="C15" s="252" t="s">
        <v>239</v>
      </c>
      <c r="D15" s="245"/>
      <c r="E15" s="0"/>
      <c r="F15" s="0"/>
      <c r="G15" s="0"/>
      <c r="H15" s="0"/>
      <c r="I15" s="134"/>
      <c r="J15" s="0"/>
      <c r="K15" s="0"/>
      <c r="L15" s="0"/>
      <c r="M15" s="0"/>
      <c r="N15" s="0"/>
      <c r="O15" s="165"/>
      <c r="P15" s="0"/>
      <c r="Q15" s="0"/>
      <c r="R15" s="142"/>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5.6" hidden="false" customHeight="false" outlineLevel="0" collapsed="false">
      <c r="A16" s="153" t="s">
        <v>240</v>
      </c>
      <c r="B16" s="155" t="n">
        <f aca="false">B13*B14</f>
        <v>5000</v>
      </c>
      <c r="C16" s="253" t="s">
        <v>241</v>
      </c>
      <c r="D16" s="254" t="s">
        <v>319</v>
      </c>
      <c r="E16" s="0"/>
      <c r="F16" s="0"/>
      <c r="G16" s="0"/>
      <c r="H16" s="0"/>
      <c r="I16" s="134"/>
      <c r="J16" s="0"/>
      <c r="K16" s="0"/>
      <c r="L16" s="0"/>
      <c r="M16" s="0"/>
      <c r="N16" s="0"/>
      <c r="O16" s="165"/>
      <c r="P16" s="0"/>
      <c r="Q16" s="0"/>
      <c r="R16" s="142"/>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5.6" hidden="false" customHeight="false" outlineLevel="0" collapsed="false">
      <c r="A17" s="153" t="s">
        <v>242</v>
      </c>
      <c r="B17" s="175" t="n">
        <f aca="false">(B13*B14^3)/12</f>
        <v>4166666.66666667</v>
      </c>
      <c r="C17" s="248" t="s">
        <v>243</v>
      </c>
      <c r="D17" s="245" t="n">
        <v>12</v>
      </c>
      <c r="E17" s="0"/>
      <c r="F17" s="0"/>
      <c r="G17" s="0"/>
      <c r="H17" s="0"/>
      <c r="I17" s="134"/>
      <c r="J17" s="0"/>
      <c r="K17" s="0"/>
      <c r="L17" s="0"/>
      <c r="M17" s="0"/>
      <c r="N17" s="0"/>
      <c r="O17" s="165"/>
      <c r="P17" s="0"/>
      <c r="Q17" s="0"/>
      <c r="R17" s="142"/>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5.6" hidden="false" customHeight="false" outlineLevel="0" collapsed="false">
      <c r="A18" s="153" t="s">
        <v>244</v>
      </c>
      <c r="B18" s="175" t="n">
        <f aca="false">(B14*B13^3)/12</f>
        <v>1041666.66666667</v>
      </c>
      <c r="C18" s="248" t="s">
        <v>232</v>
      </c>
      <c r="D18" s="251" t="n">
        <v>100</v>
      </c>
      <c r="E18" s="0"/>
      <c r="F18" s="0"/>
      <c r="G18" s="0"/>
      <c r="H18" s="0"/>
      <c r="I18" s="134"/>
      <c r="J18" s="0"/>
      <c r="K18" s="0"/>
      <c r="L18" s="0"/>
      <c r="M18" s="0"/>
      <c r="N18" s="0"/>
      <c r="O18" s="165"/>
      <c r="P18" s="0"/>
      <c r="Q18" s="0"/>
      <c r="R18" s="142"/>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5.6" hidden="false" customHeight="false" outlineLevel="0" collapsed="false">
      <c r="A19" s="153" t="s">
        <v>245</v>
      </c>
      <c r="B19" s="172" t="n">
        <f aca="false">B13*B14*(B13^2+B14^2)/12</f>
        <v>5208333.33333333</v>
      </c>
      <c r="C19" s="248" t="s">
        <v>246</v>
      </c>
      <c r="D19" s="255" t="n">
        <v>200000</v>
      </c>
      <c r="E19" s="0"/>
      <c r="F19" s="0"/>
      <c r="G19" s="0"/>
      <c r="H19" s="0"/>
      <c r="I19" s="134"/>
      <c r="J19" s="0"/>
      <c r="K19" s="0"/>
      <c r="L19" s="0"/>
      <c r="M19" s="0"/>
      <c r="N19" s="0"/>
      <c r="O19" s="165"/>
      <c r="P19" s="0"/>
      <c r="Q19" s="0"/>
      <c r="R19" s="142"/>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5.6" hidden="false" customHeight="false" outlineLevel="0" collapsed="false">
      <c r="A20" s="153" t="s">
        <v>247</v>
      </c>
      <c r="B20" s="155" t="n">
        <f aca="false">B18/B16</f>
        <v>208.333333333333</v>
      </c>
      <c r="C20" s="248" t="s">
        <v>248</v>
      </c>
      <c r="D20" s="256" t="n">
        <f aca="false">PI()*D17^2/4*D19/D18</f>
        <v>226194.671058465</v>
      </c>
      <c r="E20" s="0"/>
      <c r="F20" s="0"/>
      <c r="G20" s="0"/>
      <c r="H20" s="0"/>
      <c r="I20" s="134"/>
      <c r="J20" s="0"/>
      <c r="K20" s="0"/>
      <c r="L20" s="0"/>
      <c r="M20" s="0"/>
      <c r="N20" s="0"/>
      <c r="O20" s="165"/>
      <c r="P20" s="0"/>
      <c r="Q20" s="0"/>
      <c r="R20" s="142"/>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6.2" hidden="false" customHeight="false" outlineLevel="0" collapsed="false">
      <c r="A21" s="178" t="s">
        <v>320</v>
      </c>
      <c r="B21" s="179" t="n">
        <f aca="false">3*B7*B18/B12^3</f>
        <v>45.4389574759945</v>
      </c>
      <c r="C21" s="257" t="s">
        <v>251</v>
      </c>
      <c r="D21" s="258" t="n">
        <v>3</v>
      </c>
      <c r="E21" s="136"/>
      <c r="F21" s="136"/>
      <c r="G21" s="136"/>
      <c r="H21" s="136"/>
      <c r="I21" s="259"/>
      <c r="J21" s="136"/>
      <c r="K21" s="136"/>
      <c r="L21" s="136"/>
      <c r="M21" s="136"/>
      <c r="N21" s="0"/>
      <c r="O21" s="165"/>
      <c r="P21" s="0"/>
      <c r="Q21" s="0"/>
      <c r="R21" s="142"/>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6.2" hidden="false" customHeight="false" outlineLevel="0" collapsed="false">
      <c r="A22" s="182" t="s">
        <v>321</v>
      </c>
      <c r="B22" s="182"/>
      <c r="C22" s="182"/>
      <c r="D22" s="182"/>
      <c r="E22" s="182"/>
      <c r="F22" s="182"/>
      <c r="G22" s="182"/>
      <c r="H22" s="182"/>
      <c r="I22" s="182"/>
      <c r="J22" s="182"/>
      <c r="K22" s="182"/>
      <c r="L22" s="182"/>
      <c r="M22" s="182"/>
      <c r="N22" s="141"/>
      <c r="O22" s="165"/>
      <c r="P22" s="0"/>
      <c r="Q22" s="0"/>
      <c r="R22" s="142"/>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31.2" hidden="false" customHeight="false" outlineLevel="0" collapsed="false">
      <c r="A23" s="184" t="s">
        <v>253</v>
      </c>
      <c r="B23" s="185"/>
      <c r="C23" s="186" t="s">
        <v>254</v>
      </c>
      <c r="D23" s="187"/>
      <c r="E23" s="187"/>
      <c r="F23" s="187"/>
      <c r="G23" s="187"/>
      <c r="H23" s="221"/>
      <c r="I23" s="221"/>
      <c r="J23" s="187"/>
      <c r="K23" s="187"/>
      <c r="L23" s="187"/>
      <c r="M23" s="187"/>
      <c r="N23" s="0"/>
      <c r="O23" s="165"/>
      <c r="P23" s="0"/>
      <c r="Q23" s="0"/>
      <c r="R23" s="142"/>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5.6" hidden="false" customHeight="false" outlineLevel="0" collapsed="false">
      <c r="A24" s="153" t="s">
        <v>255</v>
      </c>
      <c r="B24" s="25"/>
      <c r="C24" s="131"/>
      <c r="D24" s="0"/>
      <c r="E24" s="0"/>
      <c r="F24" s="0"/>
      <c r="G24" s="0"/>
      <c r="H24" s="0"/>
      <c r="I24" s="0"/>
      <c r="J24" s="0"/>
      <c r="K24" s="0"/>
      <c r="L24" s="0"/>
      <c r="M24" s="0"/>
      <c r="N24" s="0"/>
      <c r="O24" s="142"/>
      <c r="P24" s="142"/>
      <c r="Q24" s="142"/>
      <c r="R24" s="142"/>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5.6" hidden="false" customHeight="false" outlineLevel="0" collapsed="false">
      <c r="A25" s="87" t="s">
        <v>113</v>
      </c>
      <c r="B25" s="188" t="n">
        <f aca="false">SUM(H35:S35)+C25</f>
        <v>2588000</v>
      </c>
      <c r="C25" s="189" t="n">
        <v>0</v>
      </c>
      <c r="D25" s="0"/>
      <c r="E25" s="0"/>
      <c r="F25" s="0"/>
      <c r="G25" s="0"/>
      <c r="H25" s="0"/>
      <c r="I25" s="0"/>
      <c r="J25" s="0"/>
      <c r="K25" s="0"/>
      <c r="L25" s="0"/>
      <c r="M25" s="0"/>
      <c r="N25" s="0"/>
      <c r="O25" s="142"/>
      <c r="P25" s="142"/>
      <c r="Q25" s="142"/>
      <c r="R25" s="142"/>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5.6" hidden="false" customHeight="false" outlineLevel="0" collapsed="false">
      <c r="A26" s="87" t="s">
        <v>116</v>
      </c>
      <c r="B26" s="188" t="n">
        <f aca="false">SUM(H36:S36)+C26</f>
        <v>2588000</v>
      </c>
      <c r="C26" s="189" t="n">
        <v>0</v>
      </c>
      <c r="D26" s="0"/>
      <c r="E26" s="0"/>
      <c r="F26" s="0"/>
      <c r="G26" s="191" t="s">
        <v>256</v>
      </c>
      <c r="H26" s="0"/>
      <c r="I26" s="0"/>
      <c r="J26" s="0"/>
      <c r="K26" s="0"/>
      <c r="L26" s="0"/>
      <c r="M26" s="0"/>
      <c r="N26" s="0"/>
      <c r="O26" s="142"/>
      <c r="P26" s="142"/>
      <c r="Q26" s="142"/>
      <c r="R26" s="142"/>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5.6" hidden="false" customHeight="false" outlineLevel="0" collapsed="false">
      <c r="A27" s="87" t="s">
        <v>118</v>
      </c>
      <c r="B27" s="188" t="n">
        <f aca="false">SUM(H37:S37)+C27</f>
        <v>75398.223686155</v>
      </c>
      <c r="C27" s="190" t="n">
        <f aca="false">D20/D21</f>
        <v>75398.223686155</v>
      </c>
      <c r="D27" s="0"/>
      <c r="E27" s="0"/>
      <c r="F27" s="0"/>
      <c r="G27" s="134" t="s">
        <v>257</v>
      </c>
      <c r="H27" s="0"/>
      <c r="I27" s="0"/>
      <c r="J27" s="0"/>
      <c r="K27" s="0"/>
      <c r="L27" s="0"/>
      <c r="M27" s="0"/>
      <c r="N27" s="0"/>
      <c r="O27" s="142"/>
      <c r="P27" s="142"/>
      <c r="Q27" s="142"/>
      <c r="R27" s="142"/>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5.6" hidden="false" customHeight="false" outlineLevel="0" collapsed="false">
      <c r="A28" s="153" t="s">
        <v>258</v>
      </c>
      <c r="B28" s="25"/>
      <c r="C28" s="192"/>
      <c r="D28" s="87"/>
      <c r="E28" s="87"/>
      <c r="F28" s="87"/>
      <c r="G28" s="194" t="s">
        <v>259</v>
      </c>
      <c r="H28" s="195" t="n">
        <v>4</v>
      </c>
      <c r="I28" s="0"/>
      <c r="J28" s="0"/>
      <c r="K28" s="0"/>
      <c r="L28" s="0"/>
      <c r="M28" s="0"/>
      <c r="N28" s="0"/>
      <c r="O28" s="142"/>
      <c r="P28" s="142"/>
      <c r="Q28" s="142"/>
      <c r="R28" s="142"/>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5.6" hidden="false" customHeight="false" outlineLevel="0" collapsed="false">
      <c r="A29" s="87" t="s">
        <v>120</v>
      </c>
      <c r="B29" s="188" t="n">
        <f aca="false">SUM(H39:S39)+SUM(H43:S43)+C29</f>
        <v>26284375000</v>
      </c>
      <c r="C29" s="189" t="n">
        <v>0</v>
      </c>
      <c r="D29" s="87"/>
      <c r="E29" s="87"/>
      <c r="F29" s="87"/>
      <c r="G29" s="0"/>
      <c r="H29" s="76" t="s">
        <v>260</v>
      </c>
      <c r="I29" s="76"/>
      <c r="J29" s="76"/>
      <c r="K29" s="76"/>
      <c r="L29" s="76"/>
      <c r="M29" s="76"/>
      <c r="N29" s="76"/>
      <c r="O29" s="76"/>
      <c r="P29" s="76"/>
      <c r="Q29" s="76"/>
      <c r="R29" s="76"/>
      <c r="S29" s="76"/>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5.6" hidden="false" customHeight="false" outlineLevel="0" collapsed="false">
      <c r="A30" s="87" t="s">
        <v>123</v>
      </c>
      <c r="B30" s="188" t="n">
        <f aca="false">SUM(H40:S40)+SUM(H44:S44)+C30</f>
        <v>26014791666.6667</v>
      </c>
      <c r="C30" s="189" t="n">
        <v>0</v>
      </c>
      <c r="D30" s="87"/>
      <c r="E30" s="87"/>
      <c r="F30" s="87"/>
      <c r="G30" s="134" t="s">
        <v>261</v>
      </c>
      <c r="H30" s="85" t="n">
        <v>1</v>
      </c>
      <c r="I30" s="85" t="n">
        <f aca="false">H30+1</f>
        <v>2</v>
      </c>
      <c r="J30" s="85" t="n">
        <f aca="false">I30+1</f>
        <v>3</v>
      </c>
      <c r="K30" s="85" t="n">
        <f aca="false">J30+1</f>
        <v>4</v>
      </c>
      <c r="L30" s="85" t="n">
        <f aca="false">K30+1</f>
        <v>5</v>
      </c>
      <c r="M30" s="85" t="n">
        <f aca="false">L30+1</f>
        <v>6</v>
      </c>
      <c r="N30" s="85" t="n">
        <f aca="false">M30+1</f>
        <v>7</v>
      </c>
      <c r="O30" s="85" t="n">
        <f aca="false">N30+1</f>
        <v>8</v>
      </c>
      <c r="P30" s="85" t="n">
        <f aca="false">O30+1</f>
        <v>9</v>
      </c>
      <c r="Q30" s="85" t="n">
        <f aca="false">P30+1</f>
        <v>10</v>
      </c>
      <c r="R30" s="85" t="n">
        <f aca="false">Q30+1</f>
        <v>11</v>
      </c>
      <c r="S30" s="85" t="n">
        <f aca="false">R30+1</f>
        <v>12</v>
      </c>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5.6" hidden="false" customHeight="false" outlineLevel="0" collapsed="false">
      <c r="A31" s="87" t="s">
        <v>125</v>
      </c>
      <c r="B31" s="188" t="n">
        <f aca="false">SUM(H41:S41)+SUM(H45:S45)+C31</f>
        <v>26014791666.6667</v>
      </c>
      <c r="C31" s="189" t="n">
        <v>0</v>
      </c>
      <c r="D31" s="87"/>
      <c r="E31" s="87"/>
      <c r="F31" s="87"/>
      <c r="G31" s="153" t="s">
        <v>262</v>
      </c>
      <c r="H31" s="195" t="n">
        <v>100</v>
      </c>
      <c r="I31" s="195" t="n">
        <v>-100</v>
      </c>
      <c r="J31" s="195" t="n">
        <v>-100</v>
      </c>
      <c r="K31" s="195" t="n">
        <v>100</v>
      </c>
      <c r="L31" s="195" t="n">
        <v>0</v>
      </c>
      <c r="M31" s="195" t="n">
        <v>0</v>
      </c>
      <c r="N31" s="195" t="n">
        <v>0</v>
      </c>
      <c r="O31" s="195" t="n">
        <v>0</v>
      </c>
      <c r="P31" s="195" t="n">
        <v>0</v>
      </c>
      <c r="Q31" s="195" t="n">
        <v>0</v>
      </c>
      <c r="R31" s="195" t="n">
        <v>0</v>
      </c>
      <c r="S31" s="195" t="n">
        <v>0</v>
      </c>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5.6" hidden="false" customHeight="true" outlineLevel="0" collapsed="false">
      <c r="A32" s="207" t="s">
        <v>264</v>
      </c>
      <c r="B32" s="207"/>
      <c r="C32" s="207"/>
      <c r="D32" s="87"/>
      <c r="E32" s="87"/>
      <c r="F32" s="87"/>
      <c r="G32" s="153" t="s">
        <v>265</v>
      </c>
      <c r="H32" s="195" t="n">
        <v>0</v>
      </c>
      <c r="I32" s="195" t="n">
        <v>0</v>
      </c>
      <c r="J32" s="195" t="n">
        <v>0</v>
      </c>
      <c r="K32" s="195" t="n">
        <v>0</v>
      </c>
      <c r="L32" s="195" t="n">
        <v>0</v>
      </c>
      <c r="M32" s="195" t="n">
        <v>0</v>
      </c>
      <c r="N32" s="195" t="n">
        <v>0</v>
      </c>
      <c r="O32" s="195" t="n">
        <v>0</v>
      </c>
      <c r="P32" s="195" t="n">
        <v>0</v>
      </c>
      <c r="Q32" s="195" t="n">
        <v>0</v>
      </c>
      <c r="R32" s="195" t="n">
        <v>0</v>
      </c>
      <c r="S32" s="195" t="n">
        <v>0</v>
      </c>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5.6" hidden="false" customHeight="false" outlineLevel="0" collapsed="false">
      <c r="A33" s="207"/>
      <c r="B33" s="207"/>
      <c r="C33" s="207"/>
      <c r="D33" s="87"/>
      <c r="E33" s="87"/>
      <c r="F33" s="87"/>
      <c r="G33" s="153" t="s">
        <v>267</v>
      </c>
      <c r="H33" s="195" t="n">
        <v>100</v>
      </c>
      <c r="I33" s="195" t="n">
        <v>100</v>
      </c>
      <c r="J33" s="195" t="n">
        <v>-100</v>
      </c>
      <c r="K33" s="195" t="n">
        <v>-100</v>
      </c>
      <c r="L33" s="195" t="n">
        <v>0</v>
      </c>
      <c r="M33" s="195" t="n">
        <v>0</v>
      </c>
      <c r="N33" s="195" t="n">
        <v>0</v>
      </c>
      <c r="O33" s="195" t="n">
        <v>0</v>
      </c>
      <c r="P33" s="195" t="n">
        <v>0</v>
      </c>
      <c r="Q33" s="195" t="n">
        <v>0</v>
      </c>
      <c r="R33" s="195" t="n">
        <v>0</v>
      </c>
      <c r="S33" s="195" t="n">
        <v>0</v>
      </c>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5.6" hidden="false" customHeight="false" outlineLevel="0" collapsed="false">
      <c r="A34" s="207"/>
      <c r="B34" s="207"/>
      <c r="C34" s="207"/>
      <c r="D34" s="0"/>
      <c r="E34" s="0"/>
      <c r="F34" s="0"/>
      <c r="G34" s="134" t="s">
        <v>270</v>
      </c>
      <c r="H34" s="238"/>
      <c r="I34" s="238"/>
      <c r="J34" s="238"/>
      <c r="K34" s="238"/>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5.6" hidden="false" customHeight="false" outlineLevel="0" collapsed="false">
      <c r="A35" s="201" t="s">
        <v>271</v>
      </c>
      <c r="B35" s="195"/>
      <c r="C35" s="195"/>
      <c r="D35" s="87"/>
      <c r="E35" s="87"/>
      <c r="F35" s="87"/>
      <c r="G35" s="153" t="s">
        <v>113</v>
      </c>
      <c r="H35" s="202" t="n">
        <f aca="false">D7</f>
        <v>647000</v>
      </c>
      <c r="I35" s="202" t="n">
        <f aca="false">H35</f>
        <v>647000</v>
      </c>
      <c r="J35" s="202" t="n">
        <f aca="false">I35</f>
        <v>647000</v>
      </c>
      <c r="K35" s="202" t="n">
        <f aca="false">J35</f>
        <v>647000</v>
      </c>
      <c r="L35" s="195" t="n">
        <v>0</v>
      </c>
      <c r="M35" s="195" t="n">
        <v>0</v>
      </c>
      <c r="N35" s="195" t="n">
        <v>0</v>
      </c>
      <c r="O35" s="195" t="n">
        <v>0</v>
      </c>
      <c r="P35" s="195" t="n">
        <v>0</v>
      </c>
      <c r="Q35" s="195" t="n">
        <v>0</v>
      </c>
      <c r="R35" s="195" t="n">
        <v>0</v>
      </c>
      <c r="S35" s="195" t="n">
        <v>0</v>
      </c>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5.6" hidden="false" customHeight="false" outlineLevel="0" collapsed="false">
      <c r="A36" s="77" t="s">
        <v>28</v>
      </c>
      <c r="B36" s="0"/>
      <c r="C36" s="0"/>
      <c r="D36" s="87"/>
      <c r="E36" s="87"/>
      <c r="F36" s="87"/>
      <c r="G36" s="153" t="s">
        <v>116</v>
      </c>
      <c r="H36" s="202" t="n">
        <f aca="false">'ref bearings, servo, structure'!B5</f>
        <v>647000</v>
      </c>
      <c r="I36" s="202" t="n">
        <f aca="false">H36</f>
        <v>647000</v>
      </c>
      <c r="J36" s="202" t="n">
        <f aca="false">I36</f>
        <v>647000</v>
      </c>
      <c r="K36" s="202" t="n">
        <f aca="false">J36</f>
        <v>647000</v>
      </c>
      <c r="L36" s="195" t="n">
        <v>0</v>
      </c>
      <c r="M36" s="195" t="n">
        <v>0</v>
      </c>
      <c r="N36" s="195" t="n">
        <v>0</v>
      </c>
      <c r="O36" s="195" t="n">
        <v>0</v>
      </c>
      <c r="P36" s="195" t="n">
        <v>0</v>
      </c>
      <c r="Q36" s="195" t="n">
        <v>0</v>
      </c>
      <c r="R36" s="195" t="n">
        <v>0</v>
      </c>
      <c r="S36" s="195" t="n">
        <v>0</v>
      </c>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5.6" hidden="false" customHeight="false" outlineLevel="0" collapsed="false">
      <c r="A37" s="153" t="s">
        <v>273</v>
      </c>
      <c r="B37" s="195" t="n">
        <v>0</v>
      </c>
      <c r="C37" s="0"/>
      <c r="D37" s="87"/>
      <c r="E37" s="87"/>
      <c r="F37" s="87"/>
      <c r="G37" s="153" t="s">
        <v>118</v>
      </c>
      <c r="H37" s="202" t="n">
        <v>0</v>
      </c>
      <c r="I37" s="202" t="n">
        <v>0</v>
      </c>
      <c r="J37" s="202" t="n">
        <v>0</v>
      </c>
      <c r="K37" s="202" t="n">
        <v>0</v>
      </c>
      <c r="L37" s="195" t="n">
        <v>0</v>
      </c>
      <c r="M37" s="195" t="n">
        <v>0</v>
      </c>
      <c r="N37" s="195" t="n">
        <v>0</v>
      </c>
      <c r="O37" s="195" t="n">
        <v>0</v>
      </c>
      <c r="P37" s="195" t="n">
        <v>0</v>
      </c>
      <c r="Q37" s="195" t="n">
        <v>0</v>
      </c>
      <c r="R37" s="195" t="n">
        <v>0</v>
      </c>
      <c r="S37" s="195" t="n">
        <v>0</v>
      </c>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5.6" hidden="false" customHeight="false" outlineLevel="0" collapsed="false">
      <c r="A38" s="153" t="s">
        <v>274</v>
      </c>
      <c r="B38" s="195" t="n">
        <v>0</v>
      </c>
      <c r="C38" s="0"/>
      <c r="D38" s="87"/>
      <c r="E38" s="87"/>
      <c r="F38" s="87"/>
      <c r="G38" s="134" t="s">
        <v>275</v>
      </c>
      <c r="H38" s="238"/>
      <c r="I38" s="238"/>
      <c r="J38" s="238"/>
      <c r="K38" s="238"/>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5.6" hidden="false" customHeight="false" outlineLevel="0" collapsed="false">
      <c r="A39" s="153" t="s">
        <v>276</v>
      </c>
      <c r="B39" s="195" t="n">
        <v>0</v>
      </c>
      <c r="C39" s="0"/>
      <c r="D39" s="87"/>
      <c r="E39" s="87"/>
      <c r="F39" s="87"/>
      <c r="G39" s="153" t="s">
        <v>120</v>
      </c>
      <c r="H39" s="202" t="n">
        <f aca="false">'ref bearings, servo, structure'!B10</f>
        <v>101093750</v>
      </c>
      <c r="I39" s="202" t="n">
        <f aca="false">H39</f>
        <v>101093750</v>
      </c>
      <c r="J39" s="202" t="n">
        <f aca="false">I39</f>
        <v>101093750</v>
      </c>
      <c r="K39" s="202" t="n">
        <f aca="false">J39</f>
        <v>101093750</v>
      </c>
      <c r="L39" s="195" t="n">
        <v>0</v>
      </c>
      <c r="M39" s="195" t="n">
        <v>0</v>
      </c>
      <c r="N39" s="195" t="n">
        <v>0</v>
      </c>
      <c r="O39" s="195" t="n">
        <v>0</v>
      </c>
      <c r="P39" s="195" t="n">
        <v>0</v>
      </c>
      <c r="Q39" s="195" t="n">
        <v>0</v>
      </c>
      <c r="R39" s="195" t="n">
        <v>0</v>
      </c>
      <c r="S39" s="195" t="n">
        <v>0</v>
      </c>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5.6" hidden="false" customHeight="false" outlineLevel="0" collapsed="false">
      <c r="A40" s="165" t="s">
        <v>29</v>
      </c>
      <c r="B40" s="0"/>
      <c r="C40" s="0"/>
      <c r="D40" s="87"/>
      <c r="E40" s="87"/>
      <c r="F40" s="87"/>
      <c r="G40" s="153" t="s">
        <v>123</v>
      </c>
      <c r="H40" s="202" t="n">
        <f aca="false">'ref bearings, servo, structure'!B12</f>
        <v>33697916.6666667</v>
      </c>
      <c r="I40" s="202" t="n">
        <f aca="false">H40</f>
        <v>33697916.6666667</v>
      </c>
      <c r="J40" s="202" t="n">
        <f aca="false">I40</f>
        <v>33697916.6666667</v>
      </c>
      <c r="K40" s="202" t="n">
        <f aca="false">J40</f>
        <v>33697916.6666667</v>
      </c>
      <c r="L40" s="195" t="n">
        <v>0</v>
      </c>
      <c r="M40" s="195" t="n">
        <v>0</v>
      </c>
      <c r="N40" s="195" t="n">
        <v>0</v>
      </c>
      <c r="O40" s="195" t="n">
        <v>0</v>
      </c>
      <c r="P40" s="195" t="n">
        <v>0</v>
      </c>
      <c r="Q40" s="195" t="n">
        <v>0</v>
      </c>
      <c r="R40" s="195" t="n">
        <v>0</v>
      </c>
      <c r="S40" s="195" t="n">
        <v>0</v>
      </c>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5.6" hidden="false" customHeight="false" outlineLevel="0" collapsed="false">
      <c r="A41" s="153" t="s">
        <v>273</v>
      </c>
      <c r="B41" s="195" t="n">
        <v>0</v>
      </c>
      <c r="C41" s="0"/>
      <c r="D41" s="0"/>
      <c r="E41" s="0"/>
      <c r="F41" s="0"/>
      <c r="G41" s="153" t="s">
        <v>125</v>
      </c>
      <c r="H41" s="202" t="n">
        <f aca="false">'ref bearings, servo, structure'!B11</f>
        <v>33697916.6666667</v>
      </c>
      <c r="I41" s="202" t="n">
        <f aca="false">H41</f>
        <v>33697916.6666667</v>
      </c>
      <c r="J41" s="202" t="n">
        <f aca="false">I41</f>
        <v>33697916.6666667</v>
      </c>
      <c r="K41" s="202" t="n">
        <f aca="false">J41</f>
        <v>33697916.6666667</v>
      </c>
      <c r="L41" s="195" t="n">
        <v>0</v>
      </c>
      <c r="M41" s="195" t="n">
        <v>0</v>
      </c>
      <c r="N41" s="195" t="n">
        <v>0</v>
      </c>
      <c r="O41" s="195" t="n">
        <v>0</v>
      </c>
      <c r="P41" s="195" t="n">
        <v>0</v>
      </c>
      <c r="Q41" s="195" t="n">
        <v>0</v>
      </c>
      <c r="R41" s="195" t="n">
        <v>0</v>
      </c>
      <c r="S41" s="195" t="n">
        <v>0</v>
      </c>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5.6" hidden="false" customHeight="false" outlineLevel="0" collapsed="false">
      <c r="A42" s="153" t="s">
        <v>274</v>
      </c>
      <c r="B42" s="195" t="n">
        <v>0</v>
      </c>
      <c r="C42" s="0"/>
      <c r="D42" s="205"/>
      <c r="E42" s="205"/>
      <c r="F42" s="205"/>
      <c r="G42" s="134" t="s">
        <v>277</v>
      </c>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5.6" hidden="false" customHeight="false" outlineLevel="0" collapsed="false">
      <c r="A43" s="153" t="s">
        <v>276</v>
      </c>
      <c r="B43" s="195" t="n">
        <v>0</v>
      </c>
      <c r="C43" s="0"/>
      <c r="D43" s="131"/>
      <c r="E43" s="131"/>
      <c r="F43" s="131"/>
      <c r="G43" s="153" t="s">
        <v>120</v>
      </c>
      <c r="H43" s="188" t="n">
        <f aca="false">H36*H33^2+H37*H32^2</f>
        <v>6470000000</v>
      </c>
      <c r="I43" s="188" t="n">
        <f aca="false">I36*I33^2+I37*I32^2</f>
        <v>6470000000</v>
      </c>
      <c r="J43" s="188" t="n">
        <f aca="false">J36*J33^2+J37*J32^2</f>
        <v>6470000000</v>
      </c>
      <c r="K43" s="188" t="n">
        <f aca="false">K36*K33^2+K37*K32^2</f>
        <v>6470000000</v>
      </c>
      <c r="L43" s="24" t="n">
        <f aca="false">L36*L33^2+L37*L32^2</f>
        <v>0</v>
      </c>
      <c r="M43" s="24" t="n">
        <f aca="false">M36*M33^2+M37*M32^2</f>
        <v>0</v>
      </c>
      <c r="N43" s="24" t="n">
        <f aca="false">N36*N33^2+N37*N32^2</f>
        <v>0</v>
      </c>
      <c r="O43" s="24" t="n">
        <f aca="false">O36*O33^2+O37*O32^2</f>
        <v>0</v>
      </c>
      <c r="P43" s="24" t="n">
        <f aca="false">P36*P33^2+P37*P32^2</f>
        <v>0</v>
      </c>
      <c r="Q43" s="24" t="n">
        <f aca="false">Q36*Q33^2+Q37*Q32^2</f>
        <v>0</v>
      </c>
      <c r="R43" s="24" t="n">
        <f aca="false">R36*R33^2+R37*R32^2</f>
        <v>0</v>
      </c>
      <c r="S43" s="24" t="n">
        <f aca="false">S36*S33^2+S37*S32^2</f>
        <v>0</v>
      </c>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5.6" hidden="false" customHeight="false" outlineLevel="0" collapsed="false">
      <c r="A44" s="76" t="s">
        <v>278</v>
      </c>
      <c r="B44" s="0"/>
      <c r="C44" s="0"/>
      <c r="D44" s="189"/>
      <c r="E44" s="189"/>
      <c r="F44" s="189"/>
      <c r="G44" s="153" t="s">
        <v>123</v>
      </c>
      <c r="H44" s="188" t="n">
        <f aca="false">H35*H33^2+H37*H31^2</f>
        <v>6470000000</v>
      </c>
      <c r="I44" s="188" t="n">
        <f aca="false">I35*I33^2+I37*I31^2</f>
        <v>6470000000</v>
      </c>
      <c r="J44" s="188" t="n">
        <f aca="false">J35*J33^2+J37*J31^2</f>
        <v>6470000000</v>
      </c>
      <c r="K44" s="188" t="n">
        <f aca="false">K35*K33^2+K37*K31^2</f>
        <v>6470000000</v>
      </c>
      <c r="L44" s="24" t="n">
        <f aca="false">L35*L33^2+L37*L31^2</f>
        <v>0</v>
      </c>
      <c r="M44" s="24" t="n">
        <f aca="false">M35*M33^2+M37*M31^2</f>
        <v>0</v>
      </c>
      <c r="N44" s="24" t="n">
        <f aca="false">N35*N33^2+N37*N31^2</f>
        <v>0</v>
      </c>
      <c r="O44" s="24" t="n">
        <f aca="false">O35*O33^2+O37*O31^2</f>
        <v>0</v>
      </c>
      <c r="P44" s="24" t="n">
        <f aca="false">P35*P33^2+P37*P31^2</f>
        <v>0</v>
      </c>
      <c r="Q44" s="24" t="n">
        <f aca="false">Q35*Q33^2+Q37*Q31^2</f>
        <v>0</v>
      </c>
      <c r="R44" s="24" t="n">
        <f aca="false">R35*R33^2+R37*R31^2</f>
        <v>0</v>
      </c>
      <c r="S44" s="24" t="n">
        <f aca="false">S35*S33^2+S37*S31^2</f>
        <v>0</v>
      </c>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5.6" hidden="false" customHeight="false" outlineLevel="0" collapsed="false">
      <c r="A45" s="153" t="s">
        <v>279</v>
      </c>
      <c r="B45" s="24" t="n">
        <f aca="false">SQRT((H47^2+I47^2+J47^2+K47^2+L47^2+M47^2+N47^2+O47^2+P47^2+Q47^2+R47^2+S47^2)/H$28)</f>
        <v>0.005</v>
      </c>
      <c r="C45" s="87"/>
      <c r="D45" s="189"/>
      <c r="E45" s="189"/>
      <c r="F45" s="189"/>
      <c r="G45" s="153" t="s">
        <v>125</v>
      </c>
      <c r="H45" s="188" t="n">
        <f aca="false">H35*H32^2+H36*H31^2</f>
        <v>6470000000</v>
      </c>
      <c r="I45" s="188" t="n">
        <f aca="false">I35*I32^2+I36*I31^2</f>
        <v>6470000000</v>
      </c>
      <c r="J45" s="188" t="n">
        <f aca="false">J35*J32^2+J36*J31^2</f>
        <v>6470000000</v>
      </c>
      <c r="K45" s="188" t="n">
        <f aca="false">K35*K32^2+K36*K31^2</f>
        <v>6470000000</v>
      </c>
      <c r="L45" s="24" t="n">
        <f aca="false">L35*L32^2+L36*L31^2</f>
        <v>0</v>
      </c>
      <c r="M45" s="24" t="n">
        <f aca="false">M35*M32^2+M36*M31^2</f>
        <v>0</v>
      </c>
      <c r="N45" s="24" t="n">
        <f aca="false">N35*N32^2+N36*N31^2</f>
        <v>0</v>
      </c>
      <c r="O45" s="24" t="n">
        <f aca="false">O35*O32^2+O36*O31^2</f>
        <v>0</v>
      </c>
      <c r="P45" s="24" t="n">
        <f aca="false">P35*P32^2+P36*P31^2</f>
        <v>0</v>
      </c>
      <c r="Q45" s="24" t="n">
        <f aca="false">Q35*Q32^2+Q36*Q31^2</f>
        <v>0</v>
      </c>
      <c r="R45" s="24" t="n">
        <f aca="false">R35*R32^2+R36*R31^2</f>
        <v>0</v>
      </c>
      <c r="S45" s="24" t="n">
        <f aca="false">S35*S32^2+S36*S31^2</f>
        <v>0</v>
      </c>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5.6" hidden="false" customHeight="false" outlineLevel="0" collapsed="false">
      <c r="A46" s="153" t="s">
        <v>280</v>
      </c>
      <c r="B46" s="24" t="n">
        <f aca="false">SQRT((H48^2+I48^2+J48^2+K48^2+L48^2+M48^2+N48^2+O48^2+P48^2+Q48^2+R48^2+S48^2)/H$28)</f>
        <v>0.005</v>
      </c>
      <c r="C46" s="87"/>
      <c r="D46" s="189"/>
      <c r="E46" s="189"/>
      <c r="F46" s="189"/>
      <c r="G46" s="134" t="s">
        <v>281</v>
      </c>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5.6" hidden="false" customHeight="false" outlineLevel="0" collapsed="false">
      <c r="A47" s="153" t="s">
        <v>282</v>
      </c>
      <c r="B47" s="24" t="n">
        <f aca="false">SQRT((H49^2+I49^2+J49^2+K49^2+L49^2+M49^2+N49^2+O49^2+P49^2+Q49^2+R49^2+S49^2)/H$28)</f>
        <v>0.005</v>
      </c>
      <c r="C47" s="87"/>
      <c r="D47" s="192"/>
      <c r="E47" s="192"/>
      <c r="F47" s="192"/>
      <c r="G47" s="153" t="s">
        <v>279</v>
      </c>
      <c r="H47" s="195" t="n">
        <f aca="false">0.005</f>
        <v>0.005</v>
      </c>
      <c r="I47" s="195" t="n">
        <f aca="false">0.005</f>
        <v>0.005</v>
      </c>
      <c r="J47" s="195" t="n">
        <f aca="false">0.005</f>
        <v>0.005</v>
      </c>
      <c r="K47" s="195" t="n">
        <f aca="false">0.005</f>
        <v>0.005</v>
      </c>
      <c r="L47" s="195" t="n">
        <v>0</v>
      </c>
      <c r="M47" s="195" t="n">
        <v>0</v>
      </c>
      <c r="N47" s="195" t="n">
        <v>0</v>
      </c>
      <c r="O47" s="195" t="n">
        <v>0</v>
      </c>
      <c r="P47" s="195" t="n">
        <v>0</v>
      </c>
      <c r="Q47" s="195" t="n">
        <v>0</v>
      </c>
      <c r="R47" s="195" t="n">
        <v>0</v>
      </c>
      <c r="S47" s="195" t="n">
        <v>0</v>
      </c>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5.6" hidden="false" customHeight="false" outlineLevel="0" collapsed="false">
      <c r="A48" s="153" t="s">
        <v>97</v>
      </c>
      <c r="B48" s="24" t="n">
        <f aca="false">SQRT((H51^2+I51^2+J51^2+K51^2+L51^2+M51^2+N51^2+O51^2+P51^2+Q51^2+R51^2+S51^2+B37^2)/H$28)</f>
        <v>5E-005</v>
      </c>
      <c r="C48" s="87"/>
      <c r="D48" s="189"/>
      <c r="E48" s="189"/>
      <c r="F48" s="189"/>
      <c r="G48" s="153" t="s">
        <v>280</v>
      </c>
      <c r="H48" s="195" t="n">
        <f aca="false">0.005</f>
        <v>0.005</v>
      </c>
      <c r="I48" s="195" t="n">
        <f aca="false">0.005</f>
        <v>0.005</v>
      </c>
      <c r="J48" s="195" t="n">
        <f aca="false">0.005</f>
        <v>0.005</v>
      </c>
      <c r="K48" s="195" t="n">
        <f aca="false">0.005</f>
        <v>0.005</v>
      </c>
      <c r="L48" s="195" t="n">
        <v>0</v>
      </c>
      <c r="M48" s="195" t="n">
        <v>0</v>
      </c>
      <c r="N48" s="195" t="n">
        <v>0</v>
      </c>
      <c r="O48" s="195" t="n">
        <v>0</v>
      </c>
      <c r="P48" s="195" t="n">
        <v>0</v>
      </c>
      <c r="Q48" s="195" t="n">
        <v>0</v>
      </c>
      <c r="R48" s="195" t="n">
        <v>0</v>
      </c>
      <c r="S48" s="195" t="n">
        <v>0</v>
      </c>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5.6" hidden="false" customHeight="false" outlineLevel="0" collapsed="false">
      <c r="A49" s="153" t="s">
        <v>100</v>
      </c>
      <c r="B49" s="24" t="n">
        <f aca="false">SQRT((H52^2+I52^2+J52^2+K52^2+L52^2+M52^2+N52^2+O52^2+P52^2+Q52^2+R52^2+S52^2+B38^2)/H$28)</f>
        <v>4.999999975E-005</v>
      </c>
      <c r="C49" s="87"/>
      <c r="D49" s="189"/>
      <c r="E49" s="189"/>
      <c r="F49" s="189"/>
      <c r="G49" s="153" t="s">
        <v>282</v>
      </c>
      <c r="H49" s="195" t="n">
        <f aca="false">0.005</f>
        <v>0.005</v>
      </c>
      <c r="I49" s="195" t="n">
        <f aca="false">0.005</f>
        <v>0.005</v>
      </c>
      <c r="J49" s="195" t="n">
        <f aca="false">0.005</f>
        <v>0.005</v>
      </c>
      <c r="K49" s="195" t="n">
        <f aca="false">0.005</f>
        <v>0.005</v>
      </c>
      <c r="L49" s="195" t="n">
        <v>0</v>
      </c>
      <c r="M49" s="195" t="n">
        <v>0</v>
      </c>
      <c r="N49" s="195" t="n">
        <v>0</v>
      </c>
      <c r="O49" s="195" t="n">
        <v>0</v>
      </c>
      <c r="P49" s="195" t="n">
        <v>0</v>
      </c>
      <c r="Q49" s="195" t="n">
        <v>0</v>
      </c>
      <c r="R49" s="195" t="n">
        <v>0</v>
      </c>
      <c r="S49" s="195" t="n">
        <v>0</v>
      </c>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5.6" hidden="false" customHeight="false" outlineLevel="0" collapsed="false">
      <c r="A50" s="153" t="s">
        <v>104</v>
      </c>
      <c r="B50" s="24" t="n">
        <f aca="false">SQRT((H53^2+I53^2+J53^2+K53^2+L53^2+M53^2+N53^2+O53^2+P53^2+Q53^2+R53^2+S53^2+B39^2)/H$28)</f>
        <v>5E-005</v>
      </c>
      <c r="C50" s="87"/>
      <c r="D50" s="189"/>
      <c r="E50" s="189"/>
      <c r="F50" s="189"/>
      <c r="G50" s="134" t="s">
        <v>283</v>
      </c>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46.8" hidden="false" customHeight="false" outlineLevel="0" collapsed="false">
      <c r="A51" s="206" t="s">
        <v>284</v>
      </c>
      <c r="B51" s="25"/>
      <c r="C51" s="0"/>
      <c r="D51" s="207"/>
      <c r="E51" s="207"/>
      <c r="F51" s="207"/>
      <c r="G51" s="153" t="s">
        <v>97</v>
      </c>
      <c r="H51" s="188" t="n">
        <f aca="false">H98</f>
        <v>4.99999995E-005</v>
      </c>
      <c r="I51" s="188" t="n">
        <f aca="false">I98</f>
        <v>4.99999995E-005</v>
      </c>
      <c r="J51" s="188" t="n">
        <f aca="false">J98</f>
        <v>5.00000005E-005</v>
      </c>
      <c r="K51" s="188" t="n">
        <f aca="false">K98</f>
        <v>5.00000005E-005</v>
      </c>
      <c r="L51" s="188" t="n">
        <f aca="false">L98</f>
        <v>0</v>
      </c>
      <c r="M51" s="188" t="n">
        <f aca="false">M98</f>
        <v>0</v>
      </c>
      <c r="N51" s="188" t="n">
        <f aca="false">N98</f>
        <v>0</v>
      </c>
      <c r="O51" s="188" t="n">
        <f aca="false">O98</f>
        <v>0</v>
      </c>
      <c r="P51" s="188" t="n">
        <f aca="false">P98</f>
        <v>0</v>
      </c>
      <c r="Q51" s="188" t="n">
        <f aca="false">Q98</f>
        <v>0</v>
      </c>
      <c r="R51" s="188" t="n">
        <f aca="false">R98</f>
        <v>0</v>
      </c>
      <c r="S51" s="188" t="n">
        <f aca="false">S98</f>
        <v>0</v>
      </c>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5.6" hidden="false" customHeight="false" outlineLevel="0" collapsed="false">
      <c r="A52" s="153" t="s">
        <v>279</v>
      </c>
      <c r="B52" s="24" t="n">
        <f aca="false">SQRT((H55^2+I55^2+J55^2+K55^2+L55^2+M55^2+N55^2+O55^2+P55^2+Q55^2+R55^2+S55^2)/H$28)</f>
        <v>0</v>
      </c>
      <c r="C52" s="87"/>
      <c r="D52" s="207"/>
      <c r="E52" s="207"/>
      <c r="F52" s="207"/>
      <c r="G52" s="153" t="s">
        <v>100</v>
      </c>
      <c r="H52" s="188" t="n">
        <f aca="false">H102</f>
        <v>4.99999995E-005</v>
      </c>
      <c r="I52" s="188" t="n">
        <f aca="false">I102</f>
        <v>4.99999995E-005</v>
      </c>
      <c r="J52" s="188" t="n">
        <f aca="false">J102</f>
        <v>5.00000005E-005</v>
      </c>
      <c r="K52" s="188" t="n">
        <f aca="false">K102</f>
        <v>4.99999995E-005</v>
      </c>
      <c r="L52" s="188" t="n">
        <f aca="false">L102</f>
        <v>0</v>
      </c>
      <c r="M52" s="188" t="n">
        <f aca="false">M102</f>
        <v>0</v>
      </c>
      <c r="N52" s="188" t="n">
        <f aca="false">N102</f>
        <v>0</v>
      </c>
      <c r="O52" s="188" t="n">
        <f aca="false">O102</f>
        <v>0</v>
      </c>
      <c r="P52" s="188" t="n">
        <f aca="false">P102</f>
        <v>0</v>
      </c>
      <c r="Q52" s="188" t="n">
        <f aca="false">Q102</f>
        <v>0</v>
      </c>
      <c r="R52" s="188" t="n">
        <f aca="false">R102</f>
        <v>0</v>
      </c>
      <c r="S52" s="188" t="n">
        <f aca="false">S102</f>
        <v>0</v>
      </c>
      <c r="T52" s="208"/>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5.6" hidden="false" customHeight="false" outlineLevel="0" collapsed="false">
      <c r="A53" s="153" t="s">
        <v>280</v>
      </c>
      <c r="B53" s="24" t="n">
        <f aca="false">SQRT((H56^2+I56^2+J56^2+K56^2+L56^2+M56^2+N56^2+O56^2+P56^2+Q56^2+R56^2+S56^2)/H$28)</f>
        <v>0</v>
      </c>
      <c r="C53" s="87"/>
      <c r="D53" s="207"/>
      <c r="E53" s="207"/>
      <c r="F53" s="207"/>
      <c r="G53" s="153" t="s">
        <v>104</v>
      </c>
      <c r="H53" s="188" t="n">
        <f aca="false">H106</f>
        <v>4.99999995E-005</v>
      </c>
      <c r="I53" s="188" t="n">
        <f aca="false">I106</f>
        <v>5.00000005E-005</v>
      </c>
      <c r="J53" s="188" t="n">
        <f aca="false">J106</f>
        <v>5.00000005E-005</v>
      </c>
      <c r="K53" s="188" t="n">
        <f aca="false">K106</f>
        <v>4.99999995E-005</v>
      </c>
      <c r="L53" s="188" t="n">
        <f aca="false">L106</f>
        <v>0</v>
      </c>
      <c r="M53" s="188" t="n">
        <f aca="false">M106</f>
        <v>0</v>
      </c>
      <c r="N53" s="188" t="n">
        <f aca="false">N106</f>
        <v>0</v>
      </c>
      <c r="O53" s="188" t="n">
        <f aca="false">O106</f>
        <v>0</v>
      </c>
      <c r="P53" s="188" t="n">
        <f aca="false">P106</f>
        <v>0</v>
      </c>
      <c r="Q53" s="188" t="n">
        <f aca="false">Q106</f>
        <v>0</v>
      </c>
      <c r="R53" s="188" t="n">
        <f aca="false">R106</f>
        <v>0</v>
      </c>
      <c r="S53" s="188" t="n">
        <f aca="false">S106</f>
        <v>0</v>
      </c>
      <c r="T53" s="0"/>
      <c r="U53" s="188"/>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5.6" hidden="false" customHeight="false" outlineLevel="0" collapsed="false">
      <c r="A54" s="153" t="s">
        <v>282</v>
      </c>
      <c r="B54" s="24" t="n">
        <f aca="false">SQRT((H57^2+I57^2+J57^2+K57^2+L57^2+M57^2+N57^2+O57^2+P57^2+Q57^2+R57^2+S57^2)/H$28)</f>
        <v>0</v>
      </c>
      <c r="C54" s="87"/>
      <c r="D54" s="195"/>
      <c r="E54" s="195"/>
      <c r="F54" s="195"/>
      <c r="G54" s="134" t="s">
        <v>285</v>
      </c>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5.6" hidden="false" customHeight="false" outlineLevel="0" collapsed="false">
      <c r="A55" s="153" t="s">
        <v>97</v>
      </c>
      <c r="B55" s="24" t="n">
        <f aca="false">SQRT((H59^2+I59^2+J59^2+K59^2+L59^2+M59^2+N59^2+O59^2+P59^2+Q59^2+R59^2+S59^2+B41^2)/H$28)</f>
        <v>0</v>
      </c>
      <c r="C55" s="87"/>
      <c r="D55" s="0"/>
      <c r="E55" s="0"/>
      <c r="F55" s="0"/>
      <c r="G55" s="153" t="s">
        <v>279</v>
      </c>
      <c r="H55" s="195" t="n">
        <v>0</v>
      </c>
      <c r="I55" s="195" t="n">
        <v>0</v>
      </c>
      <c r="J55" s="195" t="n">
        <v>0</v>
      </c>
      <c r="K55" s="195" t="n">
        <v>0</v>
      </c>
      <c r="L55" s="195" t="n">
        <v>0</v>
      </c>
      <c r="M55" s="195" t="n">
        <v>0</v>
      </c>
      <c r="N55" s="195" t="n">
        <v>0</v>
      </c>
      <c r="O55" s="195" t="n">
        <v>0</v>
      </c>
      <c r="P55" s="195" t="n">
        <v>0</v>
      </c>
      <c r="Q55" s="195" t="n">
        <v>0</v>
      </c>
      <c r="R55" s="195" t="n">
        <v>0</v>
      </c>
      <c r="S55" s="195" t="n">
        <v>0</v>
      </c>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5.6" hidden="false" customHeight="false" outlineLevel="0" collapsed="false">
      <c r="A56" s="153" t="s">
        <v>100</v>
      </c>
      <c r="B56" s="24" t="n">
        <f aca="false">SQRT((H60^2+I60^2+J60^2+K60^2+L60^2+M60^2+N60^2+O60^2+P60^2+Q60^2+R60^2+S60^2+B42^2)/H$28)</f>
        <v>0</v>
      </c>
      <c r="C56" s="87"/>
      <c r="D56" s="0"/>
      <c r="E56" s="0"/>
      <c r="F56" s="0"/>
      <c r="G56" s="153" t="s">
        <v>280</v>
      </c>
      <c r="H56" s="195" t="n">
        <v>0</v>
      </c>
      <c r="I56" s="195" t="n">
        <v>0</v>
      </c>
      <c r="J56" s="195" t="n">
        <v>0</v>
      </c>
      <c r="K56" s="195" t="n">
        <v>0</v>
      </c>
      <c r="L56" s="195" t="n">
        <v>0</v>
      </c>
      <c r="M56" s="195" t="n">
        <v>0</v>
      </c>
      <c r="N56" s="195" t="n">
        <v>0</v>
      </c>
      <c r="O56" s="195" t="n">
        <v>0</v>
      </c>
      <c r="P56" s="195" t="n">
        <v>0</v>
      </c>
      <c r="Q56" s="195" t="n">
        <v>0</v>
      </c>
      <c r="R56" s="195" t="n">
        <v>0</v>
      </c>
      <c r="S56" s="195" t="n">
        <v>0</v>
      </c>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5.6" hidden="false" customHeight="false" outlineLevel="0" collapsed="false">
      <c r="A57" s="153" t="s">
        <v>104</v>
      </c>
      <c r="B57" s="24" t="n">
        <f aca="false">SQRT((H61^2+I61^2+J61^2+K61^2+L61^2+M61^2+N61^2+O61^2+P61^2+Q61^2+R61^2+S61^2+B43^2)/H$28)</f>
        <v>0</v>
      </c>
      <c r="C57" s="87"/>
      <c r="D57" s="0"/>
      <c r="E57" s="0"/>
      <c r="F57" s="0"/>
      <c r="G57" s="153" t="s">
        <v>282</v>
      </c>
      <c r="H57" s="195" t="n">
        <v>0</v>
      </c>
      <c r="I57" s="195" t="n">
        <v>0</v>
      </c>
      <c r="J57" s="195" t="n">
        <v>0</v>
      </c>
      <c r="K57" s="195" t="n">
        <v>0</v>
      </c>
      <c r="L57" s="195" t="n">
        <v>0</v>
      </c>
      <c r="M57" s="195" t="n">
        <v>0</v>
      </c>
      <c r="N57" s="195" t="n">
        <v>0</v>
      </c>
      <c r="O57" s="195" t="n">
        <v>0</v>
      </c>
      <c r="P57" s="195" t="n">
        <v>0</v>
      </c>
      <c r="Q57" s="195" t="n">
        <v>0</v>
      </c>
      <c r="R57" s="195" t="n">
        <v>0</v>
      </c>
      <c r="S57" s="195" t="n">
        <v>0</v>
      </c>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5.6" hidden="false" customHeight="false" outlineLevel="0" collapsed="false">
      <c r="A58" s="0"/>
      <c r="B58" s="25"/>
      <c r="C58" s="0"/>
      <c r="D58" s="0"/>
      <c r="E58" s="0"/>
      <c r="F58" s="0"/>
      <c r="G58" s="134" t="s">
        <v>286</v>
      </c>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5.6" hidden="false" customHeight="false" outlineLevel="0" collapsed="false">
      <c r="A59" s="0"/>
      <c r="B59" s="0"/>
      <c r="C59" s="0"/>
      <c r="D59" s="0"/>
      <c r="E59" s="0"/>
      <c r="F59" s="0"/>
      <c r="G59" s="153" t="s">
        <v>97</v>
      </c>
      <c r="H59" s="188" t="n">
        <f aca="false">H113</f>
        <v>0</v>
      </c>
      <c r="I59" s="188" t="n">
        <f aca="false">I113</f>
        <v>0</v>
      </c>
      <c r="J59" s="188" t="n">
        <f aca="false">J113</f>
        <v>0</v>
      </c>
      <c r="K59" s="188" t="n">
        <f aca="false">K113</f>
        <v>0</v>
      </c>
      <c r="L59" s="188" t="n">
        <f aca="false">L113</f>
        <v>0</v>
      </c>
      <c r="M59" s="188" t="n">
        <f aca="false">M113</f>
        <v>0</v>
      </c>
      <c r="N59" s="188" t="n">
        <f aca="false">N113</f>
        <v>0</v>
      </c>
      <c r="O59" s="188" t="n">
        <f aca="false">O113</f>
        <v>0</v>
      </c>
      <c r="P59" s="188" t="n">
        <f aca="false">P113</f>
        <v>0</v>
      </c>
      <c r="Q59" s="188" t="n">
        <f aca="false">Q113</f>
        <v>0</v>
      </c>
      <c r="R59" s="188" t="n">
        <f aca="false">R113</f>
        <v>0</v>
      </c>
      <c r="S59" s="188" t="n">
        <f aca="false">S113</f>
        <v>0</v>
      </c>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5.6" hidden="false" customHeight="false" outlineLevel="0" collapsed="false">
      <c r="A60" s="0"/>
      <c r="B60" s="0"/>
      <c r="C60" s="0"/>
      <c r="D60" s="0"/>
      <c r="E60" s="0"/>
      <c r="F60" s="0"/>
      <c r="G60" s="153" t="s">
        <v>100</v>
      </c>
      <c r="H60" s="188" t="n">
        <f aca="false">H118</f>
        <v>0</v>
      </c>
      <c r="I60" s="188" t="n">
        <f aca="false">I118</f>
        <v>0</v>
      </c>
      <c r="J60" s="188" t="n">
        <f aca="false">J118</f>
        <v>0</v>
      </c>
      <c r="K60" s="188" t="n">
        <f aca="false">K118</f>
        <v>0</v>
      </c>
      <c r="L60" s="188" t="n">
        <f aca="false">L118</f>
        <v>0</v>
      </c>
      <c r="M60" s="188" t="n">
        <f aca="false">M118</f>
        <v>0</v>
      </c>
      <c r="N60" s="188" t="n">
        <f aca="false">N118</f>
        <v>0</v>
      </c>
      <c r="O60" s="188" t="n">
        <f aca="false">O118</f>
        <v>0</v>
      </c>
      <c r="P60" s="188" t="n">
        <f aca="false">P118</f>
        <v>0</v>
      </c>
      <c r="Q60" s="188" t="n">
        <f aca="false">Q118</f>
        <v>0</v>
      </c>
      <c r="R60" s="188" t="n">
        <f aca="false">R118</f>
        <v>0</v>
      </c>
      <c r="S60" s="188" t="n">
        <f aca="false">S118</f>
        <v>0</v>
      </c>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5.6" hidden="false" customHeight="false" outlineLevel="0" collapsed="false">
      <c r="A61" s="0"/>
      <c r="B61" s="0"/>
      <c r="C61" s="0"/>
      <c r="D61" s="0"/>
      <c r="E61" s="0"/>
      <c r="F61" s="0"/>
      <c r="G61" s="153" t="s">
        <v>104</v>
      </c>
      <c r="H61" s="188" t="n">
        <f aca="false">H123</f>
        <v>0</v>
      </c>
      <c r="I61" s="188" t="n">
        <f aca="false">I123</f>
        <v>0</v>
      </c>
      <c r="J61" s="188" t="n">
        <f aca="false">J123</f>
        <v>0</v>
      </c>
      <c r="K61" s="188" t="n">
        <f aca="false">K123</f>
        <v>0</v>
      </c>
      <c r="L61" s="188" t="n">
        <f aca="false">L123</f>
        <v>0</v>
      </c>
      <c r="M61" s="188" t="n">
        <f aca="false">M123</f>
        <v>0</v>
      </c>
      <c r="N61" s="188" t="n">
        <f aca="false">N123</f>
        <v>0</v>
      </c>
      <c r="O61" s="188" t="n">
        <f aca="false">O123</f>
        <v>0</v>
      </c>
      <c r="P61" s="188" t="n">
        <f aca="false">P123</f>
        <v>0</v>
      </c>
      <c r="Q61" s="188" t="n">
        <f aca="false">Q123</f>
        <v>0</v>
      </c>
      <c r="R61" s="188" t="n">
        <f aca="false">R123</f>
        <v>0</v>
      </c>
      <c r="S61" s="188" t="n">
        <f aca="false">S123</f>
        <v>0</v>
      </c>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5.6" hidden="false" customHeight="false" outlineLevel="0" collapsed="false">
      <c r="A62" s="0"/>
      <c r="B62" s="0"/>
      <c r="C62" s="0"/>
      <c r="D62" s="0"/>
      <c r="E62" s="0"/>
      <c r="F62" s="0"/>
      <c r="G62" s="76" t="s">
        <v>287</v>
      </c>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s="131" customFormat="true" ht="15.6" hidden="false" customHeight="false" outlineLevel="0" collapsed="false">
      <c r="G63" s="77"/>
      <c r="H63" s="77"/>
      <c r="I63" s="143"/>
      <c r="J63" s="143"/>
      <c r="K63" s="143"/>
      <c r="L63" s="143"/>
      <c r="M63" s="143"/>
      <c r="N63" s="143"/>
      <c r="O63" s="77"/>
    </row>
    <row r="64" customFormat="false" ht="15.6" hidden="false" customHeight="false" outlineLevel="0" collapsed="false">
      <c r="A64" s="131"/>
      <c r="B64" s="131"/>
      <c r="C64" s="131"/>
      <c r="D64" s="131"/>
      <c r="E64" s="131"/>
      <c r="F64" s="131"/>
      <c r="G64" s="209"/>
      <c r="H64" s="210"/>
      <c r="I64" s="211"/>
      <c r="J64" s="211"/>
      <c r="K64" s="211"/>
      <c r="L64" s="211"/>
      <c r="M64" s="211"/>
      <c r="N64" s="211"/>
      <c r="O64" s="143"/>
      <c r="P64" s="0"/>
      <c r="Q64" s="0"/>
      <c r="R64" s="0"/>
      <c r="S64" s="0"/>
    </row>
    <row r="65" customFormat="false" ht="15.6" hidden="false" customHeight="false" outlineLevel="0" collapsed="false">
      <c r="A65" s="131"/>
      <c r="B65" s="131"/>
      <c r="C65" s="131"/>
      <c r="D65" s="131"/>
      <c r="E65" s="131"/>
      <c r="F65" s="131"/>
      <c r="G65" s="209"/>
      <c r="H65" s="210"/>
      <c r="I65" s="211"/>
      <c r="J65" s="211"/>
      <c r="K65" s="211"/>
      <c r="L65" s="211"/>
      <c r="M65" s="211"/>
      <c r="N65" s="211"/>
      <c r="O65" s="143"/>
      <c r="P65" s="0"/>
      <c r="Q65" s="0"/>
      <c r="R65" s="0"/>
      <c r="S65" s="0"/>
    </row>
    <row r="66" customFormat="false" ht="15.6" hidden="false" customHeight="false" outlineLevel="0" collapsed="false">
      <c r="A66" s="131"/>
      <c r="B66" s="131"/>
      <c r="C66" s="131"/>
      <c r="D66" s="131"/>
      <c r="E66" s="131"/>
      <c r="F66" s="131"/>
      <c r="G66" s="209"/>
      <c r="H66" s="210"/>
      <c r="I66" s="211"/>
      <c r="J66" s="211"/>
      <c r="K66" s="211"/>
      <c r="L66" s="211"/>
      <c r="M66" s="211"/>
      <c r="N66" s="211"/>
      <c r="O66" s="143"/>
      <c r="P66" s="0"/>
      <c r="Q66" s="0"/>
      <c r="R66" s="0"/>
      <c r="S66" s="0"/>
    </row>
    <row r="67" customFormat="false" ht="15.6" hidden="false" customHeight="false" outlineLevel="0" collapsed="false">
      <c r="A67" s="131"/>
      <c r="B67" s="131"/>
      <c r="C67" s="131"/>
      <c r="D67" s="131"/>
      <c r="E67" s="131"/>
      <c r="F67" s="131"/>
      <c r="G67" s="209"/>
      <c r="H67" s="210"/>
      <c r="I67" s="211"/>
      <c r="J67" s="211"/>
      <c r="K67" s="211"/>
      <c r="L67" s="211"/>
      <c r="M67" s="211"/>
      <c r="N67" s="211"/>
      <c r="O67" s="143"/>
      <c r="P67" s="0"/>
      <c r="Q67" s="0"/>
      <c r="R67" s="0"/>
      <c r="S67" s="0"/>
    </row>
    <row r="68" customFormat="false" ht="15.6" hidden="false" customHeight="false" outlineLevel="0" collapsed="false">
      <c r="A68" s="131"/>
      <c r="B68" s="131"/>
      <c r="C68" s="131"/>
      <c r="D68" s="131"/>
      <c r="E68" s="131"/>
      <c r="F68" s="131"/>
      <c r="G68" s="209"/>
      <c r="H68" s="210"/>
      <c r="I68" s="211"/>
      <c r="J68" s="211"/>
      <c r="K68" s="211"/>
      <c r="L68" s="211"/>
      <c r="M68" s="211"/>
      <c r="N68" s="211"/>
      <c r="O68" s="143"/>
      <c r="P68" s="0"/>
      <c r="Q68" s="0"/>
      <c r="R68" s="0"/>
      <c r="S68" s="0"/>
    </row>
    <row r="69" customFormat="false" ht="15.6" hidden="false" customHeight="false" outlineLevel="0" collapsed="false">
      <c r="A69" s="131"/>
      <c r="B69" s="131"/>
      <c r="C69" s="131"/>
      <c r="D69" s="131"/>
      <c r="E69" s="131"/>
      <c r="F69" s="131"/>
      <c r="G69" s="209"/>
      <c r="H69" s="210"/>
      <c r="I69" s="211"/>
      <c r="J69" s="211"/>
      <c r="K69" s="211"/>
      <c r="L69" s="211"/>
      <c r="M69" s="211"/>
      <c r="N69" s="211"/>
      <c r="O69" s="143"/>
      <c r="P69" s="0"/>
      <c r="Q69" s="0"/>
      <c r="R69" s="0"/>
      <c r="S69" s="0"/>
    </row>
    <row r="70" customFormat="false" ht="15.6" hidden="false" customHeight="false" outlineLevel="0" collapsed="false">
      <c r="A70" s="131"/>
      <c r="B70" s="131"/>
      <c r="C70" s="131"/>
      <c r="D70" s="131"/>
      <c r="E70" s="131"/>
      <c r="F70" s="131"/>
      <c r="G70" s="209"/>
      <c r="H70" s="210"/>
      <c r="I70" s="211"/>
      <c r="J70" s="211"/>
      <c r="K70" s="211"/>
      <c r="L70" s="211"/>
      <c r="M70" s="211"/>
      <c r="N70" s="211"/>
      <c r="O70" s="143"/>
      <c r="P70" s="0"/>
      <c r="Q70" s="0"/>
      <c r="R70" s="0"/>
      <c r="S70" s="0"/>
    </row>
    <row r="71" customFormat="false" ht="15.6" hidden="false" customHeight="false" outlineLevel="0" collapsed="false">
      <c r="A71" s="131"/>
      <c r="B71" s="131"/>
      <c r="C71" s="131"/>
      <c r="D71" s="131"/>
      <c r="E71" s="131"/>
      <c r="F71" s="131"/>
      <c r="G71" s="209"/>
      <c r="H71" s="210"/>
      <c r="I71" s="211"/>
      <c r="J71" s="211"/>
      <c r="K71" s="211"/>
      <c r="L71" s="211"/>
      <c r="M71" s="211"/>
      <c r="N71" s="211"/>
      <c r="O71" s="143"/>
      <c r="P71" s="0"/>
      <c r="Q71" s="0"/>
      <c r="R71" s="0"/>
      <c r="S71" s="0"/>
    </row>
    <row r="72" customFormat="false" ht="15.6" hidden="false" customHeight="false" outlineLevel="0" collapsed="false">
      <c r="A72" s="131"/>
      <c r="B72" s="131"/>
      <c r="C72" s="131"/>
      <c r="D72" s="131"/>
      <c r="E72" s="131"/>
      <c r="F72" s="131"/>
      <c r="G72" s="209"/>
      <c r="H72" s="210"/>
      <c r="I72" s="211"/>
      <c r="J72" s="211"/>
      <c r="K72" s="211"/>
      <c r="L72" s="211"/>
      <c r="M72" s="211"/>
      <c r="N72" s="211"/>
      <c r="O72" s="143"/>
      <c r="P72" s="0"/>
      <c r="Q72" s="0"/>
      <c r="R72" s="0"/>
      <c r="S72" s="0"/>
    </row>
    <row r="73" customFormat="false" ht="15.6" hidden="false" customHeight="false" outlineLevel="0" collapsed="false">
      <c r="A73" s="131"/>
      <c r="B73" s="131"/>
      <c r="C73" s="131"/>
      <c r="D73" s="131"/>
      <c r="E73" s="131"/>
      <c r="F73" s="131"/>
      <c r="G73" s="209"/>
      <c r="H73" s="210"/>
      <c r="I73" s="211"/>
      <c r="J73" s="211"/>
      <c r="K73" s="211"/>
      <c r="L73" s="211"/>
      <c r="M73" s="211"/>
      <c r="N73" s="211"/>
      <c r="O73" s="143"/>
      <c r="P73" s="0"/>
      <c r="Q73" s="0"/>
      <c r="R73" s="0"/>
      <c r="S73" s="0"/>
    </row>
    <row r="74" customFormat="false" ht="15.6" hidden="false" customHeight="false" outlineLevel="0" collapsed="false">
      <c r="A74" s="131"/>
      <c r="B74" s="131"/>
      <c r="C74" s="131"/>
      <c r="D74" s="131"/>
      <c r="E74" s="131"/>
      <c r="F74" s="131"/>
      <c r="G74" s="209"/>
      <c r="H74" s="210"/>
      <c r="I74" s="211"/>
      <c r="J74" s="211"/>
      <c r="K74" s="211"/>
      <c r="L74" s="211"/>
      <c r="M74" s="211"/>
      <c r="N74" s="211"/>
      <c r="O74" s="143"/>
      <c r="P74" s="0"/>
      <c r="Q74" s="0"/>
      <c r="R74" s="0"/>
      <c r="S74" s="0"/>
    </row>
    <row r="75" customFormat="false" ht="15.6" hidden="false" customHeight="false" outlineLevel="0" collapsed="false">
      <c r="A75" s="131"/>
      <c r="B75" s="131"/>
      <c r="C75" s="131"/>
      <c r="D75" s="131"/>
      <c r="E75" s="131"/>
      <c r="F75" s="131"/>
      <c r="G75" s="209"/>
      <c r="H75" s="210"/>
      <c r="I75" s="211"/>
      <c r="J75" s="211"/>
      <c r="K75" s="211"/>
      <c r="L75" s="211"/>
      <c r="M75" s="211"/>
      <c r="N75" s="211"/>
      <c r="O75" s="143"/>
      <c r="P75" s="0"/>
      <c r="Q75" s="0"/>
      <c r="R75" s="0"/>
      <c r="S75" s="0"/>
    </row>
    <row r="76" customFormat="false" ht="15.6" hidden="false" customHeight="false" outlineLevel="0" collapsed="false">
      <c r="A76" s="131"/>
      <c r="B76" s="131"/>
      <c r="C76" s="131"/>
      <c r="D76" s="131"/>
      <c r="E76" s="131"/>
      <c r="F76" s="131"/>
      <c r="G76" s="209"/>
      <c r="H76" s="210"/>
      <c r="I76" s="211"/>
      <c r="J76" s="211"/>
      <c r="K76" s="211"/>
      <c r="L76" s="211"/>
      <c r="M76" s="211"/>
      <c r="N76" s="211"/>
      <c r="O76" s="143"/>
      <c r="P76" s="0"/>
      <c r="Q76" s="0"/>
      <c r="R76" s="0"/>
      <c r="S76" s="0"/>
    </row>
    <row r="77" customFormat="false" ht="15.6" hidden="false" customHeight="false" outlineLevel="0" collapsed="false">
      <c r="A77" s="131"/>
      <c r="B77" s="131"/>
      <c r="C77" s="131"/>
      <c r="D77" s="131"/>
      <c r="E77" s="131"/>
      <c r="F77" s="131"/>
      <c r="G77" s="209"/>
      <c r="H77" s="210"/>
      <c r="I77" s="211"/>
      <c r="J77" s="211"/>
      <c r="K77" s="211"/>
      <c r="L77" s="211"/>
      <c r="M77" s="211"/>
      <c r="N77" s="211"/>
      <c r="O77" s="143"/>
      <c r="P77" s="0"/>
      <c r="Q77" s="0"/>
      <c r="R77" s="0"/>
      <c r="S77" s="0"/>
    </row>
    <row r="78" customFormat="false" ht="15.6" hidden="false" customHeight="false" outlineLevel="0" collapsed="false">
      <c r="A78" s="131"/>
      <c r="B78" s="131"/>
      <c r="C78" s="131"/>
      <c r="D78" s="131"/>
      <c r="E78" s="131"/>
      <c r="F78" s="131"/>
      <c r="G78" s="209"/>
      <c r="H78" s="210"/>
      <c r="I78" s="211"/>
      <c r="J78" s="211"/>
      <c r="K78" s="211"/>
      <c r="L78" s="211"/>
      <c r="M78" s="211"/>
      <c r="N78" s="211"/>
      <c r="O78" s="143"/>
      <c r="P78" s="0"/>
      <c r="Q78" s="0"/>
      <c r="R78" s="0"/>
      <c r="S78" s="0"/>
    </row>
    <row r="79" customFormat="false" ht="15.6" hidden="false" customHeight="false" outlineLevel="0" collapsed="false">
      <c r="A79" s="131"/>
      <c r="B79" s="131"/>
      <c r="C79" s="131"/>
      <c r="D79" s="131"/>
      <c r="E79" s="131"/>
      <c r="F79" s="131"/>
      <c r="G79" s="209"/>
      <c r="H79" s="210"/>
      <c r="I79" s="211"/>
      <c r="J79" s="211"/>
      <c r="K79" s="211"/>
      <c r="L79" s="211"/>
      <c r="M79" s="211"/>
      <c r="N79" s="211"/>
      <c r="O79" s="143"/>
      <c r="P79" s="0"/>
      <c r="Q79" s="0"/>
      <c r="R79" s="0"/>
      <c r="S79" s="0"/>
    </row>
    <row r="80" customFormat="false" ht="15.6" hidden="false" customHeight="false" outlineLevel="0" collapsed="false">
      <c r="A80" s="242"/>
      <c r="B80" s="142"/>
      <c r="C80" s="0"/>
      <c r="G80" s="209"/>
      <c r="H80" s="210"/>
      <c r="I80" s="211"/>
      <c r="J80" s="211"/>
      <c r="K80" s="211"/>
      <c r="L80" s="211"/>
      <c r="M80" s="211"/>
      <c r="N80" s="211"/>
      <c r="O80" s="143"/>
      <c r="P80" s="0"/>
      <c r="Q80" s="0"/>
      <c r="R80" s="0"/>
      <c r="S80" s="0"/>
    </row>
    <row r="81" customFormat="false" ht="15.6" hidden="false" customHeight="false" outlineLevel="0" collapsed="false">
      <c r="A81" s="242"/>
      <c r="B81" s="142"/>
      <c r="C81" s="0"/>
      <c r="G81" s="209"/>
      <c r="H81" s="210"/>
      <c r="I81" s="211"/>
      <c r="J81" s="211"/>
      <c r="K81" s="211"/>
      <c r="L81" s="211"/>
      <c r="M81" s="211"/>
      <c r="N81" s="211"/>
      <c r="O81" s="143"/>
      <c r="P81" s="0"/>
      <c r="Q81" s="0"/>
      <c r="R81" s="0"/>
      <c r="S81" s="0"/>
    </row>
    <row r="82" customFormat="false" ht="15.6" hidden="false" customHeight="false" outlineLevel="0" collapsed="false">
      <c r="A82" s="242"/>
      <c r="B82" s="142"/>
      <c r="C82" s="0"/>
      <c r="G82" s="209"/>
      <c r="H82" s="210"/>
      <c r="I82" s="211"/>
      <c r="J82" s="211"/>
      <c r="K82" s="211"/>
      <c r="L82" s="211"/>
      <c r="M82" s="211"/>
      <c r="N82" s="211"/>
      <c r="O82" s="143"/>
      <c r="P82" s="0"/>
      <c r="Q82" s="0"/>
      <c r="R82" s="0"/>
      <c r="S82" s="0"/>
    </row>
    <row r="83" customFormat="false" ht="15.6" hidden="false" customHeight="false" outlineLevel="0" collapsed="false">
      <c r="A83" s="242"/>
      <c r="B83" s="142"/>
      <c r="C83" s="0"/>
      <c r="G83" s="209"/>
      <c r="H83" s="210"/>
      <c r="I83" s="211"/>
      <c r="J83" s="211"/>
      <c r="K83" s="211"/>
      <c r="L83" s="211"/>
      <c r="M83" s="211"/>
      <c r="N83" s="211"/>
      <c r="O83" s="143"/>
      <c r="P83" s="0"/>
      <c r="Q83" s="0"/>
      <c r="R83" s="0"/>
      <c r="S83" s="0"/>
    </row>
    <row r="84" customFormat="false" ht="15.6" hidden="false" customHeight="false" outlineLevel="0" collapsed="false">
      <c r="A84" s="242"/>
      <c r="B84" s="142"/>
      <c r="C84" s="0"/>
      <c r="G84" s="209"/>
      <c r="H84" s="210"/>
      <c r="I84" s="211"/>
      <c r="J84" s="211"/>
      <c r="K84" s="211"/>
      <c r="L84" s="211"/>
      <c r="M84" s="211"/>
      <c r="N84" s="211"/>
      <c r="O84" s="143"/>
      <c r="P84" s="0"/>
      <c r="Q84" s="0"/>
      <c r="R84" s="0"/>
      <c r="S84" s="0"/>
    </row>
    <row r="85" customFormat="false" ht="15.6" hidden="false" customHeight="false" outlineLevel="0" collapsed="false">
      <c r="A85" s="242"/>
      <c r="B85" s="142"/>
      <c r="C85" s="0"/>
      <c r="G85" s="209"/>
      <c r="H85" s="210"/>
      <c r="I85" s="211"/>
      <c r="J85" s="211"/>
      <c r="K85" s="211"/>
      <c r="L85" s="211"/>
      <c r="M85" s="211"/>
      <c r="N85" s="211"/>
      <c r="O85" s="143"/>
      <c r="P85" s="0"/>
      <c r="Q85" s="0"/>
      <c r="R85" s="0"/>
      <c r="S85" s="0"/>
    </row>
    <row r="86" customFormat="false" ht="15.6" hidden="false" customHeight="false" outlineLevel="0" collapsed="false">
      <c r="A86" s="242"/>
      <c r="B86" s="142"/>
      <c r="C86" s="0"/>
      <c r="G86" s="209"/>
      <c r="H86" s="210"/>
      <c r="I86" s="211"/>
      <c r="J86" s="211"/>
      <c r="K86" s="211"/>
      <c r="L86" s="211"/>
      <c r="M86" s="211"/>
      <c r="N86" s="211"/>
      <c r="O86" s="143"/>
      <c r="P86" s="0"/>
      <c r="Q86" s="0"/>
      <c r="R86" s="0"/>
      <c r="S86" s="0"/>
    </row>
    <row r="87" customFormat="false" ht="15.6" hidden="false" customHeight="false" outlineLevel="0" collapsed="false">
      <c r="A87" s="242"/>
      <c r="B87" s="142"/>
      <c r="C87" s="0"/>
      <c r="G87" s="209"/>
      <c r="H87" s="210"/>
      <c r="I87" s="211"/>
      <c r="J87" s="211"/>
      <c r="K87" s="211"/>
      <c r="L87" s="211"/>
      <c r="M87" s="211"/>
      <c r="N87" s="211"/>
      <c r="O87" s="143"/>
      <c r="P87" s="0"/>
      <c r="Q87" s="0"/>
      <c r="R87" s="0"/>
      <c r="S87" s="0"/>
    </row>
    <row r="88" customFormat="false" ht="15.6" hidden="false" customHeight="false" outlineLevel="0" collapsed="false">
      <c r="A88" s="242"/>
      <c r="B88" s="142"/>
      <c r="C88" s="0"/>
      <c r="G88" s="209"/>
      <c r="H88" s="210"/>
      <c r="I88" s="211"/>
      <c r="J88" s="211"/>
      <c r="K88" s="211"/>
      <c r="L88" s="211"/>
      <c r="M88" s="211"/>
      <c r="N88" s="211"/>
      <c r="O88" s="143"/>
      <c r="P88" s="0"/>
      <c r="Q88" s="0"/>
      <c r="R88" s="0"/>
      <c r="S88" s="0"/>
    </row>
    <row r="89" customFormat="false" ht="15.6" hidden="false" customHeight="false" outlineLevel="0" collapsed="false">
      <c r="A89" s="242"/>
      <c r="B89" s="142"/>
      <c r="C89" s="0"/>
      <c r="G89" s="209"/>
      <c r="H89" s="210"/>
      <c r="I89" s="211"/>
      <c r="J89" s="211"/>
      <c r="K89" s="211"/>
      <c r="L89" s="211"/>
      <c r="M89" s="211"/>
      <c r="N89" s="211"/>
      <c r="O89" s="143"/>
      <c r="P89" s="0"/>
      <c r="Q89" s="0"/>
      <c r="R89" s="0"/>
      <c r="S89" s="0"/>
    </row>
    <row r="90" customFormat="false" ht="15.6" hidden="false" customHeight="false" outlineLevel="0" collapsed="false">
      <c r="A90" s="242"/>
      <c r="B90" s="142"/>
      <c r="C90" s="0"/>
      <c r="G90" s="209"/>
      <c r="H90" s="210"/>
      <c r="I90" s="211"/>
      <c r="J90" s="211"/>
      <c r="K90" s="211"/>
      <c r="L90" s="211"/>
      <c r="M90" s="211"/>
      <c r="N90" s="211"/>
      <c r="O90" s="143"/>
      <c r="P90" s="0"/>
      <c r="Q90" s="0"/>
      <c r="R90" s="0"/>
      <c r="S90" s="0"/>
    </row>
    <row r="91" customFormat="false" ht="15.6" hidden="false" customHeight="false" outlineLevel="0" collapsed="false">
      <c r="A91" s="242"/>
      <c r="B91" s="142"/>
      <c r="C91" s="0"/>
      <c r="G91" s="0"/>
      <c r="H91" s="0"/>
      <c r="I91" s="0"/>
      <c r="J91" s="0"/>
      <c r="K91" s="0"/>
      <c r="L91" s="0"/>
      <c r="M91" s="0"/>
      <c r="N91" s="0"/>
      <c r="O91" s="0"/>
      <c r="P91" s="0"/>
      <c r="Q91" s="0"/>
      <c r="R91" s="0"/>
      <c r="S91" s="0"/>
    </row>
    <row r="92" customFormat="false" ht="15.6" hidden="false" customHeight="false" outlineLevel="0" collapsed="false">
      <c r="A92" s="242"/>
      <c r="B92" s="142"/>
      <c r="C92" s="0"/>
      <c r="G92" s="0"/>
      <c r="H92" s="0"/>
      <c r="I92" s="0"/>
      <c r="J92" s="0"/>
      <c r="K92" s="0"/>
      <c r="L92" s="0"/>
      <c r="M92" s="0"/>
      <c r="N92" s="0"/>
      <c r="O92" s="0"/>
      <c r="P92" s="0"/>
      <c r="Q92" s="0"/>
      <c r="R92" s="0"/>
      <c r="S92" s="0"/>
    </row>
    <row r="93" customFormat="false" ht="15.6" hidden="false" customHeight="false" outlineLevel="0" collapsed="false">
      <c r="A93" s="242"/>
      <c r="B93" s="142"/>
      <c r="C93" s="131"/>
      <c r="G93" s="0"/>
      <c r="H93" s="0"/>
      <c r="I93" s="0"/>
      <c r="J93" s="0"/>
      <c r="K93" s="0"/>
      <c r="L93" s="0"/>
      <c r="M93" s="0"/>
      <c r="N93" s="0"/>
      <c r="O93" s="0"/>
      <c r="P93" s="0"/>
      <c r="Q93" s="0"/>
      <c r="R93" s="0"/>
      <c r="S93" s="0"/>
    </row>
    <row r="94" customFormat="false" ht="15.6" hidden="false" customHeight="false" outlineLevel="0" collapsed="false">
      <c r="A94" s="242"/>
      <c r="B94" s="142"/>
      <c r="C94" s="131"/>
      <c r="G94" s="212" t="s">
        <v>289</v>
      </c>
      <c r="H94" s="0"/>
      <c r="I94" s="0"/>
      <c r="J94" s="0"/>
      <c r="K94" s="0"/>
      <c r="L94" s="0"/>
      <c r="M94" s="0"/>
      <c r="N94" s="0"/>
      <c r="O94" s="0"/>
      <c r="P94" s="0"/>
      <c r="Q94" s="0"/>
      <c r="R94" s="0"/>
      <c r="S94" s="0"/>
    </row>
    <row r="95" customFormat="false" ht="15.6" hidden="false" customHeight="false" outlineLevel="0" collapsed="false">
      <c r="A95" s="242"/>
      <c r="B95" s="142"/>
      <c r="C95" s="131"/>
      <c r="G95" s="213"/>
      <c r="H95" s="165" t="s">
        <v>290</v>
      </c>
      <c r="I95" s="0"/>
      <c r="J95" s="0"/>
      <c r="K95" s="0"/>
      <c r="L95" s="0"/>
      <c r="M95" s="0"/>
      <c r="N95" s="0"/>
      <c r="O95" s="0"/>
      <c r="P95" s="0"/>
      <c r="Q95" s="0"/>
      <c r="R95" s="0"/>
      <c r="S95" s="0"/>
    </row>
    <row r="96" customFormat="false" ht="15.6" hidden="false" customHeight="false" outlineLevel="0" collapsed="false">
      <c r="A96" s="242"/>
      <c r="B96" s="142"/>
      <c r="C96" s="131"/>
      <c r="G96" s="165" t="s">
        <v>291</v>
      </c>
      <c r="H96" s="77" t="n">
        <f aca="false">H48/ABS(H33+0.000001)</f>
        <v>4.99999995E-005</v>
      </c>
      <c r="I96" s="77" t="n">
        <f aca="false">I48/ABS(I33+0.000001)</f>
        <v>4.99999995E-005</v>
      </c>
      <c r="J96" s="77" t="n">
        <f aca="false">J48/ABS(J33+0.000001)</f>
        <v>5.00000005E-005</v>
      </c>
      <c r="K96" s="77" t="n">
        <f aca="false">K48/ABS(K33+0.000001)</f>
        <v>5.00000005E-005</v>
      </c>
      <c r="L96" s="77" t="n">
        <f aca="false">L48/ABS(L33+0.000001)</f>
        <v>0</v>
      </c>
      <c r="M96" s="77" t="n">
        <f aca="false">M48/ABS(M33+0.000001)</f>
        <v>0</v>
      </c>
      <c r="N96" s="77" t="n">
        <f aca="false">N48/ABS(N33+0.000001)</f>
        <v>0</v>
      </c>
      <c r="O96" s="77" t="n">
        <f aca="false">O48/ABS(O33+0.000001)</f>
        <v>0</v>
      </c>
      <c r="P96" s="77" t="n">
        <f aca="false">P48/ABS(P33+0.000001)</f>
        <v>0</v>
      </c>
      <c r="Q96" s="77" t="n">
        <f aca="false">Q48/ABS(Q33+0.000001)</f>
        <v>0</v>
      </c>
      <c r="R96" s="77" t="n">
        <f aca="false">R48/ABS(R33+0.000001)</f>
        <v>0</v>
      </c>
      <c r="S96" s="77" t="n">
        <f aca="false">S48/ABS(S33+0.000001)</f>
        <v>0</v>
      </c>
    </row>
    <row r="97" customFormat="false" ht="15.6" hidden="false" customHeight="false" outlineLevel="0" collapsed="false">
      <c r="A97" s="242"/>
      <c r="B97" s="142"/>
      <c r="C97" s="131"/>
      <c r="G97" s="165" t="s">
        <v>291</v>
      </c>
      <c r="H97" s="77" t="n">
        <f aca="false">H49/ABS(H32+0.000001)</f>
        <v>5000</v>
      </c>
      <c r="I97" s="77" t="n">
        <f aca="false">I49/ABS(I32+0.000001)</f>
        <v>5000</v>
      </c>
      <c r="J97" s="77" t="n">
        <f aca="false">J49/ABS(J32+0.000001)</f>
        <v>5000</v>
      </c>
      <c r="K97" s="77" t="n">
        <f aca="false">K49/ABS(K32+0.000001)</f>
        <v>5000</v>
      </c>
      <c r="L97" s="77" t="n">
        <f aca="false">L49/ABS(L32+0.000001)</f>
        <v>0</v>
      </c>
      <c r="M97" s="77" t="n">
        <f aca="false">M49/ABS(M32+0.000001)</f>
        <v>0</v>
      </c>
      <c r="N97" s="77" t="n">
        <f aca="false">N49/ABS(N32+0.000001)</f>
        <v>0</v>
      </c>
      <c r="O97" s="77" t="n">
        <f aca="false">O49/ABS(O32+0.000001)</f>
        <v>0</v>
      </c>
      <c r="P97" s="77" t="n">
        <f aca="false">P49/ABS(P32+0.000001)</f>
        <v>0</v>
      </c>
      <c r="Q97" s="77" t="n">
        <f aca="false">Q49/ABS(Q32+0.000001)</f>
        <v>0</v>
      </c>
      <c r="R97" s="77" t="n">
        <f aca="false">R49/ABS(R32+0.000001)</f>
        <v>0</v>
      </c>
      <c r="S97" s="77" t="n">
        <f aca="false">S49/ABS(S32+0.000001)</f>
        <v>0</v>
      </c>
    </row>
    <row r="98" customFormat="false" ht="15.6" hidden="false" customHeight="false" outlineLevel="0" collapsed="false">
      <c r="A98" s="242"/>
      <c r="B98" s="142"/>
      <c r="C98" s="131"/>
      <c r="G98" s="77" t="s">
        <v>292</v>
      </c>
      <c r="H98" s="161" t="n">
        <f aca="false">IF(MIN(H96,H97)&gt;1,0,MIN(H96,H97))</f>
        <v>4.99999995E-005</v>
      </c>
      <c r="I98" s="161" t="n">
        <f aca="false">IF(MIN(I96,I97)&gt;1,0,MIN(I96,I97))</f>
        <v>4.99999995E-005</v>
      </c>
      <c r="J98" s="161" t="n">
        <f aca="false">IF(MIN(J96,J97)&gt;1,0,MIN(J96,J97))</f>
        <v>5.00000005E-005</v>
      </c>
      <c r="K98" s="161" t="n">
        <f aca="false">IF(MIN(K96,K97)&gt;1,0,MIN(K96,K97))</f>
        <v>5.00000005E-005</v>
      </c>
      <c r="L98" s="161" t="n">
        <f aca="false">IF(MIN(L96,L97)&gt;1,0,MIN(L96,L97))</f>
        <v>0</v>
      </c>
      <c r="M98" s="161" t="n">
        <f aca="false">IF(MIN(M96,M97)&gt;1,0,MIN(M96,M97))</f>
        <v>0</v>
      </c>
      <c r="N98" s="161" t="n">
        <f aca="false">IF(MIN(N96,N97)&gt;1,0,MIN(N96,N97))</f>
        <v>0</v>
      </c>
      <c r="O98" s="161" t="n">
        <f aca="false">IF(MIN(O96,O97)&gt;1,0,MIN(O96,O97))</f>
        <v>0</v>
      </c>
      <c r="P98" s="161" t="n">
        <f aca="false">IF(MIN(P96,P97)&gt;1,0,MIN(P96,P97))</f>
        <v>0</v>
      </c>
      <c r="Q98" s="161" t="n">
        <f aca="false">IF(MIN(Q96,Q97)&gt;1,0,MIN(Q96,Q97))</f>
        <v>0</v>
      </c>
      <c r="R98" s="161" t="n">
        <f aca="false">IF(MIN(R96,R97)&gt;1,0,MIN(R96,R97))</f>
        <v>0</v>
      </c>
      <c r="S98" s="161" t="n">
        <f aca="false">IF(MIN(S96,S97)&gt;1,0,MIN(S96,S97))</f>
        <v>0</v>
      </c>
    </row>
    <row r="99" customFormat="false" ht="15.6" hidden="false" customHeight="false" outlineLevel="0" collapsed="false">
      <c r="A99" s="242"/>
      <c r="B99" s="142"/>
      <c r="C99" s="131"/>
      <c r="G99" s="0"/>
      <c r="H99" s="165" t="s">
        <v>293</v>
      </c>
      <c r="I99" s="165"/>
      <c r="J99" s="165"/>
      <c r="K99" s="165"/>
      <c r="L99" s="165"/>
      <c r="M99" s="165"/>
      <c r="N99" s="165"/>
      <c r="O99" s="165"/>
      <c r="P99" s="165"/>
      <c r="Q99" s="165"/>
      <c r="R99" s="165"/>
      <c r="S99" s="165"/>
    </row>
    <row r="100" customFormat="false" ht="15.6" hidden="false" customHeight="false" outlineLevel="0" collapsed="false">
      <c r="A100" s="242"/>
      <c r="B100" s="142"/>
      <c r="C100" s="131"/>
      <c r="G100" s="214" t="s">
        <v>291</v>
      </c>
      <c r="H100" s="131" t="n">
        <f aca="false">H49/ABS(H31+0.000001)</f>
        <v>4.99999995E-005</v>
      </c>
      <c r="I100" s="131" t="n">
        <f aca="false">I49/ABS(I31+0.000001)</f>
        <v>5.00000005E-005</v>
      </c>
      <c r="J100" s="131" t="n">
        <f aca="false">J49/ABS(J31+0.000001)</f>
        <v>5.00000005E-005</v>
      </c>
      <c r="K100" s="131" t="n">
        <f aca="false">K49/ABS(K31+0.000001)</f>
        <v>4.99999995E-005</v>
      </c>
      <c r="L100" s="131" t="n">
        <f aca="false">L49/ABS(L31+0.000001)</f>
        <v>0</v>
      </c>
      <c r="M100" s="131" t="n">
        <f aca="false">M49/ABS(M31+0.000001)</f>
        <v>0</v>
      </c>
      <c r="N100" s="131" t="n">
        <f aca="false">N49/ABS(N31+0.000001)</f>
        <v>0</v>
      </c>
      <c r="O100" s="131" t="n">
        <f aca="false">O49/ABS(O31+0.000001)</f>
        <v>0</v>
      </c>
      <c r="P100" s="131" t="n">
        <f aca="false">P49/ABS(P31+0.000001)</f>
        <v>0</v>
      </c>
      <c r="Q100" s="131" t="n">
        <f aca="false">Q49/ABS(Q31+0.000001)</f>
        <v>0</v>
      </c>
      <c r="R100" s="131" t="n">
        <f aca="false">R49/ABS(R31+0.000001)</f>
        <v>0</v>
      </c>
      <c r="S100" s="131" t="n">
        <f aca="false">S49/ABS(S31+0.000001)</f>
        <v>0</v>
      </c>
    </row>
    <row r="101" customFormat="false" ht="15.6" hidden="false" customHeight="false" outlineLevel="0" collapsed="false">
      <c r="A101" s="242"/>
      <c r="B101" s="142"/>
      <c r="C101" s="131"/>
      <c r="G101" s="214" t="s">
        <v>291</v>
      </c>
      <c r="H101" s="215" t="n">
        <f aca="false">H47/ABS(H33+0.000001)</f>
        <v>4.99999995E-005</v>
      </c>
      <c r="I101" s="215" t="n">
        <f aca="false">I47/ABS(I33+0.000001)</f>
        <v>4.99999995E-005</v>
      </c>
      <c r="J101" s="215" t="n">
        <f aca="false">J47/ABS(J33+0.000001)</f>
        <v>5.00000005E-005</v>
      </c>
      <c r="K101" s="215" t="n">
        <f aca="false">K47/ABS(K33+0.000001)</f>
        <v>5.00000005E-005</v>
      </c>
      <c r="L101" s="215" t="n">
        <f aca="false">L47/ABS(L33+0.000001)</f>
        <v>0</v>
      </c>
      <c r="M101" s="215" t="n">
        <f aca="false">M47/ABS(M33+0.000001)</f>
        <v>0</v>
      </c>
      <c r="N101" s="215" t="n">
        <f aca="false">N47/ABS(N33+0.000001)</f>
        <v>0</v>
      </c>
      <c r="O101" s="215" t="n">
        <f aca="false">O47/ABS(O33+0.000001)</f>
        <v>0</v>
      </c>
      <c r="P101" s="215" t="n">
        <f aca="false">P47/ABS(P33+0.000001)</f>
        <v>0</v>
      </c>
      <c r="Q101" s="215" t="n">
        <f aca="false">Q47/ABS(Q33+0.000001)</f>
        <v>0</v>
      </c>
      <c r="R101" s="215" t="n">
        <f aca="false">R47/ABS(R33+0.000001)</f>
        <v>0</v>
      </c>
      <c r="S101" s="215" t="n">
        <f aca="false">S47/ABS(S33+0.000001)</f>
        <v>0</v>
      </c>
    </row>
    <row r="102" customFormat="false" ht="15.6" hidden="false" customHeight="false" outlineLevel="0" collapsed="false">
      <c r="A102" s="242"/>
      <c r="B102" s="142"/>
      <c r="C102" s="131"/>
      <c r="G102" s="77" t="s">
        <v>292</v>
      </c>
      <c r="H102" s="161" t="n">
        <f aca="false">IF(MIN(H100,H101)&gt;1,0,MIN(H100,H101))</f>
        <v>4.99999995E-005</v>
      </c>
      <c r="I102" s="161" t="n">
        <f aca="false">IF(MIN(I100,I101)&gt;1,0,MIN(I100,I101))</f>
        <v>4.99999995E-005</v>
      </c>
      <c r="J102" s="161" t="n">
        <f aca="false">IF(MIN(J100,J101)&gt;1,0,MIN(J100,J101))</f>
        <v>5.00000005E-005</v>
      </c>
      <c r="K102" s="161" t="n">
        <f aca="false">IF(MIN(K100,K101)&gt;1,0,MIN(K100,K101))</f>
        <v>4.99999995E-005</v>
      </c>
      <c r="L102" s="161" t="n">
        <f aca="false">IF(MIN(L100,L101)&gt;1,0,MIN(L100,L101))</f>
        <v>0</v>
      </c>
      <c r="M102" s="161" t="n">
        <f aca="false">IF(MIN(M100,M101)&gt;1,0,MIN(M100,M101))</f>
        <v>0</v>
      </c>
      <c r="N102" s="161" t="n">
        <f aca="false">IF(MIN(N100,N101)&gt;1,0,MIN(N100,N101))</f>
        <v>0</v>
      </c>
      <c r="O102" s="161" t="n">
        <f aca="false">IF(MIN(O100,O101)&gt;1,0,MIN(O100,O101))</f>
        <v>0</v>
      </c>
      <c r="P102" s="161" t="n">
        <f aca="false">IF(MIN(P100,P101)&gt;1,0,MIN(P100,P101))</f>
        <v>0</v>
      </c>
      <c r="Q102" s="161" t="n">
        <f aca="false">IF(MIN(Q100,Q101)&gt;1,0,MIN(Q100,Q101))</f>
        <v>0</v>
      </c>
      <c r="R102" s="161" t="n">
        <f aca="false">IF(MIN(R100,R101)&gt;1,0,MIN(R100,R101))</f>
        <v>0</v>
      </c>
      <c r="S102" s="161" t="n">
        <f aca="false">IF(MIN(S100,S101)&gt;1,0,MIN(S100,S101))</f>
        <v>0</v>
      </c>
    </row>
    <row r="103" customFormat="false" ht="15.6" hidden="false" customHeight="false" outlineLevel="0" collapsed="false">
      <c r="A103" s="242"/>
      <c r="B103" s="142"/>
      <c r="C103" s="131"/>
      <c r="G103" s="0"/>
      <c r="H103" s="77" t="s">
        <v>294</v>
      </c>
      <c r="I103" s="0"/>
      <c r="J103" s="0"/>
      <c r="K103" s="0"/>
      <c r="L103" s="0"/>
      <c r="M103" s="0"/>
      <c r="N103" s="0"/>
      <c r="O103" s="0"/>
      <c r="P103" s="0"/>
      <c r="Q103" s="0"/>
      <c r="R103" s="0"/>
      <c r="S103" s="0"/>
    </row>
    <row r="104" customFormat="false" ht="15.6" hidden="false" customHeight="false" outlineLevel="0" collapsed="false">
      <c r="A104" s="242"/>
      <c r="B104" s="142"/>
      <c r="C104" s="131"/>
      <c r="G104" s="165" t="s">
        <v>291</v>
      </c>
      <c r="H104" s="77" t="n">
        <f aca="false">H48/ABS(H31+0.000001)</f>
        <v>4.99999995E-005</v>
      </c>
      <c r="I104" s="77" t="n">
        <f aca="false">I48/ABS(I31+0.000001)</f>
        <v>5.00000005E-005</v>
      </c>
      <c r="J104" s="77" t="n">
        <f aca="false">J48/ABS(J31+0.000001)</f>
        <v>5.00000005E-005</v>
      </c>
      <c r="K104" s="77" t="n">
        <f aca="false">K48/ABS(K31+0.000001)</f>
        <v>4.99999995E-005</v>
      </c>
      <c r="L104" s="77" t="n">
        <f aca="false">L48/ABS(L31+0.000001)</f>
        <v>0</v>
      </c>
      <c r="M104" s="77" t="n">
        <f aca="false">M48/ABS(M31+0.000001)</f>
        <v>0</v>
      </c>
      <c r="N104" s="77" t="n">
        <f aca="false">N48/ABS(N31+0.000001)</f>
        <v>0</v>
      </c>
      <c r="O104" s="77" t="n">
        <f aca="false">O48/ABS(O31+0.000001)</f>
        <v>0</v>
      </c>
      <c r="P104" s="77" t="n">
        <f aca="false">P48/ABS(P31+0.000001)</f>
        <v>0</v>
      </c>
      <c r="Q104" s="77" t="n">
        <f aca="false">Q48/ABS(Q31+0.000001)</f>
        <v>0</v>
      </c>
      <c r="R104" s="77" t="n">
        <f aca="false">R48/ABS(R31+0.000001)</f>
        <v>0</v>
      </c>
      <c r="S104" s="77" t="n">
        <f aca="false">S48/ABS(S31+0.000001)</f>
        <v>0</v>
      </c>
    </row>
    <row r="105" customFormat="false" ht="15.6" hidden="false" customHeight="false" outlineLevel="0" collapsed="false">
      <c r="A105" s="242"/>
      <c r="B105" s="142"/>
      <c r="C105" s="131"/>
      <c r="G105" s="165" t="s">
        <v>291</v>
      </c>
      <c r="H105" s="77" t="n">
        <f aca="false">H47/ABS(H32+0.000001)</f>
        <v>5000</v>
      </c>
      <c r="I105" s="77" t="n">
        <f aca="false">I47/ABS(I32+0.000001)</f>
        <v>5000</v>
      </c>
      <c r="J105" s="77" t="n">
        <f aca="false">J47/ABS(J32+0.000001)</f>
        <v>5000</v>
      </c>
      <c r="K105" s="77" t="n">
        <f aca="false">K47/ABS(K32+0.000001)</f>
        <v>5000</v>
      </c>
      <c r="L105" s="77" t="n">
        <f aca="false">L47/ABS(L32+0.000001)</f>
        <v>0</v>
      </c>
      <c r="M105" s="77" t="n">
        <f aca="false">M47/ABS(M32+0.000001)</f>
        <v>0</v>
      </c>
      <c r="N105" s="77" t="n">
        <f aca="false">N47/ABS(N32+0.000001)</f>
        <v>0</v>
      </c>
      <c r="O105" s="77" t="n">
        <f aca="false">O47/ABS(O32+0.000001)</f>
        <v>0</v>
      </c>
      <c r="P105" s="77" t="n">
        <f aca="false">P47/ABS(P32+0.000001)</f>
        <v>0</v>
      </c>
      <c r="Q105" s="77" t="n">
        <f aca="false">Q47/ABS(Q32+0.000001)</f>
        <v>0</v>
      </c>
      <c r="R105" s="77" t="n">
        <f aca="false">R47/ABS(R32+0.000001)</f>
        <v>0</v>
      </c>
      <c r="S105" s="77" t="n">
        <f aca="false">S47/ABS(S32+0.000001)</f>
        <v>0</v>
      </c>
    </row>
    <row r="106" customFormat="false" ht="15.6" hidden="false" customHeight="false" outlineLevel="0" collapsed="false">
      <c r="A106" s="242"/>
      <c r="B106" s="142"/>
      <c r="C106" s="131"/>
      <c r="G106" s="77" t="s">
        <v>292</v>
      </c>
      <c r="H106" s="161" t="n">
        <f aca="false">IF(MIN(H104,H105)&gt;1,0,MIN(H104,H105))</f>
        <v>4.99999995E-005</v>
      </c>
      <c r="I106" s="161" t="n">
        <f aca="false">IF(MIN(I104,I105)&gt;1,0,MIN(I104,I105))</f>
        <v>5.00000005E-005</v>
      </c>
      <c r="J106" s="161" t="n">
        <f aca="false">IF(MIN(J104,J105)&gt;1,0,MIN(J104,J105))</f>
        <v>5.00000005E-005</v>
      </c>
      <c r="K106" s="161" t="n">
        <f aca="false">IF(MIN(K104,K105)&gt;1,0,MIN(K104,K105))</f>
        <v>4.99999995E-005</v>
      </c>
      <c r="L106" s="161" t="n">
        <f aca="false">IF(MIN(L104,L105)&gt;1,0,MIN(L104,L105))</f>
        <v>0</v>
      </c>
      <c r="M106" s="161" t="n">
        <f aca="false">IF(MIN(M104,M105)&gt;1,0,MIN(M104,M105))</f>
        <v>0</v>
      </c>
      <c r="N106" s="161" t="n">
        <f aca="false">IF(MIN(N104,N105)&gt;1,0,MIN(N104,N105))</f>
        <v>0</v>
      </c>
      <c r="O106" s="161" t="n">
        <f aca="false">IF(MIN(O104,O105)&gt;1,0,MIN(O104,O105))</f>
        <v>0</v>
      </c>
      <c r="P106" s="161" t="n">
        <f aca="false">IF(MIN(P104,P105)&gt;1,0,MIN(P104,P105))</f>
        <v>0</v>
      </c>
      <c r="Q106" s="161" t="n">
        <f aca="false">IF(MIN(Q104,Q105)&gt;1,0,MIN(Q104,Q105))</f>
        <v>0</v>
      </c>
      <c r="R106" s="161" t="n">
        <f aca="false">IF(MIN(R104,R105)&gt;1,0,MIN(R104,R105))</f>
        <v>0</v>
      </c>
      <c r="S106" s="161" t="n">
        <f aca="false">IF(MIN(S104,S105)&gt;1,0,MIN(S104,S105))</f>
        <v>0</v>
      </c>
    </row>
    <row r="107" customFormat="false" ht="15.6" hidden="false" customHeight="false" outlineLevel="0" collapsed="false">
      <c r="A107" s="242"/>
      <c r="B107" s="142"/>
      <c r="C107" s="131"/>
      <c r="G107" s="0"/>
      <c r="H107" s="0"/>
      <c r="I107" s="0"/>
      <c r="J107" s="0"/>
      <c r="K107" s="0"/>
      <c r="L107" s="0"/>
      <c r="M107" s="0"/>
      <c r="N107" s="0"/>
      <c r="O107" s="0"/>
      <c r="P107" s="0"/>
      <c r="Q107" s="0"/>
      <c r="R107" s="0"/>
      <c r="S107" s="0"/>
    </row>
    <row r="108" customFormat="false" ht="15.6" hidden="false" customHeight="false" outlineLevel="0" collapsed="false">
      <c r="A108" s="242"/>
      <c r="B108" s="142"/>
      <c r="C108" s="131"/>
      <c r="G108" s="212" t="s">
        <v>295</v>
      </c>
      <c r="H108" s="212"/>
      <c r="I108" s="212"/>
      <c r="J108" s="212"/>
      <c r="K108" s="212"/>
      <c r="L108" s="212"/>
      <c r="M108" s="212"/>
      <c r="N108" s="212"/>
      <c r="O108" s="212"/>
      <c r="P108" s="212"/>
      <c r="Q108" s="0"/>
      <c r="R108" s="0"/>
      <c r="S108" s="0"/>
    </row>
    <row r="109" customFormat="false" ht="15.6" hidden="false" customHeight="false" outlineLevel="0" collapsed="false">
      <c r="A109" s="242"/>
      <c r="B109" s="142"/>
      <c r="C109" s="131"/>
      <c r="G109" s="0"/>
      <c r="H109" s="153" t="s">
        <v>296</v>
      </c>
      <c r="I109" s="153"/>
      <c r="J109" s="153"/>
      <c r="K109" s="153"/>
      <c r="L109" s="153"/>
      <c r="M109" s="153"/>
      <c r="N109" s="153"/>
      <c r="O109" s="153"/>
      <c r="P109" s="153"/>
      <c r="Q109" s="153"/>
      <c r="R109" s="153"/>
      <c r="S109" s="153"/>
    </row>
    <row r="110" customFormat="false" ht="15.6" hidden="false" customHeight="false" outlineLevel="0" collapsed="false">
      <c r="G110" s="165" t="s">
        <v>291</v>
      </c>
      <c r="H110" s="161" t="n">
        <f aca="false">H56/(H33+0.000001)</f>
        <v>0</v>
      </c>
      <c r="I110" s="161" t="n">
        <f aca="false">I56/(I33+0.000001)</f>
        <v>0</v>
      </c>
      <c r="J110" s="161" t="n">
        <f aca="false">J56/(J33+0.000001)</f>
        <v>-0</v>
      </c>
      <c r="K110" s="161" t="n">
        <f aca="false">K56/(K33+0.000001)</f>
        <v>-0</v>
      </c>
      <c r="L110" s="161" t="n">
        <f aca="false">L56/(L33+0.000001)</f>
        <v>0</v>
      </c>
      <c r="M110" s="161" t="n">
        <f aca="false">M56/(M33+0.000001)</f>
        <v>0</v>
      </c>
      <c r="N110" s="161" t="n">
        <f aca="false">N56/(N33+0.000001)</f>
        <v>0</v>
      </c>
      <c r="O110" s="161" t="n">
        <f aca="false">O56/(O33+0.000001)</f>
        <v>0</v>
      </c>
      <c r="P110" s="161" t="n">
        <f aca="false">P56/(P33+0.000001)</f>
        <v>0</v>
      </c>
      <c r="Q110" s="161" t="n">
        <f aca="false">Q56/(Q33+0.000001)</f>
        <v>0</v>
      </c>
      <c r="R110" s="161" t="n">
        <f aca="false">R56/(R33+0.000001)</f>
        <v>0</v>
      </c>
      <c r="S110" s="161" t="n">
        <f aca="false">S56/(S33+0.000001)</f>
        <v>0</v>
      </c>
    </row>
    <row r="111" customFormat="false" ht="15.6" hidden="false" customHeight="false" outlineLevel="0" collapsed="false">
      <c r="G111" s="165" t="s">
        <v>291</v>
      </c>
      <c r="H111" s="216" t="n">
        <f aca="false">H57/(H32+0.000001)</f>
        <v>0</v>
      </c>
      <c r="I111" s="216" t="n">
        <f aca="false">I57/(I32+0.000001)</f>
        <v>0</v>
      </c>
      <c r="J111" s="216" t="n">
        <f aca="false">J57/(J32+0.000001)</f>
        <v>0</v>
      </c>
      <c r="K111" s="216" t="n">
        <f aca="false">K57/(K32+0.000001)</f>
        <v>0</v>
      </c>
      <c r="L111" s="216" t="n">
        <f aca="false">L57/(L32+0.000001)</f>
        <v>0</v>
      </c>
      <c r="M111" s="216" t="n">
        <f aca="false">M57/(M32+0.000001)</f>
        <v>0</v>
      </c>
      <c r="N111" s="216" t="n">
        <f aca="false">N57/(N32+0.000001)</f>
        <v>0</v>
      </c>
      <c r="O111" s="216" t="n">
        <f aca="false">O57/(O32+0.000001)</f>
        <v>0</v>
      </c>
      <c r="P111" s="216" t="n">
        <f aca="false">P57/(P32+0.000001)</f>
        <v>0</v>
      </c>
      <c r="Q111" s="216" t="n">
        <f aca="false">Q57/(Q32+0.000001)</f>
        <v>0</v>
      </c>
      <c r="R111" s="216" t="n">
        <f aca="false">R57/(R32+0.000001)</f>
        <v>0</v>
      </c>
      <c r="S111" s="216" t="n">
        <f aca="false">S57/(S32+0.000001)</f>
        <v>0</v>
      </c>
    </row>
    <row r="112" customFormat="false" ht="15.6" hidden="false" customHeight="false" outlineLevel="0" collapsed="false">
      <c r="G112" s="77" t="s">
        <v>297</v>
      </c>
      <c r="H112" s="217" t="n">
        <f aca="false">SIGN(H110+0.000000000001)*SIGN(H111+0.000000000001)</f>
        <v>1</v>
      </c>
      <c r="I112" s="217" t="n">
        <f aca="false">SIGN(I110+0.000000000001)*SIGN(I111+0.000000000001)</f>
        <v>1</v>
      </c>
      <c r="J112" s="217" t="n">
        <f aca="false">SIGN(J110+0.000000000001)*SIGN(J111+0.000000000001)</f>
        <v>1</v>
      </c>
      <c r="K112" s="217" t="n">
        <f aca="false">SIGN(K110+0.000000000001)*SIGN(K111+0.000000000001)</f>
        <v>1</v>
      </c>
      <c r="L112" s="217" t="n">
        <f aca="false">SIGN(L110+0.000000000001)*SIGN(L111+0.000000000001)</f>
        <v>1</v>
      </c>
      <c r="M112" s="217" t="n">
        <f aca="false">SIGN(M110+0.000000000001)*SIGN(M111+0.000000000001)</f>
        <v>1</v>
      </c>
      <c r="N112" s="217" t="n">
        <f aca="false">SIGN(N110+0.000000000001)*SIGN(N111+0.000000000001)</f>
        <v>1</v>
      </c>
      <c r="O112" s="217" t="n">
        <f aca="false">SIGN(O110+0.000000000001)*SIGN(O111+0.000000000001)</f>
        <v>1</v>
      </c>
      <c r="P112" s="217" t="n">
        <f aca="false">SIGN(P110+0.000000000001)*SIGN(P111+0.000000000001)</f>
        <v>1</v>
      </c>
      <c r="Q112" s="217" t="n">
        <f aca="false">SIGN(Q110+0.000000000001)*SIGN(Q111+0.000000000001)</f>
        <v>1</v>
      </c>
      <c r="R112" s="217" t="n">
        <f aca="false">SIGN(R110+0.000000000001)*SIGN(R111+0.000000000001)</f>
        <v>1</v>
      </c>
      <c r="S112" s="217" t="n">
        <f aca="false">SIGN(S110+0.000000000001)*SIGN(S111+0.000000000001)</f>
        <v>1</v>
      </c>
    </row>
    <row r="113" customFormat="false" ht="15.6" hidden="false" customHeight="false" outlineLevel="0" collapsed="false">
      <c r="G113" s="77" t="s">
        <v>292</v>
      </c>
      <c r="H113" s="161" t="n">
        <f aca="false">IF(H112*MIN(ABS(H110),ABS(H111))&gt;1,0,H112*MIN(ABS(H110),ABS(H111)))</f>
        <v>0</v>
      </c>
      <c r="I113" s="161" t="n">
        <f aca="false">IF(I112*MIN(ABS(I110),ABS(I111))&gt;1,0,I112*MIN(ABS(I110),ABS(I111)))</f>
        <v>0</v>
      </c>
      <c r="J113" s="161" t="n">
        <f aca="false">IF(J112*MIN(ABS(J110),ABS(J111))&gt;1,0,J112*MIN(ABS(J110),ABS(J111)))</f>
        <v>0</v>
      </c>
      <c r="K113" s="161" t="n">
        <f aca="false">IF(K112*MIN(ABS(K110),ABS(K111))&gt;1,0,K112*MIN(ABS(K110),ABS(K111)))</f>
        <v>0</v>
      </c>
      <c r="L113" s="161" t="n">
        <f aca="false">IF(L112*MIN(ABS(L110),ABS(L111))&gt;1,0,L112*MIN(ABS(L110),ABS(L111)))</f>
        <v>0</v>
      </c>
      <c r="M113" s="161" t="n">
        <f aca="false">IF(M112*MIN(ABS(M110),ABS(M111))&gt;1,0,M112*MIN(ABS(M110),ABS(M111)))</f>
        <v>0</v>
      </c>
      <c r="N113" s="161" t="n">
        <f aca="false">IF(N112*MIN(ABS(N110),ABS(N111))&gt;1,0,N112*MIN(ABS(N110),ABS(N111)))</f>
        <v>0</v>
      </c>
      <c r="O113" s="161" t="n">
        <f aca="false">IF(O112*MIN(ABS(O110),ABS(O111))&gt;1,0,O112*MIN(ABS(O110),ABS(O111)))</f>
        <v>0</v>
      </c>
      <c r="P113" s="161" t="n">
        <f aca="false">IF(P112*MIN(ABS(P110),ABS(P111))&gt;1,0,P112*MIN(ABS(P110),ABS(P111)))</f>
        <v>0</v>
      </c>
      <c r="Q113" s="161" t="n">
        <f aca="false">IF(Q112*MIN(ABS(Q110),ABS(Q111))&gt;1,0,Q112*MIN(ABS(Q110),ABS(Q111)))</f>
        <v>0</v>
      </c>
      <c r="R113" s="161" t="n">
        <f aca="false">IF(R112*MIN(ABS(R110),ABS(R111))&gt;1,0,R112*MIN(ABS(R110),ABS(R111)))</f>
        <v>0</v>
      </c>
      <c r="S113" s="161" t="n">
        <f aca="false">IF(S112*MIN(ABS(S110),ABS(S111))&gt;1,0,S112*MIN(ABS(S110),ABS(S111)))</f>
        <v>0</v>
      </c>
    </row>
    <row r="114" customFormat="false" ht="15.6" hidden="false" customHeight="false" outlineLevel="0" collapsed="false">
      <c r="G114" s="0"/>
      <c r="H114" s="153" t="s">
        <v>298</v>
      </c>
      <c r="I114" s="153"/>
      <c r="J114" s="153"/>
      <c r="K114" s="153"/>
      <c r="L114" s="153"/>
      <c r="M114" s="153"/>
      <c r="N114" s="153"/>
      <c r="O114" s="153"/>
      <c r="P114" s="153"/>
      <c r="Q114" s="153"/>
      <c r="R114" s="153"/>
      <c r="S114" s="153"/>
    </row>
    <row r="115" customFormat="false" ht="15.6" hidden="false" customHeight="false" outlineLevel="0" collapsed="false">
      <c r="G115" s="214" t="s">
        <v>291</v>
      </c>
      <c r="H115" s="131" t="n">
        <f aca="false">-H57/(H31+0.000001)</f>
        <v>-0</v>
      </c>
      <c r="I115" s="131" t="n">
        <f aca="false">-I57/(I31+0.000001)</f>
        <v>0</v>
      </c>
      <c r="J115" s="131" t="n">
        <f aca="false">-J57/(J31+0.000001)</f>
        <v>0</v>
      </c>
      <c r="K115" s="131" t="n">
        <f aca="false">-K57/(K31+0.000001)</f>
        <v>-0</v>
      </c>
      <c r="L115" s="131" t="n">
        <f aca="false">-L57/(L31+0.000001)</f>
        <v>-0</v>
      </c>
      <c r="M115" s="131" t="n">
        <f aca="false">-M57/(M31+0.000001)</f>
        <v>-0</v>
      </c>
      <c r="N115" s="131" t="n">
        <f aca="false">-N57/(N31+0.000001)</f>
        <v>-0</v>
      </c>
      <c r="O115" s="131" t="n">
        <f aca="false">-O57/(O31+0.000001)</f>
        <v>-0</v>
      </c>
      <c r="P115" s="131" t="n">
        <f aca="false">-P57/(P31+0.000001)</f>
        <v>-0</v>
      </c>
      <c r="Q115" s="131" t="n">
        <f aca="false">-Q57/(Q31+0.000001)</f>
        <v>-0</v>
      </c>
      <c r="R115" s="131" t="n">
        <f aca="false">-R57/(R31+0.000001)</f>
        <v>-0</v>
      </c>
      <c r="S115" s="131" t="n">
        <f aca="false">-S57/(S31+0.000001)</f>
        <v>-0</v>
      </c>
    </row>
    <row r="116" customFormat="false" ht="15.6" hidden="false" customHeight="false" outlineLevel="0" collapsed="false">
      <c r="G116" s="214" t="s">
        <v>291</v>
      </c>
      <c r="H116" s="131" t="n">
        <f aca="false">H55/(H33+0.000001)</f>
        <v>0</v>
      </c>
      <c r="I116" s="131" t="n">
        <f aca="false">I55/(I33+0.000001)</f>
        <v>0</v>
      </c>
      <c r="J116" s="131" t="n">
        <f aca="false">J55/(J33+0.000001)</f>
        <v>-0</v>
      </c>
      <c r="K116" s="131" t="n">
        <f aca="false">K55/(K33+0.000001)</f>
        <v>-0</v>
      </c>
      <c r="L116" s="131" t="n">
        <f aca="false">L55/(L33+0.000001)</f>
        <v>0</v>
      </c>
      <c r="M116" s="131" t="n">
        <f aca="false">M55/(M33+0.000001)</f>
        <v>0</v>
      </c>
      <c r="N116" s="131" t="n">
        <f aca="false">N55/(N33+0.000001)</f>
        <v>0</v>
      </c>
      <c r="O116" s="131" t="n">
        <f aca="false">O55/(O33+0.000001)</f>
        <v>0</v>
      </c>
      <c r="P116" s="131" t="n">
        <f aca="false">P55/(P33+0.000001)</f>
        <v>0</v>
      </c>
      <c r="Q116" s="131" t="n">
        <f aca="false">Q55/(Q33+0.000001)</f>
        <v>0</v>
      </c>
      <c r="R116" s="131" t="n">
        <f aca="false">R55/(R33+0.000001)</f>
        <v>0</v>
      </c>
      <c r="S116" s="131" t="n">
        <f aca="false">S55/(S33+0.000001)</f>
        <v>0</v>
      </c>
    </row>
    <row r="117" customFormat="false" ht="15.6" hidden="false" customHeight="false" outlineLevel="0" collapsed="false">
      <c r="G117" s="131" t="s">
        <v>297</v>
      </c>
      <c r="H117" s="218" t="n">
        <f aca="false">SIGN(H115+0.000000000001)*SIGN(H116+0.000000000001)</f>
        <v>1</v>
      </c>
      <c r="I117" s="218" t="n">
        <f aca="false">SIGN(I115+0.000000000001)*SIGN(I116+0.000000000001)</f>
        <v>1</v>
      </c>
      <c r="J117" s="218" t="n">
        <f aca="false">SIGN(J115+0.000000000001)*SIGN(J116+0.000000000001)</f>
        <v>1</v>
      </c>
      <c r="K117" s="218" t="n">
        <f aca="false">SIGN(K115+0.000000000001)*SIGN(K116+0.000000000001)</f>
        <v>1</v>
      </c>
      <c r="L117" s="218" t="n">
        <f aca="false">SIGN(L115+0.000000000001)*SIGN(L116+0.000000000001)</f>
        <v>1</v>
      </c>
      <c r="M117" s="218" t="n">
        <f aca="false">SIGN(M115+0.000000000001)*SIGN(M116+0.000000000001)</f>
        <v>1</v>
      </c>
      <c r="N117" s="218" t="n">
        <f aca="false">SIGN(N115+0.000000000001)*SIGN(N116+0.000000000001)</f>
        <v>1</v>
      </c>
      <c r="O117" s="218" t="n">
        <f aca="false">SIGN(O115+0.000000000001)*SIGN(O116+0.000000000001)</f>
        <v>1</v>
      </c>
      <c r="P117" s="218" t="n">
        <f aca="false">SIGN(P115+0.000000000001)*SIGN(P116+0.000000000001)</f>
        <v>1</v>
      </c>
      <c r="Q117" s="218" t="n">
        <f aca="false">SIGN(Q115+0.000000000001)*SIGN(Q116+0.000000000001)</f>
        <v>1</v>
      </c>
      <c r="R117" s="218" t="n">
        <f aca="false">SIGN(R115+0.000000000001)*SIGN(R116+0.000000000001)</f>
        <v>1</v>
      </c>
      <c r="S117" s="218" t="n">
        <f aca="false">SIGN(S115+0.000000000001)*SIGN(S116+0.000000000001)</f>
        <v>1</v>
      </c>
    </row>
    <row r="118" customFormat="false" ht="15.6" hidden="false" customHeight="false" outlineLevel="0" collapsed="false">
      <c r="G118" s="131" t="s">
        <v>292</v>
      </c>
      <c r="H118" s="219" t="n">
        <f aca="false">IF(H117*MIN(ABS(H115),ABS(H116))&gt;1,0,H117*MIN(ABS(H115),ABS(H116)))</f>
        <v>0</v>
      </c>
      <c r="I118" s="219" t="n">
        <f aca="false">IF(I117*MIN(ABS(I115),ABS(I116))&gt;1,0,I117*MIN(ABS(I115),ABS(I116)))</f>
        <v>0</v>
      </c>
      <c r="J118" s="219" t="n">
        <f aca="false">IF(J117*MIN(ABS(J115),ABS(J116))&gt;1,0,J117*MIN(ABS(J115),ABS(J116)))</f>
        <v>0</v>
      </c>
      <c r="K118" s="219" t="n">
        <f aca="false">IF(K117*MIN(ABS(K115),ABS(K116))&gt;1,0,K117*MIN(ABS(K115),ABS(K116)))</f>
        <v>0</v>
      </c>
      <c r="L118" s="219" t="n">
        <f aca="false">IF(L117*MIN(ABS(L115),ABS(L116))&gt;1,0,L117*MIN(ABS(L115),ABS(L116)))</f>
        <v>0</v>
      </c>
      <c r="M118" s="219" t="n">
        <f aca="false">IF(M117*MIN(ABS(M115),ABS(M116))&gt;1,0,M117*MIN(ABS(M115),ABS(M116)))</f>
        <v>0</v>
      </c>
      <c r="N118" s="219" t="n">
        <f aca="false">IF(N117*MIN(ABS(N115),ABS(N116))&gt;1,0,N117*MIN(ABS(N115),ABS(N116)))</f>
        <v>0</v>
      </c>
      <c r="O118" s="219" t="n">
        <f aca="false">IF(O117*MIN(ABS(O115),ABS(O116))&gt;1,0,O117*MIN(ABS(O115),ABS(O116)))</f>
        <v>0</v>
      </c>
      <c r="P118" s="219" t="n">
        <f aca="false">IF(P117*MIN(ABS(P115),ABS(P116))&gt;1,0,P117*MIN(ABS(P115),ABS(P116)))</f>
        <v>0</v>
      </c>
      <c r="Q118" s="219" t="n">
        <f aca="false">IF(Q117*MIN(ABS(Q115),ABS(Q116))&gt;1,0,Q117*MIN(ABS(Q115),ABS(Q116)))</f>
        <v>0</v>
      </c>
      <c r="R118" s="219" t="n">
        <f aca="false">IF(R117*MIN(ABS(R115),ABS(R116))&gt;1,0,R117*MIN(ABS(R115),ABS(R116)))</f>
        <v>0</v>
      </c>
      <c r="S118" s="219" t="n">
        <f aca="false">IF(S117*MIN(ABS(S115),ABS(S116))&gt;1,0,S117*MIN(ABS(S115),ABS(S116)))</f>
        <v>0</v>
      </c>
    </row>
    <row r="119" customFormat="false" ht="15.6" hidden="false" customHeight="false" outlineLevel="0" collapsed="false">
      <c r="G119" s="0"/>
      <c r="H119" s="153" t="s">
        <v>299</v>
      </c>
      <c r="I119" s="153"/>
      <c r="J119" s="153"/>
      <c r="K119" s="153"/>
      <c r="L119" s="153"/>
      <c r="M119" s="153"/>
      <c r="N119" s="153"/>
      <c r="O119" s="153"/>
      <c r="P119" s="153"/>
      <c r="Q119" s="153"/>
      <c r="R119" s="153"/>
      <c r="S119" s="153"/>
    </row>
    <row r="120" customFormat="false" ht="15.6" hidden="false" customHeight="false" outlineLevel="0" collapsed="false">
      <c r="G120" s="165" t="s">
        <v>291</v>
      </c>
      <c r="H120" s="161" t="n">
        <f aca="false">H56/(H31+0.000001)</f>
        <v>0</v>
      </c>
      <c r="I120" s="161" t="n">
        <f aca="false">I56/(I31+0.000001)</f>
        <v>-0</v>
      </c>
      <c r="J120" s="161" t="n">
        <f aca="false">J56/(J31+0.000001)</f>
        <v>-0</v>
      </c>
      <c r="K120" s="161" t="n">
        <f aca="false">K56/(K31+0.000001)</f>
        <v>0</v>
      </c>
      <c r="L120" s="161" t="n">
        <f aca="false">L56/(L31+0.000001)</f>
        <v>0</v>
      </c>
      <c r="M120" s="161" t="n">
        <f aca="false">M56/(M31+0.000001)</f>
        <v>0</v>
      </c>
      <c r="N120" s="161" t="n">
        <f aca="false">N56/(N31+0.000001)</f>
        <v>0</v>
      </c>
      <c r="O120" s="161" t="n">
        <f aca="false">O56/(O31+0.000001)</f>
        <v>0</v>
      </c>
      <c r="P120" s="161" t="n">
        <f aca="false">P56/(P31+0.000001)</f>
        <v>0</v>
      </c>
      <c r="Q120" s="161" t="n">
        <f aca="false">Q56/(Q31+0.000001)</f>
        <v>0</v>
      </c>
      <c r="R120" s="161" t="n">
        <f aca="false">R56/(R31+0.000001)</f>
        <v>0</v>
      </c>
      <c r="S120" s="161" t="n">
        <f aca="false">S56/(S31+0.000001)</f>
        <v>0</v>
      </c>
    </row>
    <row r="121" customFormat="false" ht="15.6" hidden="false" customHeight="false" outlineLevel="0" collapsed="false">
      <c r="G121" s="165" t="s">
        <v>291</v>
      </c>
      <c r="H121" s="77" t="n">
        <f aca="false">H55/(H32+0.000001)</f>
        <v>0</v>
      </c>
      <c r="I121" s="77" t="n">
        <f aca="false">I55/(I32+0.000001)</f>
        <v>0</v>
      </c>
      <c r="J121" s="77" t="n">
        <f aca="false">J55/(J32+0.000001)</f>
        <v>0</v>
      </c>
      <c r="K121" s="77" t="n">
        <f aca="false">K55/(K32+0.000001)</f>
        <v>0</v>
      </c>
      <c r="L121" s="77" t="n">
        <f aca="false">L55/(L32+0.000001)</f>
        <v>0</v>
      </c>
      <c r="M121" s="77" t="n">
        <f aca="false">M55/(M32+0.000001)</f>
        <v>0</v>
      </c>
      <c r="N121" s="77" t="n">
        <f aca="false">N55/(N32+0.000001)</f>
        <v>0</v>
      </c>
      <c r="O121" s="77" t="n">
        <f aca="false">O55/(O32+0.000001)</f>
        <v>0</v>
      </c>
      <c r="P121" s="77" t="n">
        <f aca="false">P55/(P32+0.000001)</f>
        <v>0</v>
      </c>
      <c r="Q121" s="77" t="n">
        <f aca="false">Q55/(Q32+0.000001)</f>
        <v>0</v>
      </c>
      <c r="R121" s="77" t="n">
        <f aca="false">R55/(R32+0.000001)</f>
        <v>0</v>
      </c>
      <c r="S121" s="77" t="n">
        <f aca="false">S55/(S32+0.000001)</f>
        <v>0</v>
      </c>
    </row>
    <row r="122" customFormat="false" ht="15.6" hidden="false" customHeight="false" outlineLevel="0" collapsed="false">
      <c r="G122" s="77" t="s">
        <v>297</v>
      </c>
      <c r="H122" s="217" t="n">
        <f aca="false">SIGN(H120+0.000000000001)*SIGN(H121+0.000000000001)</f>
        <v>1</v>
      </c>
      <c r="I122" s="217" t="n">
        <f aca="false">SIGN(I120+0.000000000001)*SIGN(I121+0.000000000001)</f>
        <v>1</v>
      </c>
      <c r="J122" s="217" t="n">
        <f aca="false">SIGN(J120+0.000000000001)*SIGN(J121+0.000000000001)</f>
        <v>1</v>
      </c>
      <c r="K122" s="217" t="n">
        <f aca="false">SIGN(K120+0.000000000001)*SIGN(K121+0.000000000001)</f>
        <v>1</v>
      </c>
      <c r="L122" s="217" t="n">
        <f aca="false">SIGN(L120+0.000000000001)*SIGN(L121+0.000000000001)</f>
        <v>1</v>
      </c>
      <c r="M122" s="217" t="n">
        <f aca="false">SIGN(M120+0.000000000001)*SIGN(M121+0.000000000001)</f>
        <v>1</v>
      </c>
      <c r="N122" s="217" t="n">
        <f aca="false">SIGN(N120+0.000000000001)*SIGN(N121+0.000000000001)</f>
        <v>1</v>
      </c>
      <c r="O122" s="217" t="n">
        <f aca="false">SIGN(O120+0.000000000001)*SIGN(O121+0.000000000001)</f>
        <v>1</v>
      </c>
      <c r="P122" s="217" t="n">
        <f aca="false">SIGN(P120+0.000000000001)*SIGN(P121+0.000000000001)</f>
        <v>1</v>
      </c>
      <c r="Q122" s="217" t="n">
        <f aca="false">SIGN(Q120+0.000000000001)*SIGN(Q121+0.000000000001)</f>
        <v>1</v>
      </c>
      <c r="R122" s="217" t="n">
        <f aca="false">SIGN(R120+0.000000000001)*SIGN(R121+0.000000000001)</f>
        <v>1</v>
      </c>
      <c r="S122" s="217" t="n">
        <f aca="false">SIGN(S120+0.000000000001)*SIGN(S121+0.000000000001)</f>
        <v>1</v>
      </c>
    </row>
    <row r="123" customFormat="false" ht="15.6" hidden="false" customHeight="false" outlineLevel="0" collapsed="false">
      <c r="G123" s="77" t="s">
        <v>292</v>
      </c>
      <c r="H123" s="161" t="n">
        <f aca="false">IF(H122*MIN(ABS(H120),ABS(H121))&gt;1,0,H122*MIN(ABS(H120),ABS(H121)))</f>
        <v>0</v>
      </c>
      <c r="I123" s="161" t="n">
        <f aca="false">IF(I122*MIN(ABS(I120),ABS(I121))&gt;1,0,I122*MIN(ABS(I120),ABS(I121)))</f>
        <v>0</v>
      </c>
      <c r="J123" s="161" t="n">
        <f aca="false">IF(J122*MIN(ABS(J120),ABS(J121))&gt;1,0,J122*MIN(ABS(J120),ABS(J121)))</f>
        <v>0</v>
      </c>
      <c r="K123" s="161" t="n">
        <f aca="false">IF(K122*MIN(ABS(K120),ABS(K121))&gt;1,0,K122*MIN(ABS(K120),ABS(K121)))</f>
        <v>0</v>
      </c>
      <c r="L123" s="161" t="n">
        <f aca="false">IF(L122*MIN(ABS(L120),ABS(L121))&gt;1,0,L122*MIN(ABS(L120),ABS(L121)))</f>
        <v>0</v>
      </c>
      <c r="M123" s="161" t="n">
        <f aca="false">IF(M122*MIN(ABS(M120),ABS(M121))&gt;1,0,M122*MIN(ABS(M120),ABS(M121)))</f>
        <v>0</v>
      </c>
      <c r="N123" s="161" t="n">
        <f aca="false">IF(N122*MIN(ABS(N120),ABS(N121))&gt;1,0,N122*MIN(ABS(N120),ABS(N121)))</f>
        <v>0</v>
      </c>
      <c r="O123" s="161" t="n">
        <f aca="false">IF(O122*MIN(ABS(O120),ABS(O121))&gt;1,0,O122*MIN(ABS(O120),ABS(O121)))</f>
        <v>0</v>
      </c>
      <c r="P123" s="161" t="n">
        <f aca="false">IF(P122*MIN(ABS(P120),ABS(P121))&gt;1,0,P122*MIN(ABS(P120),ABS(P121)))</f>
        <v>0</v>
      </c>
      <c r="Q123" s="161" t="n">
        <f aca="false">IF(Q122*MIN(ABS(Q120),ABS(Q121))&gt;1,0,Q122*MIN(ABS(Q120),ABS(Q121)))</f>
        <v>0</v>
      </c>
      <c r="R123" s="161" t="n">
        <f aca="false">IF(R122*MIN(ABS(R120),ABS(R121))&gt;1,0,R122*MIN(ABS(R120),ABS(R121)))</f>
        <v>0</v>
      </c>
      <c r="S123" s="161" t="n">
        <f aca="false">IF(S122*MIN(ABS(S120),ABS(S121))&gt;1,0,S122*MIN(ABS(S120),ABS(S121)))</f>
        <v>0</v>
      </c>
    </row>
  </sheetData>
  <mergeCells count="9">
    <mergeCell ref="E3:M3"/>
    <mergeCell ref="E4:M4"/>
    <mergeCell ref="F5:F10"/>
    <mergeCell ref="A22:M22"/>
    <mergeCell ref="H29:S29"/>
    <mergeCell ref="A32:C34"/>
    <mergeCell ref="H34:K34"/>
    <mergeCell ref="H38:K38"/>
    <mergeCell ref="H64:H69"/>
  </mergeCells>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A1:T122"/>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46" activeCellId="0" sqref="D46"/>
    </sheetView>
  </sheetViews>
  <sheetFormatPr defaultRowHeight="15.6"/>
  <cols>
    <col collapsed="false" hidden="false" max="1" min="1" style="77" width="46.4481481481482"/>
    <col collapsed="false" hidden="false" max="2" min="2" style="77" width="20.9703703703704"/>
    <col collapsed="false" hidden="false" max="3" min="3" style="77" width="40.962962962963"/>
    <col collapsed="false" hidden="false" max="4" min="4" style="77" width="12.2481481481481"/>
    <col collapsed="false" hidden="false" max="6" min="5" style="77" width="7.34814814814815"/>
    <col collapsed="false" hidden="false" max="7" min="7" style="77" width="16.6592592592593"/>
    <col collapsed="false" hidden="false" max="8" min="8" style="77" width="13.8185185185185"/>
    <col collapsed="false" hidden="false" max="11" min="9" style="77" width="11.2703703703704"/>
    <col collapsed="false" hidden="false" max="12" min="12" style="77" width="16.5592592592593"/>
    <col collapsed="false" hidden="false" max="1025" min="13" style="77" width="11.2703703703704"/>
  </cols>
  <sheetData>
    <row r="1" customFormat="false" ht="15.6" hidden="false" customHeight="false" outlineLevel="0" collapsed="false">
      <c r="A1" s="132" t="str">
        <f aca="false">'CSs and Loads'!A111</f>
        <v>CS 4</v>
      </c>
      <c r="B1" s="132" t="str">
        <f aca="false">'CSs and Loads'!A121</f>
        <v>Outboard legs</v>
      </c>
      <c r="C1" s="0"/>
      <c r="D1" s="0"/>
      <c r="E1" s="0"/>
      <c r="F1" s="0"/>
      <c r="G1" s="0"/>
      <c r="H1" s="0"/>
      <c r="I1" s="0"/>
      <c r="J1" s="0"/>
      <c r="K1" s="0"/>
      <c r="L1" s="0"/>
      <c r="M1" s="0"/>
      <c r="N1" s="0"/>
      <c r="O1" s="0"/>
      <c r="P1" s="0"/>
      <c r="Q1" s="0"/>
      <c r="R1" s="0"/>
      <c r="S1" s="0"/>
      <c r="T1" s="0"/>
    </row>
    <row r="2" customFormat="false" ht="16.2" hidden="false" customHeight="false" outlineLevel="0" collapsed="false">
      <c r="A2" s="134" t="s">
        <v>196</v>
      </c>
      <c r="B2" s="0"/>
      <c r="C2" s="0"/>
      <c r="D2" s="0"/>
      <c r="E2" s="136"/>
      <c r="F2" s="136"/>
      <c r="G2" s="136"/>
      <c r="H2" s="136"/>
      <c r="I2" s="191"/>
      <c r="J2" s="136"/>
      <c r="K2" s="136"/>
      <c r="L2" s="137"/>
      <c r="M2" s="137"/>
      <c r="N2" s="138"/>
      <c r="O2" s="0"/>
      <c r="P2" s="0"/>
      <c r="Q2" s="0"/>
      <c r="R2" s="0"/>
      <c r="S2" s="0"/>
      <c r="T2" s="0"/>
    </row>
    <row r="3" customFormat="false" ht="15.6" hidden="false" customHeight="false" outlineLevel="0" collapsed="false">
      <c r="A3" s="134" t="s">
        <v>197</v>
      </c>
      <c r="B3" s="0"/>
      <c r="C3" s="0"/>
      <c r="D3" s="220"/>
      <c r="E3" s="140" t="s">
        <v>198</v>
      </c>
      <c r="F3" s="140"/>
      <c r="G3" s="140"/>
      <c r="H3" s="140"/>
      <c r="I3" s="140"/>
      <c r="J3" s="140"/>
      <c r="K3" s="140"/>
      <c r="L3" s="140"/>
      <c r="M3" s="140"/>
      <c r="N3" s="141"/>
      <c r="O3" s="165"/>
      <c r="P3" s="0"/>
      <c r="Q3" s="0"/>
      <c r="R3" s="142"/>
      <c r="S3" s="0"/>
      <c r="T3" s="0"/>
    </row>
    <row r="4" customFormat="false" ht="15.6" hidden="false" customHeight="false" outlineLevel="0" collapsed="false">
      <c r="A4" s="134" t="s">
        <v>199</v>
      </c>
      <c r="B4" s="143" t="s">
        <v>322</v>
      </c>
      <c r="C4" s="134" t="s">
        <v>201</v>
      </c>
      <c r="D4" s="223"/>
      <c r="E4" s="260" t="s">
        <v>323</v>
      </c>
      <c r="F4" s="260"/>
      <c r="G4" s="260"/>
      <c r="H4" s="260"/>
      <c r="I4" s="260"/>
      <c r="J4" s="260"/>
      <c r="K4" s="260"/>
      <c r="L4" s="260"/>
      <c r="M4" s="260"/>
      <c r="N4" s="141"/>
      <c r="O4" s="165"/>
      <c r="P4" s="0"/>
      <c r="Q4" s="0"/>
      <c r="R4" s="142"/>
      <c r="S4" s="0"/>
      <c r="T4" s="0"/>
    </row>
    <row r="5" customFormat="false" ht="15.6" hidden="false" customHeight="false" outlineLevel="0" collapsed="false">
      <c r="A5" s="247" t="s">
        <v>203</v>
      </c>
      <c r="B5" s="143" t="s">
        <v>324</v>
      </c>
      <c r="C5" s="153" t="s">
        <v>205</v>
      </c>
      <c r="D5" s="223" t="n">
        <v>25</v>
      </c>
      <c r="E5" s="148" t="s">
        <v>206</v>
      </c>
      <c r="F5" s="149" t="s">
        <v>207</v>
      </c>
      <c r="G5" s="261" t="n">
        <v>0</v>
      </c>
      <c r="H5" s="261" t="n">
        <v>0</v>
      </c>
      <c r="I5" s="261" t="n">
        <v>0</v>
      </c>
      <c r="J5" s="261" t="n">
        <v>0</v>
      </c>
      <c r="K5" s="261" t="n">
        <v>0</v>
      </c>
      <c r="L5" s="261" t="n">
        <v>0</v>
      </c>
      <c r="M5" s="152" t="s">
        <v>208</v>
      </c>
      <c r="N5" s="141"/>
      <c r="O5" s="0"/>
      <c r="P5" s="0"/>
      <c r="Q5" s="0"/>
      <c r="R5" s="142"/>
      <c r="S5" s="0"/>
      <c r="T5" s="0"/>
    </row>
    <row r="6" customFormat="false" ht="15.6" hidden="false" customHeight="false" outlineLevel="0" collapsed="false">
      <c r="A6" s="247" t="s">
        <v>209</v>
      </c>
      <c r="B6" s="134"/>
      <c r="C6" s="153" t="s">
        <v>211</v>
      </c>
      <c r="D6" s="223" t="n">
        <f aca="false">1770*9.8</f>
        <v>17346</v>
      </c>
      <c r="E6" s="148" t="s">
        <v>212</v>
      </c>
      <c r="F6" s="149"/>
      <c r="G6" s="261" t="n">
        <v>0</v>
      </c>
      <c r="H6" s="261" t="n">
        <v>0</v>
      </c>
      <c r="I6" s="261" t="n">
        <v>0</v>
      </c>
      <c r="J6" s="261" t="n">
        <v>0</v>
      </c>
      <c r="K6" s="261" t="n">
        <v>0</v>
      </c>
      <c r="L6" s="261" t="n">
        <v>0</v>
      </c>
      <c r="M6" s="152" t="s">
        <v>213</v>
      </c>
      <c r="N6" s="141"/>
      <c r="O6" s="0"/>
      <c r="P6" s="0"/>
      <c r="Q6" s="0"/>
      <c r="R6" s="142"/>
      <c r="S6" s="0"/>
      <c r="T6" s="0"/>
    </row>
    <row r="7" customFormat="false" ht="15.6" hidden="false" customHeight="false" outlineLevel="0" collapsed="false">
      <c r="A7" s="153" t="s">
        <v>214</v>
      </c>
      <c r="B7" s="134"/>
      <c r="C7" s="153" t="s">
        <v>215</v>
      </c>
      <c r="D7" s="223" t="n">
        <f aca="false">647*1000</f>
        <v>647000</v>
      </c>
      <c r="E7" s="148" t="s">
        <v>216</v>
      </c>
      <c r="F7" s="149"/>
      <c r="G7" s="261" t="n">
        <v>0</v>
      </c>
      <c r="H7" s="261" t="n">
        <v>0</v>
      </c>
      <c r="I7" s="261" t="n">
        <v>0</v>
      </c>
      <c r="J7" s="261" t="n">
        <v>0</v>
      </c>
      <c r="K7" s="261" t="n">
        <v>0</v>
      </c>
      <c r="L7" s="261" t="n">
        <v>0</v>
      </c>
      <c r="M7" s="152" t="s">
        <v>217</v>
      </c>
      <c r="N7" s="141"/>
      <c r="O7" s="0"/>
      <c r="P7" s="0"/>
      <c r="Q7" s="0"/>
      <c r="R7" s="142"/>
      <c r="S7" s="0"/>
      <c r="T7" s="0"/>
    </row>
    <row r="8" customFormat="false" ht="15.6" hidden="false" customHeight="false" outlineLevel="0" collapsed="false">
      <c r="A8" s="153" t="s">
        <v>218</v>
      </c>
      <c r="B8" s="134"/>
      <c r="C8" s="153" t="s">
        <v>219</v>
      </c>
      <c r="D8" s="223" t="n">
        <v>3</v>
      </c>
      <c r="E8" s="148" t="s">
        <v>220</v>
      </c>
      <c r="F8" s="149"/>
      <c r="G8" s="261" t="n">
        <v>0</v>
      </c>
      <c r="H8" s="261" t="n">
        <v>0</v>
      </c>
      <c r="I8" s="261" t="n">
        <v>0</v>
      </c>
      <c r="J8" s="261" t="n">
        <v>0</v>
      </c>
      <c r="K8" s="261" t="n">
        <v>0</v>
      </c>
      <c r="L8" s="261" t="n">
        <v>0</v>
      </c>
      <c r="M8" s="152" t="s">
        <v>221</v>
      </c>
      <c r="N8" s="141"/>
      <c r="O8" s="0"/>
      <c r="P8" s="0"/>
      <c r="Q8" s="0"/>
      <c r="R8" s="142"/>
      <c r="S8" s="0"/>
      <c r="T8" s="0"/>
    </row>
    <row r="9" customFormat="false" ht="15.6" hidden="false" customHeight="false" outlineLevel="0" collapsed="false">
      <c r="A9" s="153" t="s">
        <v>222</v>
      </c>
      <c r="B9" s="134"/>
      <c r="C9" s="153" t="s">
        <v>223</v>
      </c>
      <c r="D9" s="223" t="n">
        <v>0.01</v>
      </c>
      <c r="E9" s="148" t="s">
        <v>224</v>
      </c>
      <c r="F9" s="149"/>
      <c r="G9" s="261" t="n">
        <v>0</v>
      </c>
      <c r="H9" s="261" t="n">
        <v>0</v>
      </c>
      <c r="I9" s="261" t="n">
        <v>0</v>
      </c>
      <c r="J9" s="261" t="n">
        <v>0</v>
      </c>
      <c r="K9" s="261" t="n">
        <v>0</v>
      </c>
      <c r="L9" s="261" t="n">
        <v>0</v>
      </c>
      <c r="M9" s="152" t="s">
        <v>225</v>
      </c>
      <c r="N9" s="141"/>
      <c r="O9" s="0"/>
      <c r="P9" s="0"/>
      <c r="Q9" s="0"/>
      <c r="R9" s="142"/>
      <c r="S9" s="0"/>
      <c r="T9" s="0"/>
    </row>
    <row r="10" customFormat="false" ht="16.2" hidden="false" customHeight="false" outlineLevel="0" collapsed="false">
      <c r="A10" s="213" t="s">
        <v>303</v>
      </c>
      <c r="B10" s="134"/>
      <c r="C10" s="153" t="s">
        <v>227</v>
      </c>
      <c r="D10" s="262" t="n">
        <f aca="false">D6/(D8*D9)</f>
        <v>578200</v>
      </c>
      <c r="E10" s="157" t="s">
        <v>228</v>
      </c>
      <c r="F10" s="149"/>
      <c r="G10" s="263" t="n">
        <v>0</v>
      </c>
      <c r="H10" s="263" t="n">
        <v>0</v>
      </c>
      <c r="I10" s="263" t="n">
        <v>0</v>
      </c>
      <c r="J10" s="263" t="n">
        <v>0</v>
      </c>
      <c r="K10" s="263" t="n">
        <v>0</v>
      </c>
      <c r="L10" s="263" t="n">
        <v>0</v>
      </c>
      <c r="M10" s="160" t="s">
        <v>229</v>
      </c>
      <c r="N10" s="141"/>
      <c r="O10" s="0"/>
      <c r="P10" s="0"/>
      <c r="Q10" s="0"/>
      <c r="R10" s="142"/>
      <c r="S10" s="0"/>
      <c r="T10" s="0"/>
    </row>
    <row r="11" customFormat="false" ht="15.6" hidden="false" customHeight="false" outlineLevel="0" collapsed="false">
      <c r="A11" s="165" t="s">
        <v>230</v>
      </c>
      <c r="B11" s="213"/>
      <c r="C11" s="153" t="s">
        <v>231</v>
      </c>
      <c r="D11" s="134" t="n">
        <v>25</v>
      </c>
      <c r="E11" s="187"/>
      <c r="F11" s="187"/>
      <c r="G11" s="187"/>
      <c r="H11" s="187"/>
      <c r="I11" s="187"/>
      <c r="J11" s="187"/>
      <c r="K11" s="187"/>
      <c r="L11" s="187"/>
      <c r="M11" s="187"/>
      <c r="N11" s="0"/>
      <c r="O11" s="0"/>
      <c r="P11" s="0"/>
      <c r="Q11" s="0"/>
      <c r="R11" s="142"/>
      <c r="S11" s="0"/>
      <c r="T11" s="0"/>
    </row>
    <row r="12" customFormat="false" ht="15.6" hidden="false" customHeight="false" outlineLevel="0" collapsed="false">
      <c r="A12" s="153" t="s">
        <v>232</v>
      </c>
      <c r="B12" s="134"/>
      <c r="C12" s="153" t="s">
        <v>233</v>
      </c>
      <c r="D12" s="155" t="n">
        <f aca="false">D7*D11^2/4</f>
        <v>101093750</v>
      </c>
      <c r="E12" s="0"/>
      <c r="F12" s="0"/>
      <c r="G12" s="0"/>
      <c r="H12" s="0"/>
      <c r="I12" s="134"/>
      <c r="J12" s="0"/>
      <c r="K12" s="0"/>
      <c r="L12" s="0"/>
      <c r="M12" s="0"/>
      <c r="N12" s="0"/>
      <c r="O12" s="165"/>
      <c r="P12" s="0"/>
      <c r="Q12" s="0"/>
      <c r="R12" s="142"/>
      <c r="S12" s="0"/>
      <c r="T12" s="0"/>
    </row>
    <row r="13" customFormat="false" ht="15.6" hidden="false" customHeight="false" outlineLevel="0" collapsed="false">
      <c r="A13" s="153" t="s">
        <v>325</v>
      </c>
      <c r="B13" s="134"/>
      <c r="C13" s="153" t="s">
        <v>235</v>
      </c>
      <c r="D13" s="155" t="n">
        <f aca="false">D7*D11^2/12</f>
        <v>33697916.6666667</v>
      </c>
      <c r="E13" s="0"/>
      <c r="F13" s="0"/>
      <c r="G13" s="0"/>
      <c r="H13" s="0"/>
      <c r="I13" s="134"/>
      <c r="J13" s="0"/>
      <c r="K13" s="0"/>
      <c r="L13" s="0"/>
      <c r="M13" s="0"/>
      <c r="N13" s="0"/>
      <c r="O13" s="165"/>
      <c r="P13" s="0"/>
      <c r="Q13" s="0"/>
      <c r="R13" s="142"/>
      <c r="S13" s="0"/>
      <c r="T13" s="0"/>
    </row>
    <row r="14" customFormat="false" ht="15.6" hidden="false" customHeight="false" outlineLevel="0" collapsed="false">
      <c r="A14" s="153" t="s">
        <v>326</v>
      </c>
      <c r="B14" s="134"/>
      <c r="C14" s="153" t="s">
        <v>237</v>
      </c>
      <c r="D14" s="155" t="n">
        <f aca="false">D13</f>
        <v>33697916.6666667</v>
      </c>
      <c r="E14" s="0"/>
      <c r="F14" s="0"/>
      <c r="G14" s="0"/>
      <c r="H14" s="0"/>
      <c r="I14" s="134"/>
      <c r="J14" s="0"/>
      <c r="K14" s="0"/>
      <c r="L14" s="0"/>
      <c r="M14" s="0"/>
      <c r="N14" s="0"/>
      <c r="O14" s="165"/>
      <c r="P14" s="0"/>
      <c r="Q14" s="0"/>
      <c r="R14" s="142"/>
      <c r="S14" s="0"/>
      <c r="T14" s="0"/>
    </row>
    <row r="15" customFormat="false" ht="15.6" hidden="false" customHeight="false" outlineLevel="0" collapsed="false">
      <c r="A15" s="153" t="s">
        <v>304</v>
      </c>
      <c r="B15" s="134"/>
      <c r="C15" s="247" t="s">
        <v>239</v>
      </c>
      <c r="D15" s="134"/>
      <c r="E15" s="0"/>
      <c r="F15" s="0"/>
      <c r="G15" s="0"/>
      <c r="H15" s="0"/>
      <c r="I15" s="134"/>
      <c r="J15" s="0"/>
      <c r="K15" s="0"/>
      <c r="L15" s="0"/>
      <c r="M15" s="0"/>
      <c r="N15" s="0"/>
      <c r="O15" s="165"/>
      <c r="P15" s="0"/>
      <c r="Q15" s="0"/>
      <c r="R15" s="142"/>
      <c r="S15" s="0"/>
      <c r="T15" s="0"/>
    </row>
    <row r="16" customFormat="false" ht="15.6" hidden="false" customHeight="false" outlineLevel="0" collapsed="false">
      <c r="A16" s="153" t="s">
        <v>240</v>
      </c>
      <c r="B16" s="134"/>
      <c r="C16" s="214" t="s">
        <v>241</v>
      </c>
      <c r="D16" s="143" t="s">
        <v>322</v>
      </c>
      <c r="E16" s="0"/>
      <c r="F16" s="0"/>
      <c r="G16" s="0"/>
      <c r="H16" s="0"/>
      <c r="I16" s="134"/>
      <c r="J16" s="0"/>
      <c r="K16" s="0"/>
      <c r="L16" s="0"/>
      <c r="M16" s="0"/>
      <c r="N16" s="0"/>
      <c r="O16" s="165"/>
      <c r="P16" s="0"/>
      <c r="Q16" s="0"/>
      <c r="R16" s="142"/>
      <c r="S16" s="0"/>
      <c r="T16" s="0"/>
    </row>
    <row r="17" customFormat="false" ht="15.6" hidden="false" customHeight="false" outlineLevel="0" collapsed="false">
      <c r="A17" s="153" t="s">
        <v>242</v>
      </c>
      <c r="B17" s="134"/>
      <c r="C17" s="242" t="s">
        <v>243</v>
      </c>
      <c r="D17" s="134" t="n">
        <v>18</v>
      </c>
      <c r="E17" s="0"/>
      <c r="F17" s="0"/>
      <c r="G17" s="0"/>
      <c r="H17" s="0"/>
      <c r="I17" s="134"/>
      <c r="J17" s="0"/>
      <c r="K17" s="0"/>
      <c r="L17" s="0"/>
      <c r="M17" s="0"/>
      <c r="N17" s="0"/>
      <c r="O17" s="165"/>
      <c r="P17" s="0"/>
      <c r="Q17" s="0"/>
      <c r="R17" s="142"/>
      <c r="S17" s="0"/>
      <c r="T17" s="0"/>
    </row>
    <row r="18" customFormat="false" ht="15.6" hidden="false" customHeight="false" outlineLevel="0" collapsed="false">
      <c r="A18" s="153" t="s">
        <v>244</v>
      </c>
      <c r="B18" s="134"/>
      <c r="C18" s="242" t="s">
        <v>232</v>
      </c>
      <c r="D18" s="155" t="n">
        <f aca="false">Summary!K10+Summary!M10</f>
        <v>0</v>
      </c>
      <c r="E18" s="0"/>
      <c r="F18" s="0"/>
      <c r="G18" s="0"/>
      <c r="H18" s="0"/>
      <c r="I18" s="134"/>
      <c r="J18" s="0"/>
      <c r="K18" s="0"/>
      <c r="L18" s="0"/>
      <c r="M18" s="0"/>
      <c r="N18" s="0"/>
      <c r="O18" s="165"/>
      <c r="P18" s="0"/>
      <c r="Q18" s="0"/>
      <c r="R18" s="142"/>
      <c r="S18" s="0"/>
      <c r="T18" s="0"/>
    </row>
    <row r="19" customFormat="false" ht="15.6" hidden="false" customHeight="false" outlineLevel="0" collapsed="false">
      <c r="A19" s="153" t="s">
        <v>245</v>
      </c>
      <c r="B19" s="134"/>
      <c r="C19" s="153" t="s">
        <v>246</v>
      </c>
      <c r="D19" s="264" t="n">
        <v>200000</v>
      </c>
      <c r="E19" s="0"/>
      <c r="F19" s="0"/>
      <c r="G19" s="0"/>
      <c r="H19" s="0"/>
      <c r="I19" s="134"/>
      <c r="J19" s="0"/>
      <c r="K19" s="0"/>
      <c r="L19" s="0"/>
      <c r="M19" s="0"/>
      <c r="N19" s="0"/>
      <c r="O19" s="165"/>
      <c r="P19" s="0"/>
      <c r="Q19" s="0"/>
      <c r="R19" s="142"/>
      <c r="S19" s="0"/>
      <c r="T19" s="0"/>
    </row>
    <row r="20" customFormat="false" ht="15.6" hidden="false" customHeight="false" outlineLevel="0" collapsed="false">
      <c r="A20" s="153" t="s">
        <v>247</v>
      </c>
      <c r="B20" s="134"/>
      <c r="C20" s="242" t="s">
        <v>248</v>
      </c>
      <c r="D20" s="175" t="e">
        <f aca="false">PI()*D17^2/4*D19/D18</f>
        <v>#DIV/0!</v>
      </c>
      <c r="E20" s="0"/>
      <c r="F20" s="0"/>
      <c r="G20" s="0"/>
      <c r="H20" s="0"/>
      <c r="I20" s="134"/>
      <c r="J20" s="0"/>
      <c r="K20" s="0"/>
      <c r="L20" s="0"/>
      <c r="M20" s="0"/>
      <c r="N20" s="0"/>
      <c r="O20" s="165"/>
      <c r="P20" s="0"/>
      <c r="Q20" s="0"/>
      <c r="R20" s="142"/>
      <c r="S20" s="0"/>
      <c r="T20" s="0"/>
    </row>
    <row r="21" customFormat="false" ht="16.2" hidden="false" customHeight="false" outlineLevel="0" collapsed="false">
      <c r="A21" s="178" t="s">
        <v>320</v>
      </c>
      <c r="B21" s="259"/>
      <c r="C21" s="178" t="s">
        <v>251</v>
      </c>
      <c r="D21" s="259" t="n">
        <v>3</v>
      </c>
      <c r="E21" s="136"/>
      <c r="F21" s="136"/>
      <c r="G21" s="136"/>
      <c r="H21" s="136"/>
      <c r="I21" s="259"/>
      <c r="J21" s="136"/>
      <c r="K21" s="136"/>
      <c r="L21" s="136"/>
      <c r="M21" s="136"/>
      <c r="N21" s="0"/>
      <c r="O21" s="165"/>
      <c r="P21" s="0"/>
      <c r="Q21" s="0"/>
      <c r="R21" s="142"/>
      <c r="S21" s="0"/>
      <c r="T21" s="0"/>
    </row>
    <row r="22" customFormat="false" ht="16.2" hidden="false" customHeight="false" outlineLevel="0" collapsed="false">
      <c r="A22" s="182" t="s">
        <v>327</v>
      </c>
      <c r="B22" s="182"/>
      <c r="C22" s="182"/>
      <c r="D22" s="182"/>
      <c r="E22" s="182"/>
      <c r="F22" s="182"/>
      <c r="G22" s="182"/>
      <c r="H22" s="182"/>
      <c r="I22" s="182"/>
      <c r="J22" s="182"/>
      <c r="K22" s="182"/>
      <c r="L22" s="182"/>
      <c r="M22" s="182"/>
      <c r="N22" s="265"/>
      <c r="O22" s="213"/>
      <c r="P22" s="213"/>
      <c r="Q22" s="213"/>
      <c r="R22" s="142"/>
      <c r="S22" s="0"/>
      <c r="T22" s="0"/>
    </row>
    <row r="23" customFormat="false" ht="31.2" hidden="false" customHeight="false" outlineLevel="0" collapsed="false">
      <c r="A23" s="184" t="s">
        <v>253</v>
      </c>
      <c r="B23" s="185"/>
      <c r="C23" s="186" t="s">
        <v>254</v>
      </c>
      <c r="D23" s="187"/>
      <c r="E23" s="187"/>
      <c r="F23" s="187"/>
      <c r="G23" s="187"/>
      <c r="H23" s="187"/>
      <c r="I23" s="187"/>
      <c r="J23" s="187"/>
      <c r="K23" s="187"/>
      <c r="L23" s="187"/>
      <c r="M23" s="187"/>
      <c r="N23" s="0"/>
      <c r="O23" s="142"/>
      <c r="P23" s="142"/>
      <c r="Q23" s="142"/>
      <c r="R23" s="142"/>
      <c r="S23" s="0"/>
      <c r="T23" s="0"/>
    </row>
    <row r="24" customFormat="false" ht="15.6" hidden="false" customHeight="false" outlineLevel="0" collapsed="false">
      <c r="A24" s="153" t="s">
        <v>255</v>
      </c>
      <c r="B24" s="25"/>
      <c r="C24" s="131"/>
      <c r="D24" s="0"/>
      <c r="E24" s="0"/>
      <c r="F24" s="0"/>
      <c r="G24" s="0"/>
      <c r="H24" s="0"/>
      <c r="I24" s="0"/>
      <c r="J24" s="0"/>
      <c r="K24" s="0"/>
      <c r="L24" s="0"/>
      <c r="M24" s="0"/>
      <c r="N24" s="0"/>
      <c r="O24" s="142"/>
      <c r="P24" s="142"/>
      <c r="Q24" s="142"/>
      <c r="R24" s="142"/>
      <c r="S24" s="0"/>
      <c r="T24" s="0"/>
    </row>
    <row r="25" customFormat="false" ht="15.6" hidden="false" customHeight="false" outlineLevel="0" collapsed="false">
      <c r="A25" s="87" t="s">
        <v>113</v>
      </c>
      <c r="B25" s="188" t="n">
        <f aca="false">SUM(H34:S34)+C25</f>
        <v>2588000</v>
      </c>
      <c r="C25" s="189" t="n">
        <v>0</v>
      </c>
      <c r="D25" s="0"/>
      <c r="E25" s="0"/>
      <c r="F25" s="0"/>
      <c r="G25" s="191" t="s">
        <v>256</v>
      </c>
      <c r="H25" s="0"/>
      <c r="I25" s="0"/>
      <c r="J25" s="0"/>
      <c r="K25" s="0"/>
      <c r="L25" s="0"/>
      <c r="M25" s="0"/>
      <c r="N25" s="0"/>
      <c r="O25" s="142"/>
      <c r="P25" s="142"/>
      <c r="Q25" s="142"/>
      <c r="R25" s="142"/>
      <c r="S25" s="0"/>
      <c r="T25" s="0"/>
    </row>
    <row r="26" customFormat="false" ht="15.6" hidden="false" customHeight="false" outlineLevel="0" collapsed="false">
      <c r="A26" s="87" t="s">
        <v>116</v>
      </c>
      <c r="B26" s="188" t="n">
        <f aca="false">SUM(H35:S35)+C26</f>
        <v>0</v>
      </c>
      <c r="C26" s="189" t="n">
        <v>0</v>
      </c>
      <c r="D26" s="0"/>
      <c r="E26" s="0"/>
      <c r="F26" s="0"/>
      <c r="G26" s="134" t="s">
        <v>257</v>
      </c>
      <c r="H26" s="0"/>
      <c r="I26" s="0"/>
      <c r="J26" s="0"/>
      <c r="K26" s="0"/>
      <c r="L26" s="0"/>
      <c r="M26" s="0"/>
      <c r="N26" s="0"/>
      <c r="O26" s="142"/>
      <c r="P26" s="142"/>
      <c r="Q26" s="142"/>
      <c r="R26" s="142"/>
      <c r="S26" s="0"/>
      <c r="T26" s="0"/>
    </row>
    <row r="27" customFormat="false" ht="15.6" hidden="false" customHeight="false" outlineLevel="0" collapsed="false">
      <c r="A27" s="87" t="s">
        <v>118</v>
      </c>
      <c r="B27" s="188" t="n">
        <f aca="false">SUM(H36:S36)+C27</f>
        <v>2588000</v>
      </c>
      <c r="C27" s="189" t="n">
        <v>0</v>
      </c>
      <c r="D27" s="87"/>
      <c r="E27" s="87"/>
      <c r="F27" s="87"/>
      <c r="G27" s="194" t="s">
        <v>259</v>
      </c>
      <c r="H27" s="195" t="n">
        <v>4</v>
      </c>
      <c r="I27" s="0"/>
      <c r="J27" s="0"/>
      <c r="K27" s="0"/>
      <c r="L27" s="0"/>
      <c r="M27" s="0"/>
      <c r="N27" s="0"/>
      <c r="O27" s="142"/>
      <c r="P27" s="142"/>
      <c r="Q27" s="142"/>
      <c r="R27" s="142"/>
      <c r="S27" s="0"/>
      <c r="T27" s="0"/>
    </row>
    <row r="28" customFormat="false" ht="15.6" hidden="false" customHeight="false" outlineLevel="0" collapsed="false">
      <c r="A28" s="153" t="s">
        <v>258</v>
      </c>
      <c r="B28" s="25"/>
      <c r="C28" s="192"/>
      <c r="D28" s="87"/>
      <c r="E28" s="87"/>
      <c r="F28" s="87"/>
      <c r="G28" s="0"/>
      <c r="H28" s="76" t="s">
        <v>260</v>
      </c>
      <c r="I28" s="76"/>
      <c r="J28" s="76"/>
      <c r="K28" s="76"/>
      <c r="L28" s="76"/>
      <c r="M28" s="76"/>
      <c r="N28" s="76"/>
      <c r="O28" s="76"/>
      <c r="P28" s="76"/>
      <c r="Q28" s="76"/>
      <c r="R28" s="76"/>
      <c r="S28" s="76"/>
      <c r="T28" s="0"/>
    </row>
    <row r="29" customFormat="false" ht="15.6" hidden="false" customHeight="false" outlineLevel="0" collapsed="false">
      <c r="A29" s="87" t="s">
        <v>120</v>
      </c>
      <c r="B29" s="188" t="n">
        <f aca="false">SUM(H38:S38)+SUM(H42:S42)+C29</f>
        <v>6874375000</v>
      </c>
      <c r="C29" s="189" t="n">
        <v>0</v>
      </c>
      <c r="D29" s="87"/>
      <c r="E29" s="87"/>
      <c r="F29" s="87"/>
      <c r="G29" s="134" t="s">
        <v>261</v>
      </c>
      <c r="H29" s="85" t="n">
        <v>1</v>
      </c>
      <c r="I29" s="85" t="n">
        <f aca="false">H29+1</f>
        <v>2</v>
      </c>
      <c r="J29" s="85" t="n">
        <f aca="false">I29+1</f>
        <v>3</v>
      </c>
      <c r="K29" s="85" t="n">
        <f aca="false">J29+1</f>
        <v>4</v>
      </c>
      <c r="L29" s="85" t="n">
        <f aca="false">K29+1</f>
        <v>5</v>
      </c>
      <c r="M29" s="85" t="n">
        <f aca="false">L29+1</f>
        <v>6</v>
      </c>
      <c r="N29" s="85" t="n">
        <f aca="false">M29+1</f>
        <v>7</v>
      </c>
      <c r="O29" s="85" t="n">
        <f aca="false">N29+1</f>
        <v>8</v>
      </c>
      <c r="P29" s="85" t="n">
        <f aca="false">O29+1</f>
        <v>9</v>
      </c>
      <c r="Q29" s="85" t="n">
        <f aca="false">P29+1</f>
        <v>10</v>
      </c>
      <c r="R29" s="85" t="n">
        <f aca="false">Q29+1</f>
        <v>11</v>
      </c>
      <c r="S29" s="85" t="n">
        <f aca="false">R29+1</f>
        <v>12</v>
      </c>
      <c r="T29" s="0"/>
    </row>
    <row r="30" customFormat="false" ht="15.6" hidden="false" customHeight="false" outlineLevel="0" collapsed="false">
      <c r="A30" s="87" t="s">
        <v>123</v>
      </c>
      <c r="B30" s="188" t="n">
        <f aca="false">SUM(H39:S39)+SUM(H43:S43)+C30</f>
        <v>6604791666.66667</v>
      </c>
      <c r="C30" s="189" t="n">
        <v>0</v>
      </c>
      <c r="D30" s="87"/>
      <c r="E30" s="87"/>
      <c r="F30" s="87"/>
      <c r="G30" s="153" t="s">
        <v>262</v>
      </c>
      <c r="H30" s="195" t="n">
        <v>0</v>
      </c>
      <c r="I30" s="195" t="n">
        <v>0</v>
      </c>
      <c r="J30" s="195" t="n">
        <v>0</v>
      </c>
      <c r="K30" s="195" t="n">
        <v>0</v>
      </c>
      <c r="L30" s="195" t="n">
        <v>0</v>
      </c>
      <c r="M30" s="195" t="n">
        <v>0</v>
      </c>
      <c r="N30" s="195" t="n">
        <v>0</v>
      </c>
      <c r="O30" s="195" t="n">
        <v>0</v>
      </c>
      <c r="P30" s="195" t="n">
        <v>0</v>
      </c>
      <c r="Q30" s="195" t="n">
        <v>0</v>
      </c>
      <c r="R30" s="195" t="n">
        <v>0</v>
      </c>
      <c r="S30" s="195" t="n">
        <v>0</v>
      </c>
      <c r="T30" s="0"/>
    </row>
    <row r="31" customFormat="false" ht="15.6" hidden="false" customHeight="false" outlineLevel="0" collapsed="false">
      <c r="A31" s="87" t="s">
        <v>125</v>
      </c>
      <c r="B31" s="188" t="n">
        <f aca="false">SUM(H40:S40)+SUM(H44:S44)+C31</f>
        <v>6604791666.66667</v>
      </c>
      <c r="C31" s="189" t="n">
        <v>0</v>
      </c>
      <c r="D31" s="87"/>
      <c r="E31" s="87"/>
      <c r="F31" s="87"/>
      <c r="G31" s="153" t="s">
        <v>265</v>
      </c>
      <c r="H31" s="195" t="n">
        <v>50</v>
      </c>
      <c r="I31" s="195" t="n">
        <v>-50</v>
      </c>
      <c r="J31" s="195" t="n">
        <v>-50</v>
      </c>
      <c r="K31" s="195" t="n">
        <v>50</v>
      </c>
      <c r="L31" s="195" t="n">
        <v>0</v>
      </c>
      <c r="M31" s="195" t="n">
        <v>0</v>
      </c>
      <c r="N31" s="195" t="n">
        <v>0</v>
      </c>
      <c r="O31" s="195" t="n">
        <v>0</v>
      </c>
      <c r="P31" s="195" t="n">
        <v>0</v>
      </c>
      <c r="Q31" s="195" t="n">
        <v>0</v>
      </c>
      <c r="R31" s="195" t="n">
        <v>0</v>
      </c>
      <c r="S31" s="195" t="n">
        <v>0</v>
      </c>
      <c r="T31" s="0"/>
    </row>
    <row r="32" customFormat="false" ht="15.6" hidden="false" customHeight="true" outlineLevel="0" collapsed="false">
      <c r="A32" s="207" t="s">
        <v>264</v>
      </c>
      <c r="B32" s="207"/>
      <c r="C32" s="207"/>
      <c r="D32" s="87"/>
      <c r="E32" s="87"/>
      <c r="F32" s="87"/>
      <c r="G32" s="153" t="s">
        <v>267</v>
      </c>
      <c r="H32" s="195" t="n">
        <v>50</v>
      </c>
      <c r="I32" s="195" t="n">
        <v>50</v>
      </c>
      <c r="J32" s="195" t="n">
        <v>-50</v>
      </c>
      <c r="K32" s="195" t="n">
        <v>-50</v>
      </c>
      <c r="L32" s="195" t="n">
        <v>0</v>
      </c>
      <c r="M32" s="195" t="n">
        <v>0</v>
      </c>
      <c r="N32" s="195" t="n">
        <v>0</v>
      </c>
      <c r="O32" s="195" t="n">
        <v>0</v>
      </c>
      <c r="P32" s="195" t="n">
        <v>0</v>
      </c>
      <c r="Q32" s="195" t="n">
        <v>0</v>
      </c>
      <c r="R32" s="195" t="n">
        <v>0</v>
      </c>
      <c r="S32" s="195" t="n">
        <v>0</v>
      </c>
      <c r="T32" s="0"/>
    </row>
    <row r="33" customFormat="false" ht="15.6" hidden="false" customHeight="false" outlineLevel="0" collapsed="false">
      <c r="A33" s="207"/>
      <c r="B33" s="207"/>
      <c r="C33" s="207"/>
      <c r="D33" s="0"/>
      <c r="E33" s="0"/>
      <c r="F33" s="0"/>
      <c r="G33" s="134" t="s">
        <v>270</v>
      </c>
      <c r="H33" s="238"/>
      <c r="I33" s="238"/>
      <c r="J33" s="238"/>
      <c r="K33" s="238"/>
      <c r="L33" s="0"/>
      <c r="M33" s="0"/>
      <c r="N33" s="0"/>
      <c r="O33" s="0"/>
      <c r="P33" s="0"/>
      <c r="Q33" s="0"/>
      <c r="R33" s="0"/>
      <c r="S33" s="0"/>
      <c r="T33" s="0"/>
    </row>
    <row r="34" customFormat="false" ht="15.6" hidden="false" customHeight="false" outlineLevel="0" collapsed="false">
      <c r="A34" s="207"/>
      <c r="B34" s="207"/>
      <c r="C34" s="207"/>
      <c r="D34" s="87"/>
      <c r="E34" s="87"/>
      <c r="F34" s="87"/>
      <c r="G34" s="153" t="s">
        <v>113</v>
      </c>
      <c r="H34" s="202" t="n">
        <f aca="false">D7</f>
        <v>647000</v>
      </c>
      <c r="I34" s="202" t="n">
        <f aca="false">H34</f>
        <v>647000</v>
      </c>
      <c r="J34" s="202" t="n">
        <f aca="false">I34</f>
        <v>647000</v>
      </c>
      <c r="K34" s="202" t="n">
        <f aca="false">J34</f>
        <v>647000</v>
      </c>
      <c r="L34" s="195" t="n">
        <v>0</v>
      </c>
      <c r="M34" s="195" t="n">
        <v>0</v>
      </c>
      <c r="N34" s="195" t="n">
        <v>0</v>
      </c>
      <c r="O34" s="195" t="n">
        <v>0</v>
      </c>
      <c r="P34" s="195" t="n">
        <v>0</v>
      </c>
      <c r="Q34" s="195" t="n">
        <v>0</v>
      </c>
      <c r="R34" s="195" t="n">
        <v>0</v>
      </c>
      <c r="S34" s="195" t="n">
        <v>0</v>
      </c>
      <c r="T34" s="0"/>
    </row>
    <row r="35" customFormat="false" ht="15.6" hidden="false" customHeight="false" outlineLevel="0" collapsed="false">
      <c r="A35" s="201" t="s">
        <v>271</v>
      </c>
      <c r="B35" s="195"/>
      <c r="C35" s="195"/>
      <c r="D35" s="87"/>
      <c r="E35" s="87"/>
      <c r="F35" s="87"/>
      <c r="G35" s="153" t="s">
        <v>116</v>
      </c>
      <c r="H35" s="202" t="n">
        <v>0</v>
      </c>
      <c r="I35" s="202" t="n">
        <f aca="false">H35</f>
        <v>0</v>
      </c>
      <c r="J35" s="202" t="n">
        <f aca="false">I35</f>
        <v>0</v>
      </c>
      <c r="K35" s="202" t="n">
        <f aca="false">J35</f>
        <v>0</v>
      </c>
      <c r="L35" s="195" t="n">
        <v>0</v>
      </c>
      <c r="M35" s="195" t="n">
        <v>0</v>
      </c>
      <c r="N35" s="195" t="n">
        <v>0</v>
      </c>
      <c r="O35" s="195" t="n">
        <v>0</v>
      </c>
      <c r="P35" s="195" t="n">
        <v>0</v>
      </c>
      <c r="Q35" s="195" t="n">
        <v>0</v>
      </c>
      <c r="R35" s="195" t="n">
        <v>0</v>
      </c>
      <c r="S35" s="195" t="n">
        <v>0</v>
      </c>
      <c r="T35" s="0"/>
    </row>
    <row r="36" customFormat="false" ht="15.6" hidden="false" customHeight="false" outlineLevel="0" collapsed="false">
      <c r="A36" s="77" t="s">
        <v>28</v>
      </c>
      <c r="B36" s="0"/>
      <c r="C36" s="0"/>
      <c r="D36" s="87"/>
      <c r="E36" s="87"/>
      <c r="F36" s="87"/>
      <c r="G36" s="153" t="s">
        <v>118</v>
      </c>
      <c r="H36" s="202" t="n">
        <f aca="false">D7</f>
        <v>647000</v>
      </c>
      <c r="I36" s="202" t="n">
        <f aca="false">H36</f>
        <v>647000</v>
      </c>
      <c r="J36" s="202" t="n">
        <f aca="false">I36</f>
        <v>647000</v>
      </c>
      <c r="K36" s="202" t="n">
        <f aca="false">J36</f>
        <v>647000</v>
      </c>
      <c r="L36" s="195" t="n">
        <v>0</v>
      </c>
      <c r="M36" s="195" t="n">
        <v>0</v>
      </c>
      <c r="N36" s="195" t="n">
        <v>0</v>
      </c>
      <c r="O36" s="195" t="n">
        <v>0</v>
      </c>
      <c r="P36" s="195" t="n">
        <v>0</v>
      </c>
      <c r="Q36" s="195" t="n">
        <v>0</v>
      </c>
      <c r="R36" s="195" t="n">
        <v>0</v>
      </c>
      <c r="S36" s="195" t="n">
        <v>0</v>
      </c>
      <c r="T36" s="0"/>
    </row>
    <row r="37" customFormat="false" ht="15.6" hidden="false" customHeight="false" outlineLevel="0" collapsed="false">
      <c r="A37" s="153" t="s">
        <v>273</v>
      </c>
      <c r="B37" s="195" t="n">
        <v>0</v>
      </c>
      <c r="C37" s="0"/>
      <c r="D37" s="87"/>
      <c r="E37" s="87"/>
      <c r="F37" s="87"/>
      <c r="G37" s="134" t="s">
        <v>275</v>
      </c>
      <c r="H37" s="238"/>
      <c r="I37" s="238"/>
      <c r="J37" s="238"/>
      <c r="K37" s="238"/>
      <c r="L37" s="0"/>
      <c r="M37" s="0"/>
      <c r="N37" s="0"/>
      <c r="O37" s="0"/>
      <c r="P37" s="0"/>
      <c r="Q37" s="0"/>
      <c r="R37" s="0"/>
      <c r="S37" s="0"/>
      <c r="T37" s="0"/>
    </row>
    <row r="38" customFormat="false" ht="15.6" hidden="false" customHeight="false" outlineLevel="0" collapsed="false">
      <c r="A38" s="153" t="s">
        <v>274</v>
      </c>
      <c r="B38" s="195" t="n">
        <v>0</v>
      </c>
      <c r="C38" s="0"/>
      <c r="D38" s="87"/>
      <c r="E38" s="87"/>
      <c r="F38" s="87"/>
      <c r="G38" s="153" t="s">
        <v>120</v>
      </c>
      <c r="H38" s="202" t="n">
        <f aca="false">'ref bearings, servo, structure'!B10</f>
        <v>101093750</v>
      </c>
      <c r="I38" s="202" t="n">
        <f aca="false">H38</f>
        <v>101093750</v>
      </c>
      <c r="J38" s="202" t="n">
        <f aca="false">I38</f>
        <v>101093750</v>
      </c>
      <c r="K38" s="202" t="n">
        <f aca="false">J38</f>
        <v>101093750</v>
      </c>
      <c r="L38" s="195" t="n">
        <v>0</v>
      </c>
      <c r="M38" s="195" t="n">
        <v>0</v>
      </c>
      <c r="N38" s="195" t="n">
        <v>0</v>
      </c>
      <c r="O38" s="195" t="n">
        <v>0</v>
      </c>
      <c r="P38" s="195" t="n">
        <v>0</v>
      </c>
      <c r="Q38" s="195" t="n">
        <v>0</v>
      </c>
      <c r="R38" s="195" t="n">
        <v>0</v>
      </c>
      <c r="S38" s="195" t="n">
        <v>0</v>
      </c>
      <c r="T38" s="0"/>
    </row>
    <row r="39" customFormat="false" ht="15.6" hidden="false" customHeight="false" outlineLevel="0" collapsed="false">
      <c r="A39" s="153" t="s">
        <v>276</v>
      </c>
      <c r="B39" s="195" t="n">
        <v>0</v>
      </c>
      <c r="C39" s="0"/>
      <c r="D39" s="87"/>
      <c r="E39" s="87"/>
      <c r="F39" s="87"/>
      <c r="G39" s="153" t="s">
        <v>123</v>
      </c>
      <c r="H39" s="202" t="n">
        <f aca="false">'ref bearings, servo, structure'!B12</f>
        <v>33697916.6666667</v>
      </c>
      <c r="I39" s="202" t="n">
        <f aca="false">H39</f>
        <v>33697916.6666667</v>
      </c>
      <c r="J39" s="202" t="n">
        <f aca="false">I39</f>
        <v>33697916.6666667</v>
      </c>
      <c r="K39" s="202" t="n">
        <f aca="false">J39</f>
        <v>33697916.6666667</v>
      </c>
      <c r="L39" s="195" t="n">
        <v>0</v>
      </c>
      <c r="M39" s="195" t="n">
        <v>0</v>
      </c>
      <c r="N39" s="195" t="n">
        <v>0</v>
      </c>
      <c r="O39" s="195" t="n">
        <v>0</v>
      </c>
      <c r="P39" s="195" t="n">
        <v>0</v>
      </c>
      <c r="Q39" s="195" t="n">
        <v>0</v>
      </c>
      <c r="R39" s="195" t="n">
        <v>0</v>
      </c>
      <c r="S39" s="195" t="n">
        <v>0</v>
      </c>
      <c r="T39" s="0"/>
    </row>
    <row r="40" customFormat="false" ht="15.6" hidden="false" customHeight="false" outlineLevel="0" collapsed="false">
      <c r="A40" s="165" t="s">
        <v>29</v>
      </c>
      <c r="B40" s="0"/>
      <c r="C40" s="0"/>
      <c r="D40" s="0"/>
      <c r="E40" s="0"/>
      <c r="F40" s="0"/>
      <c r="G40" s="153" t="s">
        <v>125</v>
      </c>
      <c r="H40" s="202" t="n">
        <f aca="false">'ref bearings, servo, structure'!B11</f>
        <v>33697916.6666667</v>
      </c>
      <c r="I40" s="202" t="n">
        <f aca="false">H40</f>
        <v>33697916.6666667</v>
      </c>
      <c r="J40" s="202" t="n">
        <f aca="false">I40</f>
        <v>33697916.6666667</v>
      </c>
      <c r="K40" s="202" t="n">
        <f aca="false">J40</f>
        <v>33697916.6666667</v>
      </c>
      <c r="L40" s="195" t="n">
        <v>0</v>
      </c>
      <c r="M40" s="195" t="n">
        <v>0</v>
      </c>
      <c r="N40" s="195" t="n">
        <v>0</v>
      </c>
      <c r="O40" s="195" t="n">
        <v>0</v>
      </c>
      <c r="P40" s="195" t="n">
        <v>0</v>
      </c>
      <c r="Q40" s="195" t="n">
        <v>0</v>
      </c>
      <c r="R40" s="195" t="n">
        <v>0</v>
      </c>
      <c r="S40" s="195" t="n">
        <v>0</v>
      </c>
      <c r="T40" s="0"/>
    </row>
    <row r="41" customFormat="false" ht="15.6" hidden="false" customHeight="false" outlineLevel="0" collapsed="false">
      <c r="A41" s="153" t="s">
        <v>273</v>
      </c>
      <c r="B41" s="195" t="n">
        <v>0</v>
      </c>
      <c r="C41" s="0"/>
      <c r="D41" s="205"/>
      <c r="E41" s="205"/>
      <c r="F41" s="205"/>
      <c r="G41" s="134" t="s">
        <v>277</v>
      </c>
      <c r="H41" s="0"/>
      <c r="I41" s="0"/>
      <c r="J41" s="0"/>
      <c r="K41" s="0"/>
      <c r="L41" s="0"/>
      <c r="M41" s="0"/>
      <c r="N41" s="0"/>
      <c r="O41" s="0"/>
      <c r="P41" s="0"/>
      <c r="Q41" s="0"/>
      <c r="R41" s="0"/>
      <c r="S41" s="0"/>
      <c r="T41" s="0"/>
    </row>
    <row r="42" customFormat="false" ht="15.6" hidden="false" customHeight="false" outlineLevel="0" collapsed="false">
      <c r="A42" s="153" t="s">
        <v>274</v>
      </c>
      <c r="B42" s="195" t="n">
        <v>0</v>
      </c>
      <c r="C42" s="0"/>
      <c r="D42" s="131"/>
      <c r="E42" s="131"/>
      <c r="F42" s="131"/>
      <c r="G42" s="153" t="s">
        <v>120</v>
      </c>
      <c r="H42" s="188" t="n">
        <f aca="false">H35*H32^2+H36*H31^2</f>
        <v>1617500000</v>
      </c>
      <c r="I42" s="188" t="n">
        <f aca="false">I35*I32^2+I36*I31^2</f>
        <v>1617500000</v>
      </c>
      <c r="J42" s="188" t="n">
        <f aca="false">J35*J32^2+J36*J31^2</f>
        <v>1617500000</v>
      </c>
      <c r="K42" s="188" t="n">
        <f aca="false">K35*K32^2+K36*K31^2</f>
        <v>1617500000</v>
      </c>
      <c r="L42" s="24" t="n">
        <f aca="false">L35*L32^2+L36*L31^2</f>
        <v>0</v>
      </c>
      <c r="M42" s="24" t="n">
        <f aca="false">M35*M32^2+M36*M31^2</f>
        <v>0</v>
      </c>
      <c r="N42" s="24" t="n">
        <f aca="false">N35*N32^2+N36*N31^2</f>
        <v>0</v>
      </c>
      <c r="O42" s="24" t="n">
        <f aca="false">O35*O32^2+O36*O31^2</f>
        <v>0</v>
      </c>
      <c r="P42" s="24" t="n">
        <f aca="false">P35*P32^2+P36*P31^2</f>
        <v>0</v>
      </c>
      <c r="Q42" s="24" t="n">
        <f aca="false">Q35*Q32^2+Q36*Q31^2</f>
        <v>0</v>
      </c>
      <c r="R42" s="24" t="n">
        <f aca="false">R35*R32^2+R36*R31^2</f>
        <v>0</v>
      </c>
      <c r="S42" s="24" t="n">
        <f aca="false">S35*S32^2+S36*S31^2</f>
        <v>0</v>
      </c>
      <c r="T42" s="0"/>
    </row>
    <row r="43" customFormat="false" ht="15.6" hidden="false" customHeight="false" outlineLevel="0" collapsed="false">
      <c r="A43" s="153" t="s">
        <v>276</v>
      </c>
      <c r="B43" s="195" t="n">
        <v>0</v>
      </c>
      <c r="C43" s="0"/>
      <c r="D43" s="189"/>
      <c r="E43" s="189"/>
      <c r="F43" s="189"/>
      <c r="G43" s="153" t="s">
        <v>123</v>
      </c>
      <c r="H43" s="188" t="n">
        <f aca="false">H34*H32^2+H36*H30^2</f>
        <v>1617500000</v>
      </c>
      <c r="I43" s="188" t="n">
        <f aca="false">I34*I32^2+I36*I30^2</f>
        <v>1617500000</v>
      </c>
      <c r="J43" s="188" t="n">
        <f aca="false">J34*J32^2+J36*J30^2</f>
        <v>1617500000</v>
      </c>
      <c r="K43" s="188" t="n">
        <f aca="false">K34*K32^2+K36*K30^2</f>
        <v>1617500000</v>
      </c>
      <c r="L43" s="24" t="n">
        <f aca="false">L34*L32^2+L36*L30^2</f>
        <v>0</v>
      </c>
      <c r="M43" s="24" t="n">
        <f aca="false">M34*M32^2+M36*M30^2</f>
        <v>0</v>
      </c>
      <c r="N43" s="24" t="n">
        <f aca="false">N34*N32^2+N36*N30^2</f>
        <v>0</v>
      </c>
      <c r="O43" s="24" t="n">
        <f aca="false">O34*O32^2+O36*O30^2</f>
        <v>0</v>
      </c>
      <c r="P43" s="24" t="n">
        <f aca="false">P34*P32^2+P36*P30^2</f>
        <v>0</v>
      </c>
      <c r="Q43" s="24" t="n">
        <f aca="false">Q34*Q32^2+Q36*Q30^2</f>
        <v>0</v>
      </c>
      <c r="R43" s="24" t="n">
        <f aca="false">R34*R32^2+R36*R30^2</f>
        <v>0</v>
      </c>
      <c r="S43" s="24" t="n">
        <f aca="false">S34*S32^2+S36*S30^2</f>
        <v>0</v>
      </c>
      <c r="T43" s="0"/>
    </row>
    <row r="44" customFormat="false" ht="15.6" hidden="false" customHeight="false" outlineLevel="0" collapsed="false">
      <c r="A44" s="76" t="s">
        <v>278</v>
      </c>
      <c r="B44" s="0"/>
      <c r="C44" s="87"/>
      <c r="D44" s="189"/>
      <c r="E44" s="189"/>
      <c r="F44" s="189"/>
      <c r="G44" s="153" t="s">
        <v>125</v>
      </c>
      <c r="H44" s="188" t="n">
        <f aca="false">H34*H31^2+H35*H30^2</f>
        <v>1617500000</v>
      </c>
      <c r="I44" s="188" t="n">
        <f aca="false">I34*I31^2+I35*I30^2</f>
        <v>1617500000</v>
      </c>
      <c r="J44" s="188" t="n">
        <f aca="false">J34*J31^2+J35*J30^2</f>
        <v>1617500000</v>
      </c>
      <c r="K44" s="188" t="n">
        <f aca="false">K34*K31^2+K35*K30^2</f>
        <v>1617500000</v>
      </c>
      <c r="L44" s="24" t="n">
        <f aca="false">L34*L31^2+L35*L30^2</f>
        <v>0</v>
      </c>
      <c r="M44" s="24" t="n">
        <f aca="false">M34*M31^2+M35*M30^2</f>
        <v>0</v>
      </c>
      <c r="N44" s="24" t="n">
        <f aca="false">N34*N31^2+N35*N30^2</f>
        <v>0</v>
      </c>
      <c r="O44" s="24" t="n">
        <f aca="false">O34*O31^2+O35*O30^2</f>
        <v>0</v>
      </c>
      <c r="P44" s="24" t="n">
        <f aca="false">P34*P31^2+P35*P30^2</f>
        <v>0</v>
      </c>
      <c r="Q44" s="24" t="n">
        <f aca="false">Q34*Q31^2+Q35*Q30^2</f>
        <v>0</v>
      </c>
      <c r="R44" s="24" t="n">
        <f aca="false">R34*R31^2+R35*R30^2</f>
        <v>0</v>
      </c>
      <c r="S44" s="24" t="n">
        <f aca="false">S34*S31^2+S35*S30^2</f>
        <v>0</v>
      </c>
      <c r="T44" s="0"/>
    </row>
    <row r="45" customFormat="false" ht="15.6" hidden="false" customHeight="false" outlineLevel="0" collapsed="false">
      <c r="A45" s="153" t="s">
        <v>279</v>
      </c>
      <c r="B45" s="24" t="n">
        <f aca="false">SQRT((H46^2+I46^2+J46^2+K46^2+L46^2+M46^2+N46^2+O46^2+P46^2+Q46^2+R46^2+S46^2)/H$27)</f>
        <v>0.005</v>
      </c>
      <c r="C45" s="87"/>
      <c r="D45" s="189"/>
      <c r="E45" s="189"/>
      <c r="F45" s="189"/>
      <c r="G45" s="134" t="s">
        <v>281</v>
      </c>
      <c r="H45" s="0"/>
      <c r="I45" s="0"/>
      <c r="J45" s="0"/>
      <c r="K45" s="0"/>
      <c r="L45" s="0"/>
      <c r="M45" s="0"/>
      <c r="N45" s="0"/>
      <c r="O45" s="0"/>
      <c r="P45" s="0"/>
      <c r="Q45" s="0"/>
      <c r="R45" s="0"/>
      <c r="S45" s="0"/>
      <c r="T45" s="0"/>
    </row>
    <row r="46" customFormat="false" ht="15.6" hidden="false" customHeight="false" outlineLevel="0" collapsed="false">
      <c r="A46" s="153" t="s">
        <v>280</v>
      </c>
      <c r="B46" s="24" t="n">
        <f aca="false">SQRT((H47^2+I47^2+J47^2+K47^2+L47^2+M47^2+N47^2+O47^2+P47^2+Q47^2+R47^2+S47^2)/H$27)</f>
        <v>0.005</v>
      </c>
      <c r="C46" s="87"/>
      <c r="D46" s="192"/>
      <c r="E46" s="192"/>
      <c r="F46" s="192"/>
      <c r="G46" s="153" t="s">
        <v>279</v>
      </c>
      <c r="H46" s="195" t="n">
        <f aca="false">0.005</f>
        <v>0.005</v>
      </c>
      <c r="I46" s="195" t="n">
        <f aca="false">0.005</f>
        <v>0.005</v>
      </c>
      <c r="J46" s="195" t="n">
        <f aca="false">0.005</f>
        <v>0.005</v>
      </c>
      <c r="K46" s="195" t="n">
        <f aca="false">0.005</f>
        <v>0.005</v>
      </c>
      <c r="L46" s="195" t="n">
        <v>0</v>
      </c>
      <c r="M46" s="195" t="n">
        <v>0</v>
      </c>
      <c r="N46" s="195" t="n">
        <v>0</v>
      </c>
      <c r="O46" s="195" t="n">
        <v>0</v>
      </c>
      <c r="P46" s="195" t="n">
        <v>0</v>
      </c>
      <c r="Q46" s="195" t="n">
        <v>0</v>
      </c>
      <c r="R46" s="195" t="n">
        <v>0</v>
      </c>
      <c r="S46" s="195" t="n">
        <v>0</v>
      </c>
      <c r="T46" s="0"/>
    </row>
    <row r="47" customFormat="false" ht="15.6" hidden="false" customHeight="false" outlineLevel="0" collapsed="false">
      <c r="A47" s="153" t="s">
        <v>282</v>
      </c>
      <c r="B47" s="24" t="n">
        <f aca="false">SQRT((H48^2+I48^2+J48^2+K48^2+L48^2+M48^2+N48^2+O48^2+P48^2+Q48^2+R48^2+S48^2)/H$27)</f>
        <v>0.005</v>
      </c>
      <c r="C47" s="87"/>
      <c r="D47" s="189"/>
      <c r="E47" s="189"/>
      <c r="F47" s="189"/>
      <c r="G47" s="153" t="s">
        <v>280</v>
      </c>
      <c r="H47" s="195" t="n">
        <f aca="false">0.005</f>
        <v>0.005</v>
      </c>
      <c r="I47" s="195" t="n">
        <f aca="false">0.005</f>
        <v>0.005</v>
      </c>
      <c r="J47" s="195" t="n">
        <f aca="false">0.005</f>
        <v>0.005</v>
      </c>
      <c r="K47" s="195" t="n">
        <f aca="false">0.005</f>
        <v>0.005</v>
      </c>
      <c r="L47" s="195" t="n">
        <v>0</v>
      </c>
      <c r="M47" s="195" t="n">
        <v>0</v>
      </c>
      <c r="N47" s="195" t="n">
        <v>0</v>
      </c>
      <c r="O47" s="195" t="n">
        <v>0</v>
      </c>
      <c r="P47" s="195" t="n">
        <v>0</v>
      </c>
      <c r="Q47" s="195" t="n">
        <v>0</v>
      </c>
      <c r="R47" s="195" t="n">
        <v>0</v>
      </c>
      <c r="S47" s="195" t="n">
        <v>0</v>
      </c>
      <c r="T47" s="0"/>
    </row>
    <row r="48" customFormat="false" ht="15.6" hidden="false" customHeight="false" outlineLevel="0" collapsed="false">
      <c r="A48" s="153" t="s">
        <v>97</v>
      </c>
      <c r="B48" s="24" t="n">
        <f aca="false">SQRT((H50^2+I50^2+J50^2+K50^2+L50^2+M50^2+N50^2+O50^2+P50^2+Q50^2+R50^2+S50^2+B37^2)/H$27)</f>
        <v>9.99999990000001E-005</v>
      </c>
      <c r="D48" s="189"/>
      <c r="E48" s="189"/>
      <c r="F48" s="189"/>
      <c r="G48" s="153" t="s">
        <v>282</v>
      </c>
      <c r="H48" s="195" t="n">
        <f aca="false">0.005</f>
        <v>0.005</v>
      </c>
      <c r="I48" s="195" t="n">
        <f aca="false">0.005</f>
        <v>0.005</v>
      </c>
      <c r="J48" s="195" t="n">
        <f aca="false">0.005</f>
        <v>0.005</v>
      </c>
      <c r="K48" s="195" t="n">
        <f aca="false">0.005</f>
        <v>0.005</v>
      </c>
      <c r="L48" s="195" t="n">
        <v>0</v>
      </c>
      <c r="M48" s="195" t="n">
        <v>0</v>
      </c>
      <c r="N48" s="195" t="n">
        <v>0</v>
      </c>
      <c r="O48" s="195" t="n">
        <v>0</v>
      </c>
      <c r="P48" s="195" t="n">
        <v>0</v>
      </c>
      <c r="Q48" s="195" t="n">
        <v>0</v>
      </c>
      <c r="R48" s="195" t="n">
        <v>0</v>
      </c>
      <c r="S48" s="195" t="n">
        <v>0</v>
      </c>
      <c r="T48" s="0"/>
    </row>
    <row r="49" customFormat="false" ht="15.6" hidden="false" customHeight="false" outlineLevel="0" collapsed="false">
      <c r="A49" s="153" t="s">
        <v>100</v>
      </c>
      <c r="B49" s="24" t="n">
        <f aca="false">SQRT((H51^2+I51^2+J51^2+K51^2+L51^2+M51^2+N51^2+O51^2+P51^2+Q51^2+R51^2+S51^2+B38^2)/H$27)</f>
        <v>0.0001</v>
      </c>
      <c r="D49" s="189"/>
      <c r="E49" s="189"/>
      <c r="F49" s="189"/>
      <c r="G49" s="134" t="s">
        <v>283</v>
      </c>
      <c r="H49" s="0"/>
      <c r="I49" s="0"/>
      <c r="J49" s="0"/>
      <c r="K49" s="0"/>
      <c r="L49" s="0"/>
      <c r="M49" s="0"/>
      <c r="N49" s="0"/>
      <c r="O49" s="0"/>
      <c r="P49" s="0"/>
      <c r="Q49" s="0"/>
      <c r="R49" s="0"/>
      <c r="S49" s="0"/>
      <c r="T49" s="0"/>
    </row>
    <row r="50" customFormat="false" ht="15.6" hidden="false" customHeight="false" outlineLevel="0" collapsed="false">
      <c r="A50" s="153" t="s">
        <v>104</v>
      </c>
      <c r="B50" s="24" t="n">
        <f aca="false">SQRT((H52^2+I52^2+J52^2+K52^2+L52^2+M52^2+N52^2+O52^2+P52^2+Q52^2+R52^2+S52^2+B39^2)/H$27)</f>
        <v>0.0001</v>
      </c>
      <c r="D50" s="207"/>
      <c r="E50" s="207"/>
      <c r="F50" s="207"/>
      <c r="G50" s="153" t="s">
        <v>97</v>
      </c>
      <c r="H50" s="188" t="n">
        <f aca="false">H97</f>
        <v>9.99999980000001E-005</v>
      </c>
      <c r="I50" s="188" t="n">
        <f aca="false">I97</f>
        <v>9.99999980000001E-005</v>
      </c>
      <c r="J50" s="188" t="n">
        <f aca="false">J97</f>
        <v>0.000100000002</v>
      </c>
      <c r="K50" s="188" t="n">
        <f aca="false">K97</f>
        <v>9.99999980000001E-005</v>
      </c>
      <c r="L50" s="188" t="n">
        <f aca="false">L97</f>
        <v>0</v>
      </c>
      <c r="M50" s="188" t="n">
        <f aca="false">M97</f>
        <v>0</v>
      </c>
      <c r="N50" s="188" t="n">
        <f aca="false">N97</f>
        <v>0</v>
      </c>
      <c r="O50" s="188" t="n">
        <f aca="false">O97</f>
        <v>0</v>
      </c>
      <c r="P50" s="188" t="n">
        <f aca="false">P97</f>
        <v>0</v>
      </c>
      <c r="Q50" s="188" t="n">
        <f aca="false">Q97</f>
        <v>0</v>
      </c>
      <c r="R50" s="188" t="n">
        <f aca="false">R97</f>
        <v>0</v>
      </c>
      <c r="S50" s="188" t="n">
        <f aca="false">S97</f>
        <v>0</v>
      </c>
      <c r="T50" s="0"/>
    </row>
    <row r="51" customFormat="false" ht="46.8" hidden="false" customHeight="false" outlineLevel="0" collapsed="false">
      <c r="A51" s="206" t="s">
        <v>284</v>
      </c>
      <c r="B51" s="25"/>
      <c r="D51" s="207"/>
      <c r="E51" s="207"/>
      <c r="F51" s="207"/>
      <c r="G51" s="153" t="s">
        <v>100</v>
      </c>
      <c r="H51" s="188" t="n">
        <f aca="false">H101</f>
        <v>9.99999980000001E-005</v>
      </c>
      <c r="I51" s="188" t="n">
        <f aca="false">I101</f>
        <v>9.99999980000001E-005</v>
      </c>
      <c r="J51" s="188" t="n">
        <f aca="false">J101</f>
        <v>0.000100000002</v>
      </c>
      <c r="K51" s="188" t="n">
        <f aca="false">K101</f>
        <v>0.000100000002</v>
      </c>
      <c r="L51" s="188" t="n">
        <f aca="false">L101</f>
        <v>0</v>
      </c>
      <c r="M51" s="188" t="n">
        <f aca="false">M101</f>
        <v>0</v>
      </c>
      <c r="N51" s="188" t="n">
        <f aca="false">N101</f>
        <v>0</v>
      </c>
      <c r="O51" s="188" t="n">
        <f aca="false">O101</f>
        <v>0</v>
      </c>
      <c r="P51" s="188" t="n">
        <f aca="false">P101</f>
        <v>0</v>
      </c>
      <c r="Q51" s="188" t="n">
        <f aca="false">Q101</f>
        <v>0</v>
      </c>
      <c r="R51" s="188" t="n">
        <f aca="false">R101</f>
        <v>0</v>
      </c>
      <c r="S51" s="188" t="n">
        <f aca="false">S101</f>
        <v>0</v>
      </c>
      <c r="T51" s="208"/>
    </row>
    <row r="52" customFormat="false" ht="15.6" hidden="false" customHeight="false" outlineLevel="0" collapsed="false">
      <c r="A52" s="153" t="s">
        <v>279</v>
      </c>
      <c r="B52" s="24" t="n">
        <f aca="false">SQRT((H54^2+I54^2+J54^2+K54^2+L54^2+M54^2+N54^2+O54^2+P54^2+Q54^2+R54^2+S54^2)/H$27)</f>
        <v>0</v>
      </c>
      <c r="D52" s="207"/>
      <c r="E52" s="207"/>
      <c r="F52" s="207"/>
      <c r="G52" s="153" t="s">
        <v>104</v>
      </c>
      <c r="H52" s="188" t="n">
        <f aca="false">H105</f>
        <v>9.99999980000001E-005</v>
      </c>
      <c r="I52" s="188" t="n">
        <f aca="false">I105</f>
        <v>0.000100000002</v>
      </c>
      <c r="J52" s="188" t="n">
        <f aca="false">J105</f>
        <v>0.000100000002</v>
      </c>
      <c r="K52" s="188" t="n">
        <f aca="false">K105</f>
        <v>9.99999980000001E-005</v>
      </c>
      <c r="L52" s="188" t="n">
        <f aca="false">L105</f>
        <v>0</v>
      </c>
      <c r="M52" s="188" t="n">
        <f aca="false">M105</f>
        <v>0</v>
      </c>
      <c r="N52" s="188" t="n">
        <f aca="false">N105</f>
        <v>0</v>
      </c>
      <c r="O52" s="188" t="n">
        <f aca="false">O105</f>
        <v>0</v>
      </c>
      <c r="P52" s="188" t="n">
        <f aca="false">P105</f>
        <v>0</v>
      </c>
      <c r="Q52" s="188" t="n">
        <f aca="false">Q105</f>
        <v>0</v>
      </c>
      <c r="R52" s="188" t="n">
        <f aca="false">R105</f>
        <v>0</v>
      </c>
      <c r="S52" s="188" t="n">
        <f aca="false">S105</f>
        <v>0</v>
      </c>
    </row>
    <row r="53" customFormat="false" ht="15.6" hidden="false" customHeight="false" outlineLevel="0" collapsed="false">
      <c r="A53" s="153" t="s">
        <v>280</v>
      </c>
      <c r="B53" s="24" t="n">
        <f aca="false">SQRT((H55^2+I55^2+J55^2+K55^2+L55^2+M55^2+N55^2+O55^2+P55^2+Q55^2+R55^2+S55^2)/H$27)</f>
        <v>0</v>
      </c>
      <c r="D53" s="195"/>
      <c r="E53" s="195"/>
      <c r="F53" s="195"/>
      <c r="G53" s="134" t="s">
        <v>285</v>
      </c>
      <c r="H53" s="0"/>
      <c r="I53" s="0"/>
      <c r="J53" s="0"/>
      <c r="K53" s="0"/>
      <c r="L53" s="0"/>
      <c r="M53" s="0"/>
      <c r="N53" s="0"/>
      <c r="O53" s="0"/>
      <c r="P53" s="0"/>
      <c r="Q53" s="0"/>
      <c r="R53" s="0"/>
      <c r="S53" s="0"/>
    </row>
    <row r="54" customFormat="false" ht="15.6" hidden="false" customHeight="false" outlineLevel="0" collapsed="false">
      <c r="A54" s="153" t="s">
        <v>282</v>
      </c>
      <c r="B54" s="24" t="n">
        <f aca="false">SQRT((H56^2+I56^2+J56^2+K56^2+L56^2+M56^2+N56^2+O56^2+P56^2+Q56^2+R56^2+S56^2)/H$27)</f>
        <v>0</v>
      </c>
      <c r="G54" s="153" t="s">
        <v>279</v>
      </c>
      <c r="H54" s="195" t="n">
        <v>0</v>
      </c>
      <c r="I54" s="195" t="n">
        <v>0</v>
      </c>
      <c r="J54" s="195" t="n">
        <v>0</v>
      </c>
      <c r="K54" s="195" t="n">
        <v>0</v>
      </c>
      <c r="L54" s="195" t="n">
        <v>0</v>
      </c>
      <c r="M54" s="195" t="n">
        <v>0</v>
      </c>
      <c r="N54" s="195" t="n">
        <v>0</v>
      </c>
      <c r="O54" s="195" t="n">
        <v>0</v>
      </c>
      <c r="P54" s="195" t="n">
        <v>0</v>
      </c>
      <c r="Q54" s="195" t="n">
        <v>0</v>
      </c>
      <c r="R54" s="195" t="n">
        <v>0</v>
      </c>
      <c r="S54" s="195" t="n">
        <v>0</v>
      </c>
    </row>
    <row r="55" customFormat="false" ht="15.6" hidden="false" customHeight="false" outlineLevel="0" collapsed="false">
      <c r="A55" s="153" t="s">
        <v>97</v>
      </c>
      <c r="B55" s="24" t="n">
        <f aca="false">SQRT((H58^2+I58^2+J58^2+K58^2+L58^2+M58^2+N58^2+O58^2+P58^2+Q58^2+R58^2+S58^2+B41^2)/H$27)</f>
        <v>0</v>
      </c>
      <c r="G55" s="153" t="s">
        <v>280</v>
      </c>
      <c r="H55" s="195" t="n">
        <v>0</v>
      </c>
      <c r="I55" s="195" t="n">
        <v>0</v>
      </c>
      <c r="J55" s="195" t="n">
        <v>0</v>
      </c>
      <c r="K55" s="195" t="n">
        <v>0</v>
      </c>
      <c r="L55" s="195" t="n">
        <v>0</v>
      </c>
      <c r="M55" s="195" t="n">
        <v>0</v>
      </c>
      <c r="N55" s="195" t="n">
        <v>0</v>
      </c>
      <c r="O55" s="195" t="n">
        <v>0</v>
      </c>
      <c r="P55" s="195" t="n">
        <v>0</v>
      </c>
      <c r="Q55" s="195" t="n">
        <v>0</v>
      </c>
      <c r="R55" s="195" t="n">
        <v>0</v>
      </c>
      <c r="S55" s="195" t="n">
        <v>0</v>
      </c>
    </row>
    <row r="56" customFormat="false" ht="15.6" hidden="false" customHeight="false" outlineLevel="0" collapsed="false">
      <c r="A56" s="153" t="s">
        <v>100</v>
      </c>
      <c r="B56" s="24" t="n">
        <f aca="false">SQRT((H59^2+I59^2+J59^2+K59^2+L59^2+M59^2+N59^2+O59^2+P59^2+Q59^2+R59^2+S59^2+B42^2)/H$27)</f>
        <v>0</v>
      </c>
      <c r="G56" s="153" t="s">
        <v>282</v>
      </c>
      <c r="H56" s="195" t="n">
        <v>0</v>
      </c>
      <c r="I56" s="195" t="n">
        <v>0</v>
      </c>
      <c r="J56" s="195" t="n">
        <v>0</v>
      </c>
      <c r="K56" s="195" t="n">
        <v>0</v>
      </c>
      <c r="L56" s="195" t="n">
        <v>0</v>
      </c>
      <c r="M56" s="195" t="n">
        <v>0</v>
      </c>
      <c r="N56" s="195" t="n">
        <v>0</v>
      </c>
      <c r="O56" s="195" t="n">
        <v>0</v>
      </c>
      <c r="P56" s="195" t="n">
        <v>0</v>
      </c>
      <c r="Q56" s="195" t="n">
        <v>0</v>
      </c>
      <c r="R56" s="195" t="n">
        <v>0</v>
      </c>
      <c r="S56" s="195" t="n">
        <v>0</v>
      </c>
    </row>
    <row r="57" customFormat="false" ht="15.6" hidden="false" customHeight="false" outlineLevel="0" collapsed="false">
      <c r="A57" s="153" t="s">
        <v>104</v>
      </c>
      <c r="B57" s="24" t="n">
        <f aca="false">SQRT((H60^2+I60^2+J60^2+K60^2+L60^2+M60^2+N60^2+O60^2+P60^2+Q60^2+R60^2+S60^2+B43^2)/H$27)</f>
        <v>0</v>
      </c>
      <c r="G57" s="134" t="s">
        <v>286</v>
      </c>
      <c r="H57" s="0"/>
      <c r="I57" s="0"/>
      <c r="J57" s="0"/>
      <c r="K57" s="0"/>
      <c r="L57" s="0"/>
      <c r="M57" s="0"/>
      <c r="N57" s="0"/>
      <c r="O57" s="0"/>
      <c r="P57" s="0"/>
      <c r="Q57" s="0"/>
      <c r="R57" s="0"/>
      <c r="S57" s="0"/>
    </row>
    <row r="58" customFormat="false" ht="15.6" hidden="false" customHeight="false" outlineLevel="0" collapsed="false">
      <c r="A58" s="0"/>
      <c r="B58" s="0"/>
      <c r="G58" s="153" t="s">
        <v>97</v>
      </c>
      <c r="H58" s="188" t="n">
        <f aca="false">H112</f>
        <v>0</v>
      </c>
      <c r="I58" s="188" t="n">
        <f aca="false">I112</f>
        <v>0</v>
      </c>
      <c r="J58" s="188" t="n">
        <f aca="false">J112</f>
        <v>0</v>
      </c>
      <c r="K58" s="188" t="n">
        <f aca="false">K112</f>
        <v>0</v>
      </c>
      <c r="L58" s="188" t="n">
        <f aca="false">L112</f>
        <v>0</v>
      </c>
      <c r="M58" s="188" t="n">
        <f aca="false">M112</f>
        <v>0</v>
      </c>
      <c r="N58" s="188" t="n">
        <f aca="false">N112</f>
        <v>0</v>
      </c>
      <c r="O58" s="188" t="n">
        <f aca="false">O112</f>
        <v>0</v>
      </c>
      <c r="P58" s="188" t="n">
        <f aca="false">P112</f>
        <v>0</v>
      </c>
      <c r="Q58" s="188" t="n">
        <f aca="false">Q112</f>
        <v>0</v>
      </c>
      <c r="R58" s="188" t="n">
        <f aca="false">R112</f>
        <v>0</v>
      </c>
      <c r="S58" s="188" t="n">
        <f aca="false">S112</f>
        <v>0</v>
      </c>
    </row>
    <row r="59" customFormat="false" ht="15.6" hidden="false" customHeight="false" outlineLevel="0" collapsed="false">
      <c r="A59" s="0"/>
      <c r="B59" s="0"/>
      <c r="G59" s="153" t="s">
        <v>100</v>
      </c>
      <c r="H59" s="188" t="n">
        <f aca="false">H117</f>
        <v>0</v>
      </c>
      <c r="I59" s="188" t="n">
        <f aca="false">I117</f>
        <v>0</v>
      </c>
      <c r="J59" s="188" t="n">
        <f aca="false">J117</f>
        <v>0</v>
      </c>
      <c r="K59" s="188" t="n">
        <f aca="false">K117</f>
        <v>0</v>
      </c>
      <c r="L59" s="188" t="n">
        <f aca="false">L117</f>
        <v>0</v>
      </c>
      <c r="M59" s="188" t="n">
        <f aca="false">M117</f>
        <v>0</v>
      </c>
      <c r="N59" s="188" t="n">
        <f aca="false">N117</f>
        <v>0</v>
      </c>
      <c r="O59" s="188" t="n">
        <f aca="false">O117</f>
        <v>0</v>
      </c>
      <c r="P59" s="188" t="n">
        <f aca="false">P117</f>
        <v>0</v>
      </c>
      <c r="Q59" s="188" t="n">
        <f aca="false">Q117</f>
        <v>0</v>
      </c>
      <c r="R59" s="188" t="n">
        <f aca="false">R117</f>
        <v>0</v>
      </c>
      <c r="S59" s="188" t="n">
        <f aca="false">S117</f>
        <v>0</v>
      </c>
    </row>
    <row r="60" customFormat="false" ht="15.6" hidden="false" customHeight="false" outlineLevel="0" collapsed="false">
      <c r="A60" s="0"/>
      <c r="B60" s="0"/>
      <c r="G60" s="153" t="s">
        <v>104</v>
      </c>
      <c r="H60" s="188" t="n">
        <f aca="false">H122</f>
        <v>0</v>
      </c>
      <c r="I60" s="188" t="n">
        <f aca="false">I122</f>
        <v>0</v>
      </c>
      <c r="J60" s="188" t="n">
        <f aca="false">J122</f>
        <v>0</v>
      </c>
      <c r="K60" s="188" t="n">
        <f aca="false">K122</f>
        <v>0</v>
      </c>
      <c r="L60" s="188" t="n">
        <f aca="false">L122</f>
        <v>0</v>
      </c>
      <c r="M60" s="188" t="n">
        <f aca="false">M122</f>
        <v>0</v>
      </c>
      <c r="N60" s="188" t="n">
        <f aca="false">N122</f>
        <v>0</v>
      </c>
      <c r="O60" s="188" t="n">
        <f aca="false">O122</f>
        <v>0</v>
      </c>
      <c r="P60" s="188" t="n">
        <f aca="false">P122</f>
        <v>0</v>
      </c>
      <c r="Q60" s="188" t="n">
        <f aca="false">Q122</f>
        <v>0</v>
      </c>
      <c r="R60" s="188" t="n">
        <f aca="false">R122</f>
        <v>0</v>
      </c>
      <c r="S60" s="188" t="n">
        <f aca="false">S122</f>
        <v>0</v>
      </c>
    </row>
    <row r="61" customFormat="false" ht="15.6" hidden="false" customHeight="false" outlineLevel="0" collapsed="false">
      <c r="A61" s="0"/>
      <c r="B61" s="0"/>
      <c r="G61" s="76"/>
      <c r="H61" s="0"/>
      <c r="I61" s="0"/>
      <c r="J61" s="0"/>
      <c r="K61" s="0"/>
      <c r="L61" s="0"/>
      <c r="M61" s="0"/>
      <c r="N61" s="0"/>
      <c r="O61" s="0"/>
      <c r="P61" s="0"/>
      <c r="Q61" s="0"/>
      <c r="R61" s="0"/>
      <c r="S61" s="0"/>
    </row>
    <row r="62" customFormat="false" ht="15.6" hidden="false" customHeight="false" outlineLevel="0" collapsed="false">
      <c r="A62" s="0"/>
      <c r="B62" s="0"/>
      <c r="G62" s="0"/>
      <c r="H62" s="0"/>
      <c r="I62" s="143"/>
      <c r="J62" s="143"/>
      <c r="K62" s="143"/>
      <c r="L62" s="143"/>
      <c r="M62" s="143"/>
      <c r="N62" s="143"/>
      <c r="O62" s="0"/>
      <c r="P62" s="0"/>
      <c r="Q62" s="0"/>
      <c r="R62" s="0"/>
      <c r="S62" s="0"/>
    </row>
    <row r="63" customFormat="false" ht="15.6" hidden="false" customHeight="false" outlineLevel="0" collapsed="false">
      <c r="A63" s="0"/>
      <c r="B63" s="0"/>
      <c r="G63" s="209"/>
      <c r="H63" s="210"/>
      <c r="I63" s="211"/>
      <c r="J63" s="211"/>
      <c r="K63" s="211"/>
      <c r="L63" s="211"/>
      <c r="M63" s="211"/>
      <c r="N63" s="211"/>
      <c r="O63" s="143"/>
      <c r="P63" s="0"/>
      <c r="Q63" s="0"/>
      <c r="R63" s="0"/>
      <c r="S63" s="0"/>
    </row>
    <row r="64" customFormat="false" ht="15.6" hidden="false" customHeight="false" outlineLevel="0" collapsed="false">
      <c r="A64" s="0"/>
      <c r="B64" s="0"/>
      <c r="G64" s="209"/>
      <c r="H64" s="210"/>
      <c r="I64" s="211"/>
      <c r="J64" s="211"/>
      <c r="K64" s="211"/>
      <c r="L64" s="211"/>
      <c r="M64" s="211"/>
      <c r="N64" s="211"/>
      <c r="O64" s="143"/>
      <c r="P64" s="0"/>
      <c r="Q64" s="0"/>
      <c r="R64" s="0"/>
      <c r="S64" s="0"/>
    </row>
    <row r="65" customFormat="false" ht="15.6" hidden="false" customHeight="false" outlineLevel="0" collapsed="false">
      <c r="A65" s="0"/>
      <c r="B65" s="0"/>
      <c r="G65" s="209"/>
      <c r="H65" s="210"/>
      <c r="I65" s="211"/>
      <c r="J65" s="211"/>
      <c r="K65" s="211"/>
      <c r="L65" s="211"/>
      <c r="M65" s="211"/>
      <c r="N65" s="211"/>
      <c r="O65" s="143"/>
      <c r="P65" s="0"/>
      <c r="Q65" s="0"/>
      <c r="R65" s="0"/>
      <c r="S65" s="0"/>
    </row>
    <row r="66" customFormat="false" ht="15.6" hidden="false" customHeight="false" outlineLevel="0" collapsed="false">
      <c r="A66" s="0"/>
      <c r="B66" s="0"/>
      <c r="G66" s="209"/>
      <c r="H66" s="210"/>
      <c r="I66" s="211"/>
      <c r="J66" s="211"/>
      <c r="K66" s="211"/>
      <c r="L66" s="211"/>
      <c r="M66" s="211"/>
      <c r="N66" s="211"/>
      <c r="O66" s="143"/>
      <c r="P66" s="0"/>
      <c r="Q66" s="0"/>
      <c r="R66" s="0"/>
      <c r="S66" s="0"/>
    </row>
    <row r="67" customFormat="false" ht="15.6" hidden="false" customHeight="false" outlineLevel="0" collapsed="false">
      <c r="A67" s="0"/>
      <c r="B67" s="0"/>
      <c r="G67" s="209"/>
      <c r="H67" s="210"/>
      <c r="I67" s="211"/>
      <c r="J67" s="211"/>
      <c r="K67" s="211"/>
      <c r="L67" s="211"/>
      <c r="M67" s="211"/>
      <c r="N67" s="211"/>
      <c r="O67" s="143"/>
      <c r="P67" s="0"/>
      <c r="Q67" s="0"/>
      <c r="R67" s="0"/>
      <c r="S67" s="0"/>
    </row>
    <row r="68" customFormat="false" ht="15.6" hidden="false" customHeight="false" outlineLevel="0" collapsed="false">
      <c r="A68" s="0"/>
      <c r="B68" s="0"/>
      <c r="G68" s="209"/>
      <c r="H68" s="210"/>
      <c r="I68" s="211"/>
      <c r="J68" s="211"/>
      <c r="K68" s="211"/>
      <c r="L68" s="211"/>
      <c r="M68" s="211"/>
      <c r="N68" s="211"/>
      <c r="O68" s="143"/>
      <c r="P68" s="0"/>
      <c r="Q68" s="0"/>
      <c r="R68" s="0"/>
      <c r="S68" s="0"/>
    </row>
    <row r="69" customFormat="false" ht="15.6" hidden="false" customHeight="false" outlineLevel="0" collapsed="false">
      <c r="A69" s="0"/>
      <c r="B69" s="0"/>
      <c r="G69" s="209"/>
      <c r="H69" s="210"/>
      <c r="I69" s="211"/>
      <c r="J69" s="211"/>
      <c r="K69" s="211"/>
      <c r="L69" s="211"/>
      <c r="M69" s="211"/>
      <c r="N69" s="211"/>
      <c r="O69" s="143"/>
      <c r="P69" s="0"/>
      <c r="Q69" s="0"/>
      <c r="R69" s="0"/>
      <c r="S69" s="0"/>
    </row>
    <row r="70" customFormat="false" ht="15.6" hidden="false" customHeight="false" outlineLevel="0" collapsed="false">
      <c r="A70" s="153"/>
      <c r="B70" s="142"/>
      <c r="G70" s="209"/>
      <c r="H70" s="210"/>
      <c r="I70" s="211"/>
      <c r="J70" s="211"/>
      <c r="K70" s="211"/>
      <c r="L70" s="211"/>
      <c r="M70" s="211"/>
      <c r="N70" s="211"/>
      <c r="O70" s="143"/>
      <c r="P70" s="0"/>
      <c r="Q70" s="0"/>
      <c r="R70" s="0"/>
      <c r="S70" s="0"/>
    </row>
    <row r="71" customFormat="false" ht="15.6" hidden="false" customHeight="false" outlineLevel="0" collapsed="false">
      <c r="A71" s="153"/>
      <c r="B71" s="142"/>
      <c r="G71" s="209"/>
      <c r="H71" s="210"/>
      <c r="I71" s="211"/>
      <c r="J71" s="211"/>
      <c r="K71" s="211"/>
      <c r="L71" s="211"/>
      <c r="M71" s="211"/>
      <c r="N71" s="211"/>
      <c r="O71" s="143"/>
      <c r="P71" s="0"/>
      <c r="Q71" s="0"/>
      <c r="R71" s="0"/>
      <c r="S71" s="0"/>
    </row>
    <row r="72" customFormat="false" ht="15.6" hidden="false" customHeight="false" outlineLevel="0" collapsed="false">
      <c r="A72" s="153"/>
      <c r="B72" s="142"/>
      <c r="G72" s="209"/>
      <c r="H72" s="210"/>
      <c r="I72" s="211"/>
      <c r="J72" s="211"/>
      <c r="K72" s="211"/>
      <c r="L72" s="211"/>
      <c r="M72" s="211"/>
      <c r="N72" s="211"/>
      <c r="O72" s="143"/>
      <c r="P72" s="0"/>
      <c r="Q72" s="0"/>
      <c r="R72" s="0"/>
      <c r="S72" s="0"/>
    </row>
    <row r="73" customFormat="false" ht="15.6" hidden="false" customHeight="false" outlineLevel="0" collapsed="false">
      <c r="A73" s="153"/>
      <c r="B73" s="142"/>
      <c r="G73" s="209"/>
      <c r="H73" s="210"/>
      <c r="I73" s="211"/>
      <c r="J73" s="211"/>
      <c r="K73" s="211"/>
      <c r="L73" s="211"/>
      <c r="M73" s="211"/>
      <c r="N73" s="211"/>
      <c r="O73" s="143"/>
      <c r="P73" s="0"/>
      <c r="Q73" s="0"/>
      <c r="R73" s="0"/>
      <c r="S73" s="0"/>
    </row>
    <row r="74" customFormat="false" ht="15.6" hidden="false" customHeight="false" outlineLevel="0" collapsed="false">
      <c r="A74" s="153"/>
      <c r="B74" s="142"/>
      <c r="G74" s="209"/>
      <c r="H74" s="210"/>
      <c r="I74" s="211"/>
      <c r="J74" s="211"/>
      <c r="K74" s="211"/>
      <c r="L74" s="211"/>
      <c r="M74" s="211"/>
      <c r="N74" s="211"/>
      <c r="O74" s="143"/>
      <c r="P74" s="0"/>
      <c r="Q74" s="0"/>
      <c r="R74" s="0"/>
      <c r="S74" s="0"/>
    </row>
    <row r="75" customFormat="false" ht="15.6" hidden="false" customHeight="false" outlineLevel="0" collapsed="false">
      <c r="A75" s="153"/>
      <c r="B75" s="142"/>
      <c r="G75" s="209"/>
      <c r="H75" s="210"/>
      <c r="I75" s="211"/>
      <c r="J75" s="211"/>
      <c r="K75" s="211"/>
      <c r="L75" s="211"/>
      <c r="M75" s="211"/>
      <c r="N75" s="211"/>
      <c r="O75" s="143"/>
      <c r="P75" s="0"/>
      <c r="Q75" s="0"/>
      <c r="R75" s="0"/>
      <c r="S75" s="0"/>
    </row>
    <row r="76" customFormat="false" ht="15.6" hidden="false" customHeight="false" outlineLevel="0" collapsed="false">
      <c r="A76" s="153"/>
      <c r="B76" s="142"/>
      <c r="G76" s="209"/>
      <c r="H76" s="210"/>
      <c r="I76" s="211"/>
      <c r="J76" s="211"/>
      <c r="K76" s="211"/>
      <c r="L76" s="211"/>
      <c r="M76" s="211"/>
      <c r="N76" s="211"/>
      <c r="O76" s="143"/>
      <c r="P76" s="0"/>
      <c r="Q76" s="0"/>
      <c r="R76" s="0"/>
      <c r="S76" s="0"/>
    </row>
    <row r="77" customFormat="false" ht="15.6" hidden="false" customHeight="false" outlineLevel="0" collapsed="false">
      <c r="A77" s="153"/>
      <c r="B77" s="142"/>
      <c r="G77" s="209"/>
      <c r="H77" s="210"/>
      <c r="I77" s="211"/>
      <c r="J77" s="211"/>
      <c r="K77" s="211"/>
      <c r="L77" s="211"/>
      <c r="M77" s="211"/>
      <c r="N77" s="211"/>
      <c r="O77" s="143"/>
      <c r="P77" s="0"/>
      <c r="Q77" s="0"/>
      <c r="R77" s="0"/>
      <c r="S77" s="0"/>
    </row>
    <row r="78" customFormat="false" ht="15.6" hidden="false" customHeight="false" outlineLevel="0" collapsed="false">
      <c r="A78" s="153"/>
      <c r="B78" s="142"/>
      <c r="G78" s="209"/>
      <c r="H78" s="210"/>
      <c r="I78" s="211"/>
      <c r="J78" s="211"/>
      <c r="K78" s="211"/>
      <c r="L78" s="211"/>
      <c r="M78" s="211"/>
      <c r="N78" s="211"/>
      <c r="O78" s="143"/>
      <c r="P78" s="0"/>
      <c r="Q78" s="0"/>
      <c r="R78" s="0"/>
      <c r="S78" s="0"/>
    </row>
    <row r="79" customFormat="false" ht="15.6" hidden="false" customHeight="false" outlineLevel="0" collapsed="false">
      <c r="A79" s="153"/>
      <c r="B79" s="142"/>
      <c r="G79" s="209"/>
      <c r="H79" s="210"/>
      <c r="I79" s="211"/>
      <c r="J79" s="211"/>
      <c r="K79" s="211"/>
      <c r="L79" s="211"/>
      <c r="M79" s="211"/>
      <c r="N79" s="211"/>
      <c r="O79" s="143"/>
      <c r="P79" s="0"/>
      <c r="Q79" s="0"/>
      <c r="R79" s="0"/>
      <c r="S79" s="0"/>
    </row>
    <row r="80" customFormat="false" ht="15.6" hidden="false" customHeight="false" outlineLevel="0" collapsed="false">
      <c r="A80" s="153"/>
      <c r="B80" s="142"/>
      <c r="G80" s="209"/>
      <c r="H80" s="210"/>
      <c r="I80" s="211"/>
      <c r="J80" s="211"/>
      <c r="K80" s="211"/>
      <c r="L80" s="211"/>
      <c r="M80" s="211"/>
      <c r="N80" s="211"/>
      <c r="O80" s="143"/>
      <c r="P80" s="0"/>
      <c r="Q80" s="0"/>
      <c r="R80" s="0"/>
      <c r="S80" s="0"/>
    </row>
    <row r="81" customFormat="false" ht="15.6" hidden="false" customHeight="false" outlineLevel="0" collapsed="false">
      <c r="A81" s="153"/>
      <c r="B81" s="142"/>
      <c r="G81" s="209"/>
      <c r="H81" s="210"/>
      <c r="I81" s="211"/>
      <c r="J81" s="211"/>
      <c r="K81" s="211"/>
      <c r="L81" s="211"/>
      <c r="M81" s="211"/>
      <c r="N81" s="211"/>
      <c r="O81" s="143"/>
      <c r="P81" s="0"/>
      <c r="Q81" s="0"/>
      <c r="R81" s="0"/>
      <c r="S81" s="0"/>
    </row>
    <row r="82" customFormat="false" ht="15.6" hidden="false" customHeight="false" outlineLevel="0" collapsed="false">
      <c r="A82" s="153"/>
      <c r="B82" s="142"/>
      <c r="G82" s="209"/>
      <c r="H82" s="210"/>
      <c r="I82" s="211"/>
      <c r="J82" s="211"/>
      <c r="K82" s="211"/>
      <c r="L82" s="211"/>
      <c r="M82" s="211"/>
      <c r="N82" s="211"/>
      <c r="O82" s="143"/>
      <c r="P82" s="0"/>
      <c r="Q82" s="0"/>
      <c r="R82" s="0"/>
      <c r="S82" s="0"/>
    </row>
    <row r="83" customFormat="false" ht="15.6" hidden="false" customHeight="false" outlineLevel="0" collapsed="false">
      <c r="A83" s="153"/>
      <c r="B83" s="142"/>
      <c r="G83" s="209"/>
      <c r="H83" s="210"/>
      <c r="I83" s="211"/>
      <c r="J83" s="211"/>
      <c r="K83" s="211"/>
      <c r="L83" s="211"/>
      <c r="M83" s="211"/>
      <c r="N83" s="211"/>
      <c r="O83" s="143"/>
      <c r="P83" s="0"/>
      <c r="Q83" s="0"/>
      <c r="R83" s="0"/>
      <c r="S83" s="0"/>
    </row>
    <row r="84" customFormat="false" ht="15.6" hidden="false" customHeight="false" outlineLevel="0" collapsed="false">
      <c r="A84" s="153"/>
      <c r="B84" s="142"/>
      <c r="G84" s="209"/>
      <c r="H84" s="210"/>
      <c r="I84" s="211"/>
      <c r="J84" s="211"/>
      <c r="K84" s="211"/>
      <c r="L84" s="211"/>
      <c r="M84" s="211"/>
      <c r="N84" s="211"/>
      <c r="O84" s="143"/>
      <c r="P84" s="0"/>
      <c r="Q84" s="0"/>
      <c r="R84" s="0"/>
      <c r="S84" s="0"/>
    </row>
    <row r="85" customFormat="false" ht="15.6" hidden="false" customHeight="false" outlineLevel="0" collapsed="false">
      <c r="A85" s="153"/>
      <c r="B85" s="142"/>
      <c r="G85" s="209"/>
      <c r="H85" s="210"/>
      <c r="I85" s="211"/>
      <c r="J85" s="211"/>
      <c r="K85" s="211"/>
      <c r="L85" s="211"/>
      <c r="M85" s="211"/>
      <c r="N85" s="211"/>
      <c r="O85" s="143"/>
      <c r="P85" s="0"/>
      <c r="Q85" s="0"/>
      <c r="R85" s="0"/>
      <c r="S85" s="0"/>
    </row>
    <row r="86" customFormat="false" ht="15.6" hidden="false" customHeight="false" outlineLevel="0" collapsed="false">
      <c r="A86" s="153"/>
      <c r="B86" s="142"/>
      <c r="G86" s="209"/>
      <c r="H86" s="210"/>
      <c r="I86" s="211"/>
      <c r="J86" s="211"/>
      <c r="K86" s="211"/>
      <c r="L86" s="211"/>
      <c r="M86" s="211"/>
      <c r="N86" s="211"/>
      <c r="O86" s="143"/>
      <c r="P86" s="0"/>
      <c r="Q86" s="0"/>
      <c r="R86" s="0"/>
      <c r="S86" s="0"/>
    </row>
    <row r="87" customFormat="false" ht="15.6" hidden="false" customHeight="false" outlineLevel="0" collapsed="false">
      <c r="A87" s="153"/>
      <c r="B87" s="142"/>
      <c r="G87" s="209"/>
      <c r="H87" s="210"/>
      <c r="I87" s="211"/>
      <c r="J87" s="211"/>
      <c r="K87" s="211"/>
      <c r="L87" s="211"/>
      <c r="M87" s="211"/>
      <c r="N87" s="211"/>
      <c r="O87" s="143"/>
      <c r="P87" s="0"/>
      <c r="Q87" s="0"/>
      <c r="R87" s="0"/>
      <c r="S87" s="0"/>
    </row>
    <row r="88" customFormat="false" ht="15.6" hidden="false" customHeight="false" outlineLevel="0" collapsed="false">
      <c r="A88" s="153"/>
      <c r="B88" s="142"/>
      <c r="G88" s="209"/>
      <c r="H88" s="210"/>
      <c r="I88" s="211"/>
      <c r="J88" s="211"/>
      <c r="K88" s="211"/>
      <c r="L88" s="211"/>
      <c r="M88" s="211"/>
      <c r="N88" s="211"/>
      <c r="O88" s="143"/>
      <c r="P88" s="0"/>
      <c r="Q88" s="0"/>
      <c r="R88" s="0"/>
      <c r="S88" s="0"/>
    </row>
    <row r="89" customFormat="false" ht="15.6" hidden="false" customHeight="false" outlineLevel="0" collapsed="false">
      <c r="A89" s="153"/>
      <c r="B89" s="142"/>
      <c r="G89" s="209"/>
      <c r="H89" s="210"/>
      <c r="I89" s="211"/>
      <c r="J89" s="211"/>
      <c r="K89" s="211"/>
      <c r="L89" s="211"/>
      <c r="M89" s="211"/>
      <c r="N89" s="211"/>
      <c r="O89" s="143"/>
      <c r="P89" s="0"/>
      <c r="Q89" s="0"/>
      <c r="R89" s="0"/>
      <c r="S89" s="0"/>
    </row>
    <row r="90" customFormat="false" ht="15.6" hidden="false" customHeight="false" outlineLevel="0" collapsed="false">
      <c r="A90" s="153"/>
      <c r="B90" s="142"/>
      <c r="G90" s="0"/>
      <c r="H90" s="0"/>
      <c r="I90" s="0"/>
      <c r="J90" s="0"/>
      <c r="K90" s="0"/>
      <c r="L90" s="0"/>
      <c r="M90" s="0"/>
      <c r="N90" s="0"/>
      <c r="O90" s="0"/>
      <c r="P90" s="0"/>
      <c r="Q90" s="0"/>
      <c r="R90" s="0"/>
      <c r="S90" s="0"/>
    </row>
    <row r="91" customFormat="false" ht="15.6" hidden="false" customHeight="false" outlineLevel="0" collapsed="false">
      <c r="A91" s="153"/>
      <c r="B91" s="142"/>
      <c r="G91" s="0"/>
      <c r="H91" s="0"/>
      <c r="I91" s="0"/>
      <c r="J91" s="0"/>
      <c r="K91" s="0"/>
      <c r="L91" s="0"/>
      <c r="M91" s="0"/>
      <c r="N91" s="0"/>
      <c r="O91" s="0"/>
      <c r="P91" s="0"/>
      <c r="Q91" s="0"/>
      <c r="R91" s="0"/>
      <c r="S91" s="0"/>
    </row>
    <row r="92" customFormat="false" ht="15.6" hidden="false" customHeight="false" outlineLevel="0" collapsed="false">
      <c r="A92" s="153"/>
      <c r="B92" s="142"/>
      <c r="G92" s="0"/>
      <c r="H92" s="0"/>
      <c r="I92" s="0"/>
      <c r="J92" s="0"/>
      <c r="K92" s="0"/>
      <c r="L92" s="0"/>
      <c r="M92" s="0"/>
      <c r="N92" s="0"/>
      <c r="O92" s="0"/>
      <c r="P92" s="0"/>
      <c r="Q92" s="0"/>
      <c r="R92" s="0"/>
      <c r="S92" s="0"/>
    </row>
    <row r="93" customFormat="false" ht="15.6" hidden="false" customHeight="false" outlineLevel="0" collapsed="false">
      <c r="A93" s="153"/>
      <c r="B93" s="142"/>
      <c r="G93" s="212" t="s">
        <v>289</v>
      </c>
      <c r="H93" s="0"/>
      <c r="I93" s="0"/>
      <c r="J93" s="0"/>
      <c r="K93" s="0"/>
      <c r="L93" s="0"/>
      <c r="M93" s="0"/>
      <c r="N93" s="0"/>
      <c r="O93" s="0"/>
      <c r="P93" s="0"/>
      <c r="Q93" s="0"/>
      <c r="R93" s="0"/>
      <c r="S93" s="0"/>
    </row>
    <row r="94" customFormat="false" ht="15.6" hidden="false" customHeight="false" outlineLevel="0" collapsed="false">
      <c r="A94" s="153"/>
      <c r="B94" s="142"/>
      <c r="G94" s="213"/>
      <c r="H94" s="165" t="s">
        <v>290</v>
      </c>
      <c r="I94" s="0"/>
      <c r="J94" s="0"/>
      <c r="K94" s="0"/>
      <c r="L94" s="0"/>
      <c r="M94" s="0"/>
      <c r="N94" s="0"/>
      <c r="O94" s="0"/>
      <c r="P94" s="0"/>
      <c r="Q94" s="0"/>
      <c r="R94" s="0"/>
      <c r="S94" s="0"/>
    </row>
    <row r="95" customFormat="false" ht="15.6" hidden="false" customHeight="false" outlineLevel="0" collapsed="false">
      <c r="A95" s="153"/>
      <c r="B95" s="142"/>
      <c r="G95" s="165" t="s">
        <v>291</v>
      </c>
      <c r="H95" s="77" t="n">
        <f aca="false">H47/ABS(H32+0.000001)</f>
        <v>9.99999980000001E-005</v>
      </c>
      <c r="I95" s="77" t="n">
        <f aca="false">I47/ABS(I32+0.000001)</f>
        <v>9.99999980000001E-005</v>
      </c>
      <c r="J95" s="77" t="n">
        <f aca="false">J47/ABS(J32+0.000001)</f>
        <v>0.000100000002</v>
      </c>
      <c r="K95" s="77" t="n">
        <f aca="false">K47/ABS(K32+0.000001)</f>
        <v>0.000100000002</v>
      </c>
      <c r="L95" s="77" t="n">
        <f aca="false">L47/ABS(L32+0.000001)</f>
        <v>0</v>
      </c>
      <c r="M95" s="77" t="n">
        <f aca="false">M47/ABS(M32+0.000001)</f>
        <v>0</v>
      </c>
      <c r="N95" s="77" t="n">
        <f aca="false">N47/ABS(N32+0.000001)</f>
        <v>0</v>
      </c>
      <c r="O95" s="77" t="n">
        <f aca="false">O47/ABS(O32+0.000001)</f>
        <v>0</v>
      </c>
      <c r="P95" s="77" t="n">
        <f aca="false">P47/ABS(P32+0.000001)</f>
        <v>0</v>
      </c>
      <c r="Q95" s="77" t="n">
        <f aca="false">Q47/ABS(Q32+0.000001)</f>
        <v>0</v>
      </c>
      <c r="R95" s="77" t="n">
        <f aca="false">R47/ABS(R32+0.000001)</f>
        <v>0</v>
      </c>
      <c r="S95" s="77" t="n">
        <f aca="false">S47/ABS(S32+0.000001)</f>
        <v>0</v>
      </c>
    </row>
    <row r="96" customFormat="false" ht="15.6" hidden="false" customHeight="false" outlineLevel="0" collapsed="false">
      <c r="A96" s="153"/>
      <c r="B96" s="142"/>
      <c r="G96" s="165" t="s">
        <v>291</v>
      </c>
      <c r="H96" s="77" t="n">
        <f aca="false">H48/ABS(H31+0.000001)</f>
        <v>9.99999980000001E-005</v>
      </c>
      <c r="I96" s="77" t="n">
        <f aca="false">I48/ABS(I31+0.000001)</f>
        <v>0.000100000002</v>
      </c>
      <c r="J96" s="77" t="n">
        <f aca="false">J48/ABS(J31+0.000001)</f>
        <v>0.000100000002</v>
      </c>
      <c r="K96" s="77" t="n">
        <f aca="false">K48/ABS(K31+0.000001)</f>
        <v>9.99999980000001E-005</v>
      </c>
      <c r="L96" s="77" t="n">
        <f aca="false">L48/ABS(L31+0.000001)</f>
        <v>0</v>
      </c>
      <c r="M96" s="77" t="n">
        <f aca="false">M48/ABS(M31+0.000001)</f>
        <v>0</v>
      </c>
      <c r="N96" s="77" t="n">
        <f aca="false">N48/ABS(N31+0.000001)</f>
        <v>0</v>
      </c>
      <c r="O96" s="77" t="n">
        <f aca="false">O48/ABS(O31+0.000001)</f>
        <v>0</v>
      </c>
      <c r="P96" s="77" t="n">
        <f aca="false">P48/ABS(P31+0.000001)</f>
        <v>0</v>
      </c>
      <c r="Q96" s="77" t="n">
        <f aca="false">Q48/ABS(Q31+0.000001)</f>
        <v>0</v>
      </c>
      <c r="R96" s="77" t="n">
        <f aca="false">R48/ABS(R31+0.000001)</f>
        <v>0</v>
      </c>
      <c r="S96" s="77" t="n">
        <f aca="false">S48/ABS(S31+0.000001)</f>
        <v>0</v>
      </c>
    </row>
    <row r="97" customFormat="false" ht="15.6" hidden="false" customHeight="false" outlineLevel="0" collapsed="false">
      <c r="A97" s="153"/>
      <c r="B97" s="142"/>
      <c r="G97" s="77" t="s">
        <v>292</v>
      </c>
      <c r="H97" s="161" t="n">
        <f aca="false">IF(MIN(H95,H96)&gt;1,0,MIN(H95,H96))</f>
        <v>9.99999980000001E-005</v>
      </c>
      <c r="I97" s="161" t="n">
        <f aca="false">IF(MIN(I95,I96)&gt;1,0,MIN(I95,I96))</f>
        <v>9.99999980000001E-005</v>
      </c>
      <c r="J97" s="161" t="n">
        <f aca="false">IF(MIN(J95,J96)&gt;1,0,MIN(J95,J96))</f>
        <v>0.000100000002</v>
      </c>
      <c r="K97" s="161" t="n">
        <f aca="false">IF(MIN(K95,K96)&gt;1,0,MIN(K95,K96))</f>
        <v>9.99999980000001E-005</v>
      </c>
      <c r="L97" s="161" t="n">
        <f aca="false">IF(MIN(L95,L96)&gt;1,0,MIN(L95,L96))</f>
        <v>0</v>
      </c>
      <c r="M97" s="161" t="n">
        <f aca="false">IF(MIN(M95,M96)&gt;1,0,MIN(M95,M96))</f>
        <v>0</v>
      </c>
      <c r="N97" s="161" t="n">
        <f aca="false">IF(MIN(N95,N96)&gt;1,0,MIN(N95,N96))</f>
        <v>0</v>
      </c>
      <c r="O97" s="161" t="n">
        <f aca="false">IF(MIN(O95,O96)&gt;1,0,MIN(O95,O96))</f>
        <v>0</v>
      </c>
      <c r="P97" s="161" t="n">
        <f aca="false">IF(MIN(P95,P96)&gt;1,0,MIN(P95,P96))</f>
        <v>0</v>
      </c>
      <c r="Q97" s="161" t="n">
        <f aca="false">IF(MIN(Q95,Q96)&gt;1,0,MIN(Q95,Q96))</f>
        <v>0</v>
      </c>
      <c r="R97" s="161" t="n">
        <f aca="false">IF(MIN(R95,R96)&gt;1,0,MIN(R95,R96))</f>
        <v>0</v>
      </c>
      <c r="S97" s="161" t="n">
        <f aca="false">IF(MIN(S95,S96)&gt;1,0,MIN(S95,S96))</f>
        <v>0</v>
      </c>
    </row>
    <row r="98" customFormat="false" ht="15.6" hidden="false" customHeight="false" outlineLevel="0" collapsed="false">
      <c r="A98" s="153"/>
      <c r="B98" s="142"/>
      <c r="G98" s="0"/>
      <c r="H98" s="165" t="s">
        <v>293</v>
      </c>
      <c r="I98" s="165"/>
      <c r="J98" s="165"/>
      <c r="K98" s="165"/>
      <c r="L98" s="165"/>
      <c r="M98" s="165"/>
      <c r="N98" s="165"/>
      <c r="O98" s="165"/>
      <c r="P98" s="165"/>
      <c r="Q98" s="165"/>
      <c r="R98" s="165"/>
      <c r="S98" s="165"/>
    </row>
    <row r="99" customFormat="false" ht="15.6" hidden="false" customHeight="false" outlineLevel="0" collapsed="false">
      <c r="A99" s="153"/>
      <c r="B99" s="142"/>
      <c r="G99" s="214" t="s">
        <v>291</v>
      </c>
      <c r="H99" s="131" t="n">
        <f aca="false">H48/ABS(H30+0.000001)</f>
        <v>5000</v>
      </c>
      <c r="I99" s="131" t="n">
        <f aca="false">I48/ABS(I30+0.000001)</f>
        <v>5000</v>
      </c>
      <c r="J99" s="131" t="n">
        <f aca="false">J48/ABS(J30+0.000001)</f>
        <v>5000</v>
      </c>
      <c r="K99" s="131" t="n">
        <f aca="false">K48/ABS(K30+0.000001)</f>
        <v>5000</v>
      </c>
      <c r="L99" s="131" t="n">
        <f aca="false">L48/ABS(L30+0.000001)</f>
        <v>0</v>
      </c>
      <c r="M99" s="131" t="n">
        <f aca="false">M48/ABS(M30+0.000001)</f>
        <v>0</v>
      </c>
      <c r="N99" s="131" t="n">
        <f aca="false">N48/ABS(N30+0.000001)</f>
        <v>0</v>
      </c>
      <c r="O99" s="131" t="n">
        <f aca="false">O48/ABS(O30+0.000001)</f>
        <v>0</v>
      </c>
      <c r="P99" s="131" t="n">
        <f aca="false">P48/ABS(P30+0.000001)</f>
        <v>0</v>
      </c>
      <c r="Q99" s="131" t="n">
        <f aca="false">Q48/ABS(Q30+0.000001)</f>
        <v>0</v>
      </c>
      <c r="R99" s="131" t="n">
        <f aca="false">R48/ABS(R30+0.000001)</f>
        <v>0</v>
      </c>
      <c r="S99" s="131" t="n">
        <f aca="false">S48/ABS(S30+0.000001)</f>
        <v>0</v>
      </c>
    </row>
    <row r="100" customFormat="false" ht="15.6" hidden="false" customHeight="false" outlineLevel="0" collapsed="false">
      <c r="G100" s="214" t="s">
        <v>291</v>
      </c>
      <c r="H100" s="215" t="n">
        <f aca="false">H46/ABS(H32+0.000001)</f>
        <v>9.99999980000001E-005</v>
      </c>
      <c r="I100" s="215" t="n">
        <f aca="false">I46/ABS(I32+0.000001)</f>
        <v>9.99999980000001E-005</v>
      </c>
      <c r="J100" s="215" t="n">
        <f aca="false">J46/ABS(J32+0.000001)</f>
        <v>0.000100000002</v>
      </c>
      <c r="K100" s="215" t="n">
        <f aca="false">K46/ABS(K32+0.000001)</f>
        <v>0.000100000002</v>
      </c>
      <c r="L100" s="215" t="n">
        <f aca="false">L46/ABS(L32+0.000001)</f>
        <v>0</v>
      </c>
      <c r="M100" s="215" t="n">
        <f aca="false">M46/ABS(M32+0.000001)</f>
        <v>0</v>
      </c>
      <c r="N100" s="215" t="n">
        <f aca="false">N46/ABS(N32+0.000001)</f>
        <v>0</v>
      </c>
      <c r="O100" s="215" t="n">
        <f aca="false">O46/ABS(O32+0.000001)</f>
        <v>0</v>
      </c>
      <c r="P100" s="215" t="n">
        <f aca="false">P46/ABS(P32+0.000001)</f>
        <v>0</v>
      </c>
      <c r="Q100" s="215" t="n">
        <f aca="false">Q46/ABS(Q32+0.000001)</f>
        <v>0</v>
      </c>
      <c r="R100" s="215" t="n">
        <f aca="false">R46/ABS(R32+0.000001)</f>
        <v>0</v>
      </c>
      <c r="S100" s="215" t="n">
        <f aca="false">S46/ABS(S32+0.000001)</f>
        <v>0</v>
      </c>
    </row>
    <row r="101" customFormat="false" ht="15.6" hidden="false" customHeight="false" outlineLevel="0" collapsed="false">
      <c r="G101" s="77" t="s">
        <v>292</v>
      </c>
      <c r="H101" s="161" t="n">
        <f aca="false">IF(MIN(H99,H100)&gt;1,0,MIN(H99,H100))</f>
        <v>9.99999980000001E-005</v>
      </c>
      <c r="I101" s="161" t="n">
        <f aca="false">IF(MIN(I99,I100)&gt;1,0,MIN(I99,I100))</f>
        <v>9.99999980000001E-005</v>
      </c>
      <c r="J101" s="161" t="n">
        <f aca="false">IF(MIN(J99,J100)&gt;1,0,MIN(J99,J100))</f>
        <v>0.000100000002</v>
      </c>
      <c r="K101" s="161" t="n">
        <f aca="false">IF(MIN(K99,K100)&gt;1,0,MIN(K99,K100))</f>
        <v>0.000100000002</v>
      </c>
      <c r="L101" s="161" t="n">
        <f aca="false">IF(MIN(L99,L100)&gt;1,0,MIN(L99,L100))</f>
        <v>0</v>
      </c>
      <c r="M101" s="161" t="n">
        <f aca="false">IF(MIN(M99,M100)&gt;1,0,MIN(M99,M100))</f>
        <v>0</v>
      </c>
      <c r="N101" s="161" t="n">
        <f aca="false">IF(MIN(N99,N100)&gt;1,0,MIN(N99,N100))</f>
        <v>0</v>
      </c>
      <c r="O101" s="161" t="n">
        <f aca="false">IF(MIN(O99,O100)&gt;1,0,MIN(O99,O100))</f>
        <v>0</v>
      </c>
      <c r="P101" s="161" t="n">
        <f aca="false">IF(MIN(P99,P100)&gt;1,0,MIN(P99,P100))</f>
        <v>0</v>
      </c>
      <c r="Q101" s="161" t="n">
        <f aca="false">IF(MIN(Q99,Q100)&gt;1,0,MIN(Q99,Q100))</f>
        <v>0</v>
      </c>
      <c r="R101" s="161" t="n">
        <f aca="false">IF(MIN(R99,R100)&gt;1,0,MIN(R99,R100))</f>
        <v>0</v>
      </c>
      <c r="S101" s="161" t="n">
        <f aca="false">IF(MIN(S99,S100)&gt;1,0,MIN(S99,S100))</f>
        <v>0</v>
      </c>
    </row>
    <row r="102" customFormat="false" ht="15.6" hidden="false" customHeight="false" outlineLevel="0" collapsed="false">
      <c r="G102" s="0"/>
      <c r="H102" s="77" t="s">
        <v>294</v>
      </c>
      <c r="I102" s="0"/>
      <c r="J102" s="0"/>
      <c r="K102" s="0"/>
      <c r="L102" s="0"/>
      <c r="M102" s="0"/>
      <c r="N102" s="0"/>
      <c r="O102" s="0"/>
      <c r="P102" s="0"/>
      <c r="Q102" s="0"/>
      <c r="R102" s="0"/>
      <c r="S102" s="0"/>
    </row>
    <row r="103" customFormat="false" ht="15.6" hidden="false" customHeight="false" outlineLevel="0" collapsed="false">
      <c r="G103" s="165" t="s">
        <v>291</v>
      </c>
      <c r="H103" s="77" t="n">
        <f aca="false">H47/ABS(H30+0.000001)</f>
        <v>5000</v>
      </c>
      <c r="I103" s="77" t="n">
        <f aca="false">I47/ABS(I30+0.000001)</f>
        <v>5000</v>
      </c>
      <c r="J103" s="77" t="n">
        <f aca="false">J47/ABS(J30+0.000001)</f>
        <v>5000</v>
      </c>
      <c r="K103" s="77" t="n">
        <f aca="false">K47/ABS(K30+0.000001)</f>
        <v>5000</v>
      </c>
      <c r="L103" s="77" t="n">
        <f aca="false">L47/ABS(L30+0.000001)</f>
        <v>0</v>
      </c>
      <c r="M103" s="77" t="n">
        <f aca="false">M47/ABS(M30+0.000001)</f>
        <v>0</v>
      </c>
      <c r="N103" s="77" t="n">
        <f aca="false">N47/ABS(N30+0.000001)</f>
        <v>0</v>
      </c>
      <c r="O103" s="77" t="n">
        <f aca="false">O47/ABS(O30+0.000001)</f>
        <v>0</v>
      </c>
      <c r="P103" s="77" t="n">
        <f aca="false">P47/ABS(P30+0.000001)</f>
        <v>0</v>
      </c>
      <c r="Q103" s="77" t="n">
        <f aca="false">Q47/ABS(Q30+0.000001)</f>
        <v>0</v>
      </c>
      <c r="R103" s="77" t="n">
        <f aca="false">R47/ABS(R30+0.000001)</f>
        <v>0</v>
      </c>
      <c r="S103" s="77" t="n">
        <f aca="false">S47/ABS(S30+0.000001)</f>
        <v>0</v>
      </c>
    </row>
    <row r="104" customFormat="false" ht="15.6" hidden="false" customHeight="false" outlineLevel="0" collapsed="false">
      <c r="G104" s="165" t="s">
        <v>291</v>
      </c>
      <c r="H104" s="77" t="n">
        <f aca="false">H46/ABS(H31+0.000001)</f>
        <v>9.99999980000001E-005</v>
      </c>
      <c r="I104" s="77" t="n">
        <f aca="false">I46/ABS(I31+0.000001)</f>
        <v>0.000100000002</v>
      </c>
      <c r="J104" s="77" t="n">
        <f aca="false">J46/ABS(J31+0.000001)</f>
        <v>0.000100000002</v>
      </c>
      <c r="K104" s="77" t="n">
        <f aca="false">K46/ABS(K31+0.000001)</f>
        <v>9.99999980000001E-005</v>
      </c>
      <c r="L104" s="77" t="n">
        <f aca="false">L46/ABS(L31+0.000001)</f>
        <v>0</v>
      </c>
      <c r="M104" s="77" t="n">
        <f aca="false">M46/ABS(M31+0.000001)</f>
        <v>0</v>
      </c>
      <c r="N104" s="77" t="n">
        <f aca="false">N46/ABS(N31+0.000001)</f>
        <v>0</v>
      </c>
      <c r="O104" s="77" t="n">
        <f aca="false">O46/ABS(O31+0.000001)</f>
        <v>0</v>
      </c>
      <c r="P104" s="77" t="n">
        <f aca="false">P46/ABS(P31+0.000001)</f>
        <v>0</v>
      </c>
      <c r="Q104" s="77" t="n">
        <f aca="false">Q46/ABS(Q31+0.000001)</f>
        <v>0</v>
      </c>
      <c r="R104" s="77" t="n">
        <f aca="false">R46/ABS(R31+0.000001)</f>
        <v>0</v>
      </c>
      <c r="S104" s="77" t="n">
        <f aca="false">S46/ABS(S31+0.000001)</f>
        <v>0</v>
      </c>
    </row>
    <row r="105" customFormat="false" ht="15.6" hidden="false" customHeight="false" outlineLevel="0" collapsed="false">
      <c r="G105" s="77" t="s">
        <v>292</v>
      </c>
      <c r="H105" s="161" t="n">
        <f aca="false">IF(MIN(H103,H104)&gt;1,0,MIN(H103,H104))</f>
        <v>9.99999980000001E-005</v>
      </c>
      <c r="I105" s="161" t="n">
        <f aca="false">IF(MIN(I103,I104)&gt;1,0,MIN(I103,I104))</f>
        <v>0.000100000002</v>
      </c>
      <c r="J105" s="161" t="n">
        <f aca="false">IF(MIN(J103,J104)&gt;1,0,MIN(J103,J104))</f>
        <v>0.000100000002</v>
      </c>
      <c r="K105" s="161" t="n">
        <f aca="false">IF(MIN(K103,K104)&gt;1,0,MIN(K103,K104))</f>
        <v>9.99999980000001E-005</v>
      </c>
      <c r="L105" s="161" t="n">
        <f aca="false">IF(MIN(L103,L104)&gt;1,0,MIN(L103,L104))</f>
        <v>0</v>
      </c>
      <c r="M105" s="161" t="n">
        <f aca="false">IF(MIN(M103,M104)&gt;1,0,MIN(M103,M104))</f>
        <v>0</v>
      </c>
      <c r="N105" s="161" t="n">
        <f aca="false">IF(MIN(N103,N104)&gt;1,0,MIN(N103,N104))</f>
        <v>0</v>
      </c>
      <c r="O105" s="161" t="n">
        <f aca="false">IF(MIN(O103,O104)&gt;1,0,MIN(O103,O104))</f>
        <v>0</v>
      </c>
      <c r="P105" s="161" t="n">
        <f aca="false">IF(MIN(P103,P104)&gt;1,0,MIN(P103,P104))</f>
        <v>0</v>
      </c>
      <c r="Q105" s="161" t="n">
        <f aca="false">IF(MIN(Q103,Q104)&gt;1,0,MIN(Q103,Q104))</f>
        <v>0</v>
      </c>
      <c r="R105" s="161" t="n">
        <f aca="false">IF(MIN(R103,R104)&gt;1,0,MIN(R103,R104))</f>
        <v>0</v>
      </c>
      <c r="S105" s="161" t="n">
        <f aca="false">IF(MIN(S103,S104)&gt;1,0,MIN(S103,S104))</f>
        <v>0</v>
      </c>
    </row>
    <row r="106" customFormat="false" ht="15.6" hidden="false" customHeight="false" outlineLevel="0" collapsed="false">
      <c r="G106" s="0"/>
      <c r="H106" s="0"/>
      <c r="I106" s="0"/>
      <c r="J106" s="0"/>
      <c r="K106" s="0"/>
      <c r="L106" s="0"/>
      <c r="M106" s="0"/>
      <c r="N106" s="0"/>
      <c r="O106" s="0"/>
      <c r="P106" s="0"/>
      <c r="Q106" s="0"/>
      <c r="R106" s="0"/>
      <c r="S106" s="0"/>
    </row>
    <row r="107" customFormat="false" ht="15.6" hidden="false" customHeight="false" outlineLevel="0" collapsed="false">
      <c r="G107" s="212" t="s">
        <v>295</v>
      </c>
      <c r="H107" s="212"/>
      <c r="I107" s="212"/>
      <c r="J107" s="212"/>
      <c r="K107" s="212"/>
      <c r="L107" s="212"/>
      <c r="M107" s="212"/>
      <c r="N107" s="212"/>
      <c r="O107" s="212"/>
      <c r="P107" s="212"/>
      <c r="Q107" s="0"/>
      <c r="R107" s="0"/>
      <c r="S107" s="0"/>
    </row>
    <row r="108" customFormat="false" ht="15.6" hidden="false" customHeight="false" outlineLevel="0" collapsed="false">
      <c r="G108" s="0"/>
      <c r="H108" s="153" t="s">
        <v>296</v>
      </c>
      <c r="I108" s="153"/>
      <c r="J108" s="153"/>
      <c r="K108" s="153"/>
      <c r="L108" s="153"/>
      <c r="M108" s="153"/>
      <c r="N108" s="153"/>
      <c r="O108" s="153"/>
      <c r="P108" s="153"/>
      <c r="Q108" s="153"/>
      <c r="R108" s="153"/>
      <c r="S108" s="153"/>
    </row>
    <row r="109" customFormat="false" ht="15.6" hidden="false" customHeight="false" outlineLevel="0" collapsed="false">
      <c r="G109" s="165" t="s">
        <v>291</v>
      </c>
      <c r="H109" s="161" t="n">
        <f aca="false">H55/(H32+0.000001)</f>
        <v>0</v>
      </c>
      <c r="I109" s="161" t="n">
        <f aca="false">I55/(I32+0.000001)</f>
        <v>0</v>
      </c>
      <c r="J109" s="161" t="n">
        <f aca="false">J55/(J32+0.000001)</f>
        <v>-0</v>
      </c>
      <c r="K109" s="161" t="n">
        <f aca="false">K55/(K32+0.000001)</f>
        <v>-0</v>
      </c>
      <c r="L109" s="161" t="n">
        <f aca="false">L55/(L32+0.000001)</f>
        <v>0</v>
      </c>
      <c r="M109" s="161" t="n">
        <f aca="false">M55/(M32+0.000001)</f>
        <v>0</v>
      </c>
      <c r="N109" s="161" t="n">
        <f aca="false">N55/(N32+0.000001)</f>
        <v>0</v>
      </c>
      <c r="O109" s="161" t="n">
        <f aca="false">O55/(O32+0.000001)</f>
        <v>0</v>
      </c>
      <c r="P109" s="161" t="n">
        <f aca="false">P55/(P32+0.000001)</f>
        <v>0</v>
      </c>
      <c r="Q109" s="161" t="n">
        <f aca="false">Q55/(Q32+0.000001)</f>
        <v>0</v>
      </c>
      <c r="R109" s="161" t="n">
        <f aca="false">R55/(R32+0.000001)</f>
        <v>0</v>
      </c>
      <c r="S109" s="161" t="n">
        <f aca="false">S55/(S32+0.000001)</f>
        <v>0</v>
      </c>
    </row>
    <row r="110" customFormat="false" ht="15.6" hidden="false" customHeight="false" outlineLevel="0" collapsed="false">
      <c r="G110" s="165" t="s">
        <v>291</v>
      </c>
      <c r="H110" s="216" t="n">
        <f aca="false">H56/(H31+0.000001)</f>
        <v>0</v>
      </c>
      <c r="I110" s="216" t="n">
        <f aca="false">I56/(I31+0.000001)</f>
        <v>-0</v>
      </c>
      <c r="J110" s="216" t="n">
        <f aca="false">J56/(J31+0.000001)</f>
        <v>-0</v>
      </c>
      <c r="K110" s="216" t="n">
        <f aca="false">K56/(K31+0.000001)</f>
        <v>0</v>
      </c>
      <c r="L110" s="216" t="n">
        <f aca="false">L56/(L31+0.000001)</f>
        <v>0</v>
      </c>
      <c r="M110" s="216" t="n">
        <f aca="false">M56/(M31+0.000001)</f>
        <v>0</v>
      </c>
      <c r="N110" s="216" t="n">
        <f aca="false">N56/(N31+0.000001)</f>
        <v>0</v>
      </c>
      <c r="O110" s="216" t="n">
        <f aca="false">O56/(O31+0.000001)</f>
        <v>0</v>
      </c>
      <c r="P110" s="216" t="n">
        <f aca="false">P56/(P31+0.000001)</f>
        <v>0</v>
      </c>
      <c r="Q110" s="216" t="n">
        <f aca="false">Q56/(Q31+0.000001)</f>
        <v>0</v>
      </c>
      <c r="R110" s="216" t="n">
        <f aca="false">R56/(R31+0.000001)</f>
        <v>0</v>
      </c>
      <c r="S110" s="216" t="n">
        <f aca="false">S56/(S31+0.000001)</f>
        <v>0</v>
      </c>
    </row>
    <row r="111" customFormat="false" ht="15.6" hidden="false" customHeight="false" outlineLevel="0" collapsed="false">
      <c r="G111" s="77" t="s">
        <v>297</v>
      </c>
      <c r="H111" s="217" t="n">
        <f aca="false">SIGN(H109+0.000000000001)*SIGN(H110+0.000000000001)</f>
        <v>1</v>
      </c>
      <c r="I111" s="217" t="n">
        <f aca="false">SIGN(I109+0.000000000001)*SIGN(I110+0.000000000001)</f>
        <v>1</v>
      </c>
      <c r="J111" s="217" t="n">
        <f aca="false">SIGN(J109+0.000000000001)*SIGN(J110+0.000000000001)</f>
        <v>1</v>
      </c>
      <c r="K111" s="217" t="n">
        <f aca="false">SIGN(K109+0.000000000001)*SIGN(K110+0.000000000001)</f>
        <v>1</v>
      </c>
      <c r="L111" s="217" t="n">
        <f aca="false">SIGN(L109+0.000000000001)*SIGN(L110+0.000000000001)</f>
        <v>1</v>
      </c>
      <c r="M111" s="217" t="n">
        <f aca="false">SIGN(M109+0.000000000001)*SIGN(M110+0.000000000001)</f>
        <v>1</v>
      </c>
      <c r="N111" s="217" t="n">
        <f aca="false">SIGN(N109+0.000000000001)*SIGN(N110+0.000000000001)</f>
        <v>1</v>
      </c>
      <c r="O111" s="217" t="n">
        <f aca="false">SIGN(O109+0.000000000001)*SIGN(O110+0.000000000001)</f>
        <v>1</v>
      </c>
      <c r="P111" s="217" t="n">
        <f aca="false">SIGN(P109+0.000000000001)*SIGN(P110+0.000000000001)</f>
        <v>1</v>
      </c>
      <c r="Q111" s="217" t="n">
        <f aca="false">SIGN(Q109+0.000000000001)*SIGN(Q110+0.000000000001)</f>
        <v>1</v>
      </c>
      <c r="R111" s="217" t="n">
        <f aca="false">SIGN(R109+0.000000000001)*SIGN(R110+0.000000000001)</f>
        <v>1</v>
      </c>
      <c r="S111" s="217" t="n">
        <f aca="false">SIGN(S109+0.000000000001)*SIGN(S110+0.000000000001)</f>
        <v>1</v>
      </c>
    </row>
    <row r="112" customFormat="false" ht="15.6" hidden="false" customHeight="false" outlineLevel="0" collapsed="false">
      <c r="G112" s="77" t="s">
        <v>292</v>
      </c>
      <c r="H112" s="161" t="n">
        <f aca="false">IF(H111*MIN(ABS(H109),ABS(H110))&gt;1,0,H111*MIN(ABS(H109),ABS(H110)))</f>
        <v>0</v>
      </c>
      <c r="I112" s="161" t="n">
        <f aca="false">IF(I111*MIN(ABS(I109),ABS(I110))&gt;1,0,I111*MIN(ABS(I109),ABS(I110)))</f>
        <v>0</v>
      </c>
      <c r="J112" s="161" t="n">
        <f aca="false">IF(J111*MIN(ABS(J109),ABS(J110))&gt;1,0,J111*MIN(ABS(J109),ABS(J110)))</f>
        <v>0</v>
      </c>
      <c r="K112" s="161" t="n">
        <f aca="false">IF(K111*MIN(ABS(K109),ABS(K110))&gt;1,0,K111*MIN(ABS(K109),ABS(K110)))</f>
        <v>0</v>
      </c>
      <c r="L112" s="161" t="n">
        <f aca="false">IF(L111*MIN(ABS(L109),ABS(L110))&gt;1,0,L111*MIN(ABS(L109),ABS(L110)))</f>
        <v>0</v>
      </c>
      <c r="M112" s="161" t="n">
        <f aca="false">IF(M111*MIN(ABS(M109),ABS(M110))&gt;1,0,M111*MIN(ABS(M109),ABS(M110)))</f>
        <v>0</v>
      </c>
      <c r="N112" s="161" t="n">
        <f aca="false">IF(N111*MIN(ABS(N109),ABS(N110))&gt;1,0,N111*MIN(ABS(N109),ABS(N110)))</f>
        <v>0</v>
      </c>
      <c r="O112" s="161" t="n">
        <f aca="false">IF(O111*MIN(ABS(O109),ABS(O110))&gt;1,0,O111*MIN(ABS(O109),ABS(O110)))</f>
        <v>0</v>
      </c>
      <c r="P112" s="161" t="n">
        <f aca="false">IF(P111*MIN(ABS(P109),ABS(P110))&gt;1,0,P111*MIN(ABS(P109),ABS(P110)))</f>
        <v>0</v>
      </c>
      <c r="Q112" s="161" t="n">
        <f aca="false">IF(Q111*MIN(ABS(Q109),ABS(Q110))&gt;1,0,Q111*MIN(ABS(Q109),ABS(Q110)))</f>
        <v>0</v>
      </c>
      <c r="R112" s="161" t="n">
        <f aca="false">IF(R111*MIN(ABS(R109),ABS(R110))&gt;1,0,R111*MIN(ABS(R109),ABS(R110)))</f>
        <v>0</v>
      </c>
      <c r="S112" s="161" t="n">
        <f aca="false">IF(S111*MIN(ABS(S109),ABS(S110))&gt;1,0,S111*MIN(ABS(S109),ABS(S110)))</f>
        <v>0</v>
      </c>
    </row>
    <row r="113" customFormat="false" ht="15.6" hidden="false" customHeight="false" outlineLevel="0" collapsed="false">
      <c r="G113" s="0"/>
      <c r="H113" s="153" t="s">
        <v>298</v>
      </c>
      <c r="I113" s="153"/>
      <c r="J113" s="153"/>
      <c r="K113" s="153"/>
      <c r="L113" s="153"/>
      <c r="M113" s="153"/>
      <c r="N113" s="153"/>
      <c r="O113" s="153"/>
      <c r="P113" s="153"/>
      <c r="Q113" s="153"/>
      <c r="R113" s="153"/>
      <c r="S113" s="153"/>
    </row>
    <row r="114" customFormat="false" ht="15.6" hidden="false" customHeight="false" outlineLevel="0" collapsed="false">
      <c r="G114" s="214" t="s">
        <v>291</v>
      </c>
      <c r="H114" s="131" t="n">
        <f aca="false">-H56/(H30+0.000001)</f>
        <v>-0</v>
      </c>
      <c r="I114" s="131" t="n">
        <f aca="false">-I56/(I30+0.000001)</f>
        <v>-0</v>
      </c>
      <c r="J114" s="131" t="n">
        <f aca="false">-J56/(J30+0.000001)</f>
        <v>-0</v>
      </c>
      <c r="K114" s="131" t="n">
        <f aca="false">-K56/(K30+0.000001)</f>
        <v>-0</v>
      </c>
      <c r="L114" s="131" t="n">
        <f aca="false">-L56/(L30+0.000001)</f>
        <v>-0</v>
      </c>
      <c r="M114" s="131" t="n">
        <f aca="false">-M56/(M30+0.000001)</f>
        <v>-0</v>
      </c>
      <c r="N114" s="131" t="n">
        <f aca="false">-N56/(N30+0.000001)</f>
        <v>-0</v>
      </c>
      <c r="O114" s="131" t="n">
        <f aca="false">-O56/(O30+0.000001)</f>
        <v>-0</v>
      </c>
      <c r="P114" s="131" t="n">
        <f aca="false">-P56/(P30+0.000001)</f>
        <v>-0</v>
      </c>
      <c r="Q114" s="131" t="n">
        <f aca="false">-Q56/(Q30+0.000001)</f>
        <v>-0</v>
      </c>
      <c r="R114" s="131" t="n">
        <f aca="false">-R56/(R30+0.000001)</f>
        <v>-0</v>
      </c>
      <c r="S114" s="131" t="n">
        <f aca="false">-S56/(S30+0.000001)</f>
        <v>-0</v>
      </c>
    </row>
    <row r="115" customFormat="false" ht="15.6" hidden="false" customHeight="false" outlineLevel="0" collapsed="false">
      <c r="G115" s="214" t="s">
        <v>291</v>
      </c>
      <c r="H115" s="131" t="n">
        <f aca="false">H54/(H32+0.000001)</f>
        <v>0</v>
      </c>
      <c r="I115" s="131" t="n">
        <f aca="false">I54/(I32+0.000001)</f>
        <v>0</v>
      </c>
      <c r="J115" s="131" t="n">
        <f aca="false">J54/(J32+0.000001)</f>
        <v>-0</v>
      </c>
      <c r="K115" s="131" t="n">
        <f aca="false">K54/(K32+0.000001)</f>
        <v>-0</v>
      </c>
      <c r="L115" s="131" t="n">
        <f aca="false">L54/(L32+0.000001)</f>
        <v>0</v>
      </c>
      <c r="M115" s="131" t="n">
        <f aca="false">M54/(M32+0.000001)</f>
        <v>0</v>
      </c>
      <c r="N115" s="131" t="n">
        <f aca="false">N54/(N32+0.000001)</f>
        <v>0</v>
      </c>
      <c r="O115" s="131" t="n">
        <f aca="false">O54/(O32+0.000001)</f>
        <v>0</v>
      </c>
      <c r="P115" s="131" t="n">
        <f aca="false">P54/(P32+0.000001)</f>
        <v>0</v>
      </c>
      <c r="Q115" s="131" t="n">
        <f aca="false">Q54/(Q32+0.000001)</f>
        <v>0</v>
      </c>
      <c r="R115" s="131" t="n">
        <f aca="false">R54/(R32+0.000001)</f>
        <v>0</v>
      </c>
      <c r="S115" s="131" t="n">
        <f aca="false">S54/(S32+0.000001)</f>
        <v>0</v>
      </c>
    </row>
    <row r="116" customFormat="false" ht="15.6" hidden="false" customHeight="false" outlineLevel="0" collapsed="false">
      <c r="G116" s="131" t="s">
        <v>297</v>
      </c>
      <c r="H116" s="218" t="n">
        <f aca="false">SIGN(H114+0.000000000001)*SIGN(H115+0.000000000001)</f>
        <v>1</v>
      </c>
      <c r="I116" s="218" t="n">
        <f aca="false">SIGN(I114+0.000000000001)*SIGN(I115+0.000000000001)</f>
        <v>1</v>
      </c>
      <c r="J116" s="218" t="n">
        <f aca="false">SIGN(J114+0.000000000001)*SIGN(J115+0.000000000001)</f>
        <v>1</v>
      </c>
      <c r="K116" s="218" t="n">
        <f aca="false">SIGN(K114+0.000000000001)*SIGN(K115+0.000000000001)</f>
        <v>1</v>
      </c>
      <c r="L116" s="218" t="n">
        <f aca="false">SIGN(L114+0.000000000001)*SIGN(L115+0.000000000001)</f>
        <v>1</v>
      </c>
      <c r="M116" s="218" t="n">
        <f aca="false">SIGN(M114+0.000000000001)*SIGN(M115+0.000000000001)</f>
        <v>1</v>
      </c>
      <c r="N116" s="218" t="n">
        <f aca="false">SIGN(N114+0.000000000001)*SIGN(N115+0.000000000001)</f>
        <v>1</v>
      </c>
      <c r="O116" s="218" t="n">
        <f aca="false">SIGN(O114+0.000000000001)*SIGN(O115+0.000000000001)</f>
        <v>1</v>
      </c>
      <c r="P116" s="218" t="n">
        <f aca="false">SIGN(P114+0.000000000001)*SIGN(P115+0.000000000001)</f>
        <v>1</v>
      </c>
      <c r="Q116" s="218" t="n">
        <f aca="false">SIGN(Q114+0.000000000001)*SIGN(Q115+0.000000000001)</f>
        <v>1</v>
      </c>
      <c r="R116" s="218" t="n">
        <f aca="false">SIGN(R114+0.000000000001)*SIGN(R115+0.000000000001)</f>
        <v>1</v>
      </c>
      <c r="S116" s="218" t="n">
        <f aca="false">SIGN(S114+0.000000000001)*SIGN(S115+0.000000000001)</f>
        <v>1</v>
      </c>
    </row>
    <row r="117" customFormat="false" ht="15.6" hidden="false" customHeight="false" outlineLevel="0" collapsed="false">
      <c r="G117" s="131" t="s">
        <v>292</v>
      </c>
      <c r="H117" s="219" t="n">
        <f aca="false">IF(H116*MIN(ABS(H114),ABS(H115))&gt;1,0,H116*MIN(ABS(H114),ABS(H115)))</f>
        <v>0</v>
      </c>
      <c r="I117" s="219" t="n">
        <f aca="false">IF(I116*MIN(ABS(I114),ABS(I115))&gt;1,0,I116*MIN(ABS(I114),ABS(I115)))</f>
        <v>0</v>
      </c>
      <c r="J117" s="219" t="n">
        <f aca="false">IF(J116*MIN(ABS(J114),ABS(J115))&gt;1,0,J116*MIN(ABS(J114),ABS(J115)))</f>
        <v>0</v>
      </c>
      <c r="K117" s="219" t="n">
        <f aca="false">IF(K116*MIN(ABS(K114),ABS(K115))&gt;1,0,K116*MIN(ABS(K114),ABS(K115)))</f>
        <v>0</v>
      </c>
      <c r="L117" s="219" t="n">
        <f aca="false">IF(L116*MIN(ABS(L114),ABS(L115))&gt;1,0,L116*MIN(ABS(L114),ABS(L115)))</f>
        <v>0</v>
      </c>
      <c r="M117" s="219" t="n">
        <f aca="false">IF(M116*MIN(ABS(M114),ABS(M115))&gt;1,0,M116*MIN(ABS(M114),ABS(M115)))</f>
        <v>0</v>
      </c>
      <c r="N117" s="219" t="n">
        <f aca="false">IF(N116*MIN(ABS(N114),ABS(N115))&gt;1,0,N116*MIN(ABS(N114),ABS(N115)))</f>
        <v>0</v>
      </c>
      <c r="O117" s="219" t="n">
        <f aca="false">IF(O116*MIN(ABS(O114),ABS(O115))&gt;1,0,O116*MIN(ABS(O114),ABS(O115)))</f>
        <v>0</v>
      </c>
      <c r="P117" s="219" t="n">
        <f aca="false">IF(P116*MIN(ABS(P114),ABS(P115))&gt;1,0,P116*MIN(ABS(P114),ABS(P115)))</f>
        <v>0</v>
      </c>
      <c r="Q117" s="219" t="n">
        <f aca="false">IF(Q116*MIN(ABS(Q114),ABS(Q115))&gt;1,0,Q116*MIN(ABS(Q114),ABS(Q115)))</f>
        <v>0</v>
      </c>
      <c r="R117" s="219" t="n">
        <f aca="false">IF(R116*MIN(ABS(R114),ABS(R115))&gt;1,0,R116*MIN(ABS(R114),ABS(R115)))</f>
        <v>0</v>
      </c>
      <c r="S117" s="219" t="n">
        <f aca="false">IF(S116*MIN(ABS(S114),ABS(S115))&gt;1,0,S116*MIN(ABS(S114),ABS(S115)))</f>
        <v>0</v>
      </c>
    </row>
    <row r="118" customFormat="false" ht="15.6" hidden="false" customHeight="false" outlineLevel="0" collapsed="false">
      <c r="G118" s="0"/>
      <c r="H118" s="153" t="s">
        <v>299</v>
      </c>
      <c r="I118" s="153"/>
      <c r="J118" s="153"/>
      <c r="K118" s="153"/>
      <c r="L118" s="153"/>
      <c r="M118" s="153"/>
      <c r="N118" s="153"/>
      <c r="O118" s="153"/>
      <c r="P118" s="153"/>
      <c r="Q118" s="153"/>
      <c r="R118" s="153"/>
      <c r="S118" s="153"/>
    </row>
    <row r="119" customFormat="false" ht="15.6" hidden="false" customHeight="false" outlineLevel="0" collapsed="false">
      <c r="G119" s="165" t="s">
        <v>291</v>
      </c>
      <c r="H119" s="161" t="n">
        <f aca="false">H55/(H30+0.000001)</f>
        <v>0</v>
      </c>
      <c r="I119" s="161" t="n">
        <f aca="false">I55/(I30+0.000001)</f>
        <v>0</v>
      </c>
      <c r="J119" s="161" t="n">
        <f aca="false">J55/(J30+0.000001)</f>
        <v>0</v>
      </c>
      <c r="K119" s="161" t="n">
        <f aca="false">K55/(K30+0.000001)</f>
        <v>0</v>
      </c>
      <c r="L119" s="161" t="n">
        <f aca="false">L55/(L30+0.000001)</f>
        <v>0</v>
      </c>
      <c r="M119" s="161" t="n">
        <f aca="false">M55/(M30+0.000001)</f>
        <v>0</v>
      </c>
      <c r="N119" s="161" t="n">
        <f aca="false">N55/(N30+0.000001)</f>
        <v>0</v>
      </c>
      <c r="O119" s="161" t="n">
        <f aca="false">O55/(O30+0.000001)</f>
        <v>0</v>
      </c>
      <c r="P119" s="161" t="n">
        <f aca="false">P55/(P30+0.000001)</f>
        <v>0</v>
      </c>
      <c r="Q119" s="161" t="n">
        <f aca="false">Q55/(Q30+0.000001)</f>
        <v>0</v>
      </c>
      <c r="R119" s="161" t="n">
        <f aca="false">R55/(R30+0.000001)</f>
        <v>0</v>
      </c>
      <c r="S119" s="161" t="n">
        <f aca="false">S55/(S30+0.000001)</f>
        <v>0</v>
      </c>
    </row>
    <row r="120" customFormat="false" ht="15.6" hidden="false" customHeight="false" outlineLevel="0" collapsed="false">
      <c r="G120" s="165" t="s">
        <v>291</v>
      </c>
      <c r="H120" s="77" t="n">
        <f aca="false">H54/(H31+0.000001)</f>
        <v>0</v>
      </c>
      <c r="I120" s="77" t="n">
        <f aca="false">I54/(I31+0.000001)</f>
        <v>-0</v>
      </c>
      <c r="J120" s="77" t="n">
        <f aca="false">J54/(J31+0.000001)</f>
        <v>-0</v>
      </c>
      <c r="K120" s="77" t="n">
        <f aca="false">K54/(K31+0.000001)</f>
        <v>0</v>
      </c>
      <c r="L120" s="77" t="n">
        <f aca="false">L54/(L31+0.000001)</f>
        <v>0</v>
      </c>
      <c r="M120" s="77" t="n">
        <f aca="false">M54/(M31+0.000001)</f>
        <v>0</v>
      </c>
      <c r="N120" s="77" t="n">
        <f aca="false">N54/(N31+0.000001)</f>
        <v>0</v>
      </c>
      <c r="O120" s="77" t="n">
        <f aca="false">O54/(O31+0.000001)</f>
        <v>0</v>
      </c>
      <c r="P120" s="77" t="n">
        <f aca="false">P54/(P31+0.000001)</f>
        <v>0</v>
      </c>
      <c r="Q120" s="77" t="n">
        <f aca="false">Q54/(Q31+0.000001)</f>
        <v>0</v>
      </c>
      <c r="R120" s="77" t="n">
        <f aca="false">R54/(R31+0.000001)</f>
        <v>0</v>
      </c>
      <c r="S120" s="77" t="n">
        <f aca="false">S54/(S31+0.000001)</f>
        <v>0</v>
      </c>
    </row>
    <row r="121" customFormat="false" ht="15.6" hidden="false" customHeight="false" outlineLevel="0" collapsed="false">
      <c r="G121" s="77" t="s">
        <v>297</v>
      </c>
      <c r="H121" s="217" t="n">
        <f aca="false">SIGN(H119+0.000000000001)*SIGN(H120+0.000000000001)</f>
        <v>1</v>
      </c>
      <c r="I121" s="217" t="n">
        <f aca="false">SIGN(I119+0.000000000001)*SIGN(I120+0.000000000001)</f>
        <v>1</v>
      </c>
      <c r="J121" s="217" t="n">
        <f aca="false">SIGN(J119+0.000000000001)*SIGN(J120+0.000000000001)</f>
        <v>1</v>
      </c>
      <c r="K121" s="217" t="n">
        <f aca="false">SIGN(K119+0.000000000001)*SIGN(K120+0.000000000001)</f>
        <v>1</v>
      </c>
      <c r="L121" s="217" t="n">
        <f aca="false">SIGN(L119+0.000000000001)*SIGN(L120+0.000000000001)</f>
        <v>1</v>
      </c>
      <c r="M121" s="217" t="n">
        <f aca="false">SIGN(M119+0.000000000001)*SIGN(M120+0.000000000001)</f>
        <v>1</v>
      </c>
      <c r="N121" s="217" t="n">
        <f aca="false">SIGN(N119+0.000000000001)*SIGN(N120+0.000000000001)</f>
        <v>1</v>
      </c>
      <c r="O121" s="217" t="n">
        <f aca="false">SIGN(O119+0.000000000001)*SIGN(O120+0.000000000001)</f>
        <v>1</v>
      </c>
      <c r="P121" s="217" t="n">
        <f aca="false">SIGN(P119+0.000000000001)*SIGN(P120+0.000000000001)</f>
        <v>1</v>
      </c>
      <c r="Q121" s="217" t="n">
        <f aca="false">SIGN(Q119+0.000000000001)*SIGN(Q120+0.000000000001)</f>
        <v>1</v>
      </c>
      <c r="R121" s="217" t="n">
        <f aca="false">SIGN(R119+0.000000000001)*SIGN(R120+0.000000000001)</f>
        <v>1</v>
      </c>
      <c r="S121" s="217" t="n">
        <f aca="false">SIGN(S119+0.000000000001)*SIGN(S120+0.000000000001)</f>
        <v>1</v>
      </c>
    </row>
    <row r="122" customFormat="false" ht="15.6" hidden="false" customHeight="false" outlineLevel="0" collapsed="false">
      <c r="G122" s="77" t="s">
        <v>292</v>
      </c>
      <c r="H122" s="161" t="n">
        <f aca="false">IF(H121*MIN(ABS(H119),ABS(H120))&gt;1,0,H121*MIN(ABS(H119),ABS(H120)))</f>
        <v>0</v>
      </c>
      <c r="I122" s="161" t="n">
        <f aca="false">IF(I121*MIN(ABS(I119),ABS(I120))&gt;1,0,I121*MIN(ABS(I119),ABS(I120)))</f>
        <v>0</v>
      </c>
      <c r="J122" s="161" t="n">
        <f aca="false">IF(J121*MIN(ABS(J119),ABS(J120))&gt;1,0,J121*MIN(ABS(J119),ABS(J120)))</f>
        <v>0</v>
      </c>
      <c r="K122" s="161" t="n">
        <f aca="false">IF(K121*MIN(ABS(K119),ABS(K120))&gt;1,0,K121*MIN(ABS(K119),ABS(K120)))</f>
        <v>0</v>
      </c>
      <c r="L122" s="161" t="n">
        <f aca="false">IF(L121*MIN(ABS(L119),ABS(L120))&gt;1,0,L121*MIN(ABS(L119),ABS(L120)))</f>
        <v>0</v>
      </c>
      <c r="M122" s="161" t="n">
        <f aca="false">IF(M121*MIN(ABS(M119),ABS(M120))&gt;1,0,M121*MIN(ABS(M119),ABS(M120)))</f>
        <v>0</v>
      </c>
      <c r="N122" s="161" t="n">
        <f aca="false">IF(N121*MIN(ABS(N119),ABS(N120))&gt;1,0,N121*MIN(ABS(N119),ABS(N120)))</f>
        <v>0</v>
      </c>
      <c r="O122" s="161" t="n">
        <f aca="false">IF(O121*MIN(ABS(O119),ABS(O120))&gt;1,0,O121*MIN(ABS(O119),ABS(O120)))</f>
        <v>0</v>
      </c>
      <c r="P122" s="161" t="n">
        <f aca="false">IF(P121*MIN(ABS(P119),ABS(P120))&gt;1,0,P121*MIN(ABS(P119),ABS(P120)))</f>
        <v>0</v>
      </c>
      <c r="Q122" s="161" t="n">
        <f aca="false">IF(Q121*MIN(ABS(Q119),ABS(Q120))&gt;1,0,Q121*MIN(ABS(Q119),ABS(Q120)))</f>
        <v>0</v>
      </c>
      <c r="R122" s="161" t="n">
        <f aca="false">IF(R121*MIN(ABS(R119),ABS(R120))&gt;1,0,R121*MIN(ABS(R119),ABS(R120)))</f>
        <v>0</v>
      </c>
      <c r="S122" s="161" t="n">
        <f aca="false">IF(S121*MIN(ABS(S119),ABS(S120))&gt;1,0,S121*MIN(ABS(S119),ABS(S120)))</f>
        <v>0</v>
      </c>
    </row>
  </sheetData>
  <mergeCells count="9">
    <mergeCell ref="E3:M3"/>
    <mergeCell ref="E4:M4"/>
    <mergeCell ref="F5:F10"/>
    <mergeCell ref="A22:M22"/>
    <mergeCell ref="H28:S28"/>
    <mergeCell ref="A32:C34"/>
    <mergeCell ref="H33:K33"/>
    <mergeCell ref="H37:K37"/>
    <mergeCell ref="H63:H68"/>
  </mergeCells>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1:122"/>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7" activeCellId="0" sqref="B7"/>
    </sheetView>
  </sheetViews>
  <sheetFormatPr defaultRowHeight="15.6"/>
  <cols>
    <col collapsed="false" hidden="false" max="1" min="1" style="77" width="46.4481481481482"/>
    <col collapsed="false" hidden="false" max="2" min="2" style="77" width="22.0481481481481"/>
    <col collapsed="false" hidden="false" max="3" min="3" style="77" width="41.5481481481482"/>
    <col collapsed="false" hidden="false" max="4" min="4" style="77" width="12.2481481481481"/>
    <col collapsed="false" hidden="false" max="6" min="5" style="77" width="7.34814814814815"/>
    <col collapsed="false" hidden="false" max="7" min="7" style="77" width="27.1444444444444"/>
    <col collapsed="false" hidden="false" max="8" min="8" style="77" width="13.8185185185185"/>
    <col collapsed="false" hidden="false" max="11" min="9" style="77" width="11.2703703703704"/>
    <col collapsed="false" hidden="false" max="12" min="12" style="77" width="16.5592592592593"/>
    <col collapsed="false" hidden="false" max="1025" min="13" style="77" width="11.2703703703704"/>
  </cols>
  <sheetData>
    <row r="1" customFormat="false" ht="15.6" hidden="false" customHeight="false" outlineLevel="0" collapsed="false">
      <c r="A1" s="132" t="str">
        <f aca="false">'CSs and Loads'!A144</f>
        <v>CS 5</v>
      </c>
      <c r="B1" s="132" t="str">
        <f aca="false">'CSs and Loads'!A154</f>
        <v>Bridge</v>
      </c>
      <c r="C1" s="0"/>
      <c r="D1" s="0"/>
      <c r="E1" s="0"/>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6.2" hidden="false" customHeight="false" outlineLevel="0" collapsed="false">
      <c r="A2" s="134" t="s">
        <v>196</v>
      </c>
      <c r="B2" s="0"/>
      <c r="C2" s="0"/>
      <c r="D2" s="0"/>
      <c r="E2" s="136"/>
      <c r="F2" s="136"/>
      <c r="G2" s="136"/>
      <c r="H2" s="136"/>
      <c r="I2" s="191"/>
      <c r="J2" s="136"/>
      <c r="K2" s="136"/>
      <c r="L2" s="137"/>
      <c r="M2" s="137"/>
      <c r="N2" s="138"/>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6" hidden="false" customHeight="false" outlineLevel="0" collapsed="false">
      <c r="A3" s="134" t="s">
        <v>197</v>
      </c>
      <c r="B3" s="0"/>
      <c r="C3" s="0"/>
      <c r="D3" s="220"/>
      <c r="E3" s="140" t="s">
        <v>198</v>
      </c>
      <c r="F3" s="140"/>
      <c r="G3" s="140"/>
      <c r="H3" s="140"/>
      <c r="I3" s="140"/>
      <c r="J3" s="140"/>
      <c r="K3" s="140"/>
      <c r="L3" s="140"/>
      <c r="M3" s="140"/>
      <c r="N3" s="141"/>
      <c r="O3" s="142"/>
      <c r="P3" s="142"/>
      <c r="Q3" s="142"/>
      <c r="R3" s="142"/>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5.6" hidden="false" customHeight="false" outlineLevel="0" collapsed="false">
      <c r="A4" s="134" t="s">
        <v>199</v>
      </c>
      <c r="B4" s="143" t="s">
        <v>178</v>
      </c>
      <c r="C4" s="134" t="s">
        <v>201</v>
      </c>
      <c r="D4" s="223"/>
      <c r="E4" s="266" t="s">
        <v>328</v>
      </c>
      <c r="F4" s="267"/>
      <c r="G4" s="267"/>
      <c r="H4" s="267"/>
      <c r="I4" s="267"/>
      <c r="J4" s="267"/>
      <c r="K4" s="267"/>
      <c r="L4" s="267"/>
      <c r="M4" s="268"/>
      <c r="N4" s="141"/>
      <c r="O4" s="0"/>
      <c r="P4" s="0"/>
      <c r="Q4" s="0"/>
      <c r="R4" s="142"/>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5.6" hidden="false" customHeight="false" outlineLevel="0" collapsed="false">
      <c r="A5" s="247" t="s">
        <v>203</v>
      </c>
      <c r="B5" s="143" t="s">
        <v>329</v>
      </c>
      <c r="C5" s="153" t="s">
        <v>205</v>
      </c>
      <c r="D5" s="223" t="n">
        <v>25</v>
      </c>
      <c r="E5" s="148" t="s">
        <v>206</v>
      </c>
      <c r="F5" s="149" t="s">
        <v>207</v>
      </c>
      <c r="G5" s="269" t="n">
        <f aca="false">(B11^2/(3*B7*B17*B12))*(B12^2-2*B11*B12+B11^2)</f>
        <v>9.91893400013124E-007</v>
      </c>
      <c r="H5" s="77" t="n">
        <v>0</v>
      </c>
      <c r="I5" s="77" t="n">
        <v>0</v>
      </c>
      <c r="J5" s="77" t="n">
        <v>0</v>
      </c>
      <c r="K5" s="77" t="n">
        <v>0</v>
      </c>
      <c r="L5" s="188" t="n">
        <f aca="false">-(B11/(3*B7*B17*B12))*(2*B11^2+B12^2-3*B11*B12)</f>
        <v>-9.15593907704422E-009</v>
      </c>
      <c r="M5" s="152" t="s">
        <v>208</v>
      </c>
      <c r="N5" s="141"/>
      <c r="O5" s="0"/>
      <c r="P5" s="0"/>
      <c r="Q5" s="0"/>
      <c r="R5" s="142"/>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5.6" hidden="false" customHeight="false" outlineLevel="0" collapsed="false">
      <c r="A6" s="247" t="s">
        <v>209</v>
      </c>
      <c r="B6" s="143" t="s">
        <v>330</v>
      </c>
      <c r="C6" s="153" t="s">
        <v>211</v>
      </c>
      <c r="D6" s="223" t="n">
        <f aca="false">1770*9.8</f>
        <v>17346</v>
      </c>
      <c r="E6" s="148" t="s">
        <v>212</v>
      </c>
      <c r="F6" s="149"/>
      <c r="G6" s="77" t="n">
        <v>0</v>
      </c>
      <c r="H6" s="188" t="n">
        <f aca="false">1/(B7*B16*(1/B11+1/(B12-B11) ))</f>
        <v>1.39061699793517E-007</v>
      </c>
      <c r="I6" s="77" t="n">
        <v>0</v>
      </c>
      <c r="J6" s="77" t="n">
        <v>0</v>
      </c>
      <c r="K6" s="270" t="n">
        <v>0</v>
      </c>
      <c r="L6" s="77" t="n">
        <v>0</v>
      </c>
      <c r="M6" s="152" t="s">
        <v>213</v>
      </c>
      <c r="N6" s="141"/>
      <c r="O6" s="0"/>
      <c r="P6" s="0"/>
      <c r="Q6" s="0"/>
      <c r="R6" s="142"/>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5.6" hidden="false" customHeight="false" outlineLevel="0" collapsed="false">
      <c r="A7" s="153" t="s">
        <v>214</v>
      </c>
      <c r="B7" s="166" t="n">
        <v>69000</v>
      </c>
      <c r="C7" s="153" t="s">
        <v>215</v>
      </c>
      <c r="D7" s="223" t="n">
        <f aca="false">647*1000</f>
        <v>647000</v>
      </c>
      <c r="E7" s="148" t="s">
        <v>216</v>
      </c>
      <c r="F7" s="149"/>
      <c r="G7" s="77" t="n">
        <v>0</v>
      </c>
      <c r="H7" s="77" t="n">
        <v>0</v>
      </c>
      <c r="I7" s="188" t="n">
        <f aca="false">(B11^2/(3*B7*B18*B12))*(B12^2-2*B11*B12+B11^2)</f>
        <v>9.91893400013124E-007</v>
      </c>
      <c r="J7" s="24" t="n">
        <f aca="false">I8</f>
        <v>2.74678172311327E-008</v>
      </c>
      <c r="K7" s="270" t="n">
        <v>0</v>
      </c>
      <c r="L7" s="77" t="n">
        <v>0</v>
      </c>
      <c r="M7" s="152" t="s">
        <v>217</v>
      </c>
      <c r="N7" s="141"/>
      <c r="O7" s="0"/>
      <c r="P7" s="0"/>
      <c r="Q7" s="0"/>
      <c r="R7" s="142"/>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5.6" hidden="false" customHeight="false" outlineLevel="0" collapsed="false">
      <c r="A8" s="153" t="s">
        <v>218</v>
      </c>
      <c r="B8" s="166" t="n">
        <v>0.334</v>
      </c>
      <c r="C8" s="153" t="s">
        <v>219</v>
      </c>
      <c r="D8" s="223" t="n">
        <v>3</v>
      </c>
      <c r="E8" s="148" t="s">
        <v>220</v>
      </c>
      <c r="F8" s="149"/>
      <c r="G8" s="77" t="n">
        <v>0</v>
      </c>
      <c r="H8" s="77" t="n">
        <v>0</v>
      </c>
      <c r="I8" s="24" t="n">
        <f aca="false">(B11/(B7*B18*B12))*(2*B11^2-3*B11*B12+B12^2)</f>
        <v>2.74678172311327E-008</v>
      </c>
      <c r="J8" s="188" t="n">
        <f aca="false">(1/(3*B7*B18*B12))*(2*B12^2+3*B11^2-3*B11*B12)</f>
        <v>2.07182467576706E-010</v>
      </c>
      <c r="K8" s="77" t="n">
        <v>0</v>
      </c>
      <c r="L8" s="77" t="n">
        <v>0</v>
      </c>
      <c r="M8" s="152" t="s">
        <v>221</v>
      </c>
      <c r="N8" s="141"/>
      <c r="O8" s="0"/>
      <c r="P8" s="0"/>
      <c r="Q8" s="0"/>
      <c r="R8" s="142"/>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5.6" hidden="false" customHeight="false" outlineLevel="0" collapsed="false">
      <c r="A9" s="153" t="s">
        <v>222</v>
      </c>
      <c r="B9" s="155" t="n">
        <f aca="false">B7/(2*(1+B8))</f>
        <v>25862.0689655172</v>
      </c>
      <c r="C9" s="153" t="s">
        <v>223</v>
      </c>
      <c r="D9" s="223" t="n">
        <v>0.01</v>
      </c>
      <c r="E9" s="148" t="s">
        <v>224</v>
      </c>
      <c r="F9" s="149"/>
      <c r="G9" s="77" t="n">
        <v>0</v>
      </c>
      <c r="H9" s="77" t="n">
        <v>0</v>
      </c>
      <c r="I9" s="77" t="n">
        <v>0</v>
      </c>
      <c r="J9" s="77" t="n">
        <v>0</v>
      </c>
      <c r="K9" s="188" t="n">
        <f aca="false">(B12/4)/(B9*B19)</f>
        <v>1.54140270881455E-010</v>
      </c>
      <c r="L9" s="77" t="n">
        <v>0</v>
      </c>
      <c r="M9" s="152" t="s">
        <v>225</v>
      </c>
      <c r="N9" s="141"/>
      <c r="O9" s="0"/>
      <c r="P9" s="0"/>
      <c r="Q9" s="0"/>
      <c r="R9" s="142"/>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6.2" hidden="false" customHeight="false" outlineLevel="0" collapsed="false">
      <c r="A10" s="77" t="s">
        <v>303</v>
      </c>
      <c r="B10" s="134"/>
      <c r="C10" s="153" t="s">
        <v>227</v>
      </c>
      <c r="D10" s="262" t="n">
        <f aca="false">D6/(D8*D9)</f>
        <v>578200</v>
      </c>
      <c r="E10" s="157" t="s">
        <v>228</v>
      </c>
      <c r="F10" s="149"/>
      <c r="G10" s="271" t="n">
        <f aca="false">L5</f>
        <v>-9.15593907704422E-009</v>
      </c>
      <c r="H10" s="272" t="n">
        <v>0</v>
      </c>
      <c r="I10" s="272" t="n">
        <v>0</v>
      </c>
      <c r="J10" s="272" t="n">
        <v>0</v>
      </c>
      <c r="K10" s="272" t="n">
        <v>0</v>
      </c>
      <c r="L10" s="273" t="n">
        <f aca="false">(1/(3*B7*B17*B12))*(2*B12^2+3*B11^2-3*B11*B12)</f>
        <v>2.07182467576706E-010</v>
      </c>
      <c r="M10" s="160" t="s">
        <v>229</v>
      </c>
      <c r="N10" s="141"/>
      <c r="O10" s="0"/>
      <c r="P10" s="0"/>
      <c r="Q10" s="0"/>
      <c r="R10" s="142"/>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5.6" hidden="false" customHeight="false" outlineLevel="0" collapsed="false">
      <c r="A11" s="153" t="s">
        <v>230</v>
      </c>
      <c r="B11" s="250" t="n">
        <v>100</v>
      </c>
      <c r="C11" s="153" t="s">
        <v>231</v>
      </c>
      <c r="D11" s="134" t="n">
        <v>25</v>
      </c>
      <c r="E11" s="187"/>
      <c r="F11" s="187"/>
      <c r="G11" s="187"/>
      <c r="H11" s="187"/>
      <c r="I11" s="221"/>
      <c r="J11" s="187"/>
      <c r="K11" s="187"/>
      <c r="L11" s="187"/>
      <c r="M11" s="187"/>
      <c r="N11" s="0"/>
      <c r="O11" s="165"/>
      <c r="P11" s="0"/>
      <c r="Q11" s="0"/>
      <c r="R11" s="142"/>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5.6" hidden="false" customHeight="false" outlineLevel="0" collapsed="false">
      <c r="A12" s="153" t="s">
        <v>232</v>
      </c>
      <c r="B12" s="134" t="n">
        <v>1400</v>
      </c>
      <c r="C12" s="153" t="s">
        <v>233</v>
      </c>
      <c r="D12" s="155" t="n">
        <f aca="false">D7*D11^2/4</f>
        <v>101093750</v>
      </c>
      <c r="E12" s="0"/>
      <c r="F12" s="0"/>
      <c r="G12" s="0"/>
      <c r="H12" s="0"/>
      <c r="I12" s="134"/>
      <c r="J12" s="0"/>
      <c r="K12" s="0"/>
      <c r="L12" s="0"/>
      <c r="M12" s="0"/>
      <c r="N12" s="0"/>
      <c r="O12" s="165"/>
      <c r="P12" s="0"/>
      <c r="Q12" s="0"/>
      <c r="R12" s="142"/>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5.6" hidden="false" customHeight="false" outlineLevel="0" collapsed="false">
      <c r="A13" s="153" t="s">
        <v>331</v>
      </c>
      <c r="B13" s="134" t="n">
        <f aca="false">8*25.4</f>
        <v>203.2</v>
      </c>
      <c r="C13" s="153" t="s">
        <v>235</v>
      </c>
      <c r="D13" s="155" t="n">
        <f aca="false">D7*D11^2/12</f>
        <v>33697916.6666667</v>
      </c>
      <c r="E13" s="0"/>
      <c r="F13" s="0"/>
      <c r="G13" s="0"/>
      <c r="H13" s="0"/>
      <c r="I13" s="134"/>
      <c r="J13" s="0"/>
      <c r="K13" s="0"/>
      <c r="L13" s="0"/>
      <c r="M13" s="0"/>
      <c r="N13" s="0"/>
      <c r="O13" s="165"/>
      <c r="P13" s="0"/>
      <c r="Q13" s="0"/>
      <c r="R13" s="142"/>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5.6" hidden="false" customHeight="false" outlineLevel="0" collapsed="false">
      <c r="A14" s="153" t="s">
        <v>332</v>
      </c>
      <c r="B14" s="134" t="n">
        <f aca="false">8*25.4</f>
        <v>203.2</v>
      </c>
      <c r="C14" s="153" t="s">
        <v>237</v>
      </c>
      <c r="D14" s="155" t="n">
        <f aca="false">D13</f>
        <v>33697916.6666667</v>
      </c>
      <c r="E14" s="0"/>
      <c r="F14" s="0"/>
      <c r="G14" s="0"/>
      <c r="H14" s="0"/>
      <c r="I14" s="134"/>
      <c r="J14" s="0"/>
      <c r="K14" s="0"/>
      <c r="L14" s="0"/>
      <c r="M14" s="0"/>
      <c r="N14" s="0"/>
      <c r="O14" s="165"/>
      <c r="P14" s="0"/>
      <c r="Q14" s="0"/>
      <c r="R14" s="142"/>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5.6" hidden="false" customHeight="false" outlineLevel="0" collapsed="false">
      <c r="A15" s="153" t="s">
        <v>304</v>
      </c>
      <c r="B15" s="134" t="n">
        <f aca="false">0.5*25.4</f>
        <v>12.7</v>
      </c>
      <c r="C15" s="247" t="s">
        <v>239</v>
      </c>
      <c r="D15" s="134"/>
      <c r="E15" s="0"/>
      <c r="F15" s="0"/>
      <c r="G15" s="0"/>
      <c r="H15" s="0"/>
      <c r="I15" s="134"/>
      <c r="J15" s="0"/>
      <c r="K15" s="0"/>
      <c r="L15" s="0"/>
      <c r="M15" s="0"/>
      <c r="N15" s="0"/>
      <c r="O15" s="165"/>
      <c r="P15" s="0"/>
      <c r="Q15" s="0"/>
      <c r="R15" s="142"/>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5.6" hidden="false" customHeight="false" outlineLevel="0" collapsed="false">
      <c r="A16" s="153" t="s">
        <v>240</v>
      </c>
      <c r="B16" s="155" t="n">
        <f aca="false">B13*B14-(B13-2*B15)*(B14-2*B15)</f>
        <v>9677.40000000001</v>
      </c>
      <c r="C16" s="214" t="s">
        <v>241</v>
      </c>
      <c r="D16" s="134"/>
      <c r="E16" s="0"/>
      <c r="F16" s="0"/>
      <c r="G16" s="0"/>
      <c r="H16" s="0"/>
      <c r="I16" s="134"/>
      <c r="J16" s="0"/>
      <c r="K16" s="0"/>
      <c r="L16" s="0"/>
      <c r="M16" s="0"/>
      <c r="N16" s="0"/>
      <c r="O16" s="165"/>
      <c r="P16" s="0"/>
      <c r="Q16" s="0"/>
      <c r="R16" s="142"/>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5.6" hidden="false" customHeight="false" outlineLevel="0" collapsed="false">
      <c r="A17" s="153" t="s">
        <v>242</v>
      </c>
      <c r="B17" s="175" t="n">
        <f aca="false">(B14^3*B13-(B13-2*B15)*(B14-2*B15)^3)/12</f>
        <v>58792688.866</v>
      </c>
      <c r="C17" s="242" t="s">
        <v>243</v>
      </c>
      <c r="D17" s="134" t="n">
        <v>18</v>
      </c>
      <c r="E17" s="0"/>
      <c r="F17" s="0"/>
      <c r="G17" s="0"/>
      <c r="H17" s="0"/>
      <c r="I17" s="134"/>
      <c r="J17" s="0"/>
      <c r="K17" s="0"/>
      <c r="L17" s="0"/>
      <c r="M17" s="0"/>
      <c r="N17" s="0"/>
      <c r="O17" s="165"/>
      <c r="P17" s="0"/>
      <c r="Q17" s="0"/>
      <c r="R17" s="142"/>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5.6" hidden="false" customHeight="false" outlineLevel="0" collapsed="false">
      <c r="A18" s="153" t="s">
        <v>244</v>
      </c>
      <c r="B18" s="175" t="n">
        <f aca="false">(B14*B13^3-(B13-2*B15)^3*(B14-2*B15))/12</f>
        <v>58792688.866</v>
      </c>
      <c r="C18" s="242" t="s">
        <v>232</v>
      </c>
      <c r="D18" s="134" t="n">
        <v>2500</v>
      </c>
      <c r="E18" s="0"/>
      <c r="F18" s="0"/>
      <c r="G18" s="0"/>
      <c r="H18" s="0"/>
      <c r="I18" s="134"/>
      <c r="J18" s="0"/>
      <c r="K18" s="0"/>
      <c r="L18" s="0"/>
      <c r="M18" s="0"/>
      <c r="N18" s="0"/>
      <c r="O18" s="165"/>
      <c r="P18" s="0"/>
      <c r="Q18" s="0"/>
      <c r="R18" s="142"/>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5.6" hidden="false" customHeight="false" outlineLevel="0" collapsed="false">
      <c r="A19" s="153" t="s">
        <v>245</v>
      </c>
      <c r="B19" s="175" t="n">
        <f aca="false">2*B15*B15*(B13-B15)^2*(B14-B15)^2/(B13*B15+B14*B15-2*B15^2)</f>
        <v>87798816.3375</v>
      </c>
      <c r="C19" s="153" t="s">
        <v>246</v>
      </c>
      <c r="D19" s="264" t="n">
        <v>200000</v>
      </c>
      <c r="E19" s="0"/>
      <c r="F19" s="0"/>
      <c r="G19" s="0"/>
      <c r="H19" s="0"/>
      <c r="I19" s="134"/>
      <c r="J19" s="0"/>
      <c r="K19" s="0"/>
      <c r="L19" s="0"/>
      <c r="M19" s="0"/>
      <c r="N19" s="0"/>
      <c r="O19" s="165"/>
      <c r="P19" s="0"/>
      <c r="Q19" s="0"/>
      <c r="R19" s="142"/>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5.6" hidden="false" customHeight="false" outlineLevel="0" collapsed="false">
      <c r="A20" s="153" t="s">
        <v>247</v>
      </c>
      <c r="B20" s="155" t="n">
        <f aca="false">B18/B16</f>
        <v>6075.25666666667</v>
      </c>
      <c r="C20" s="242" t="s">
        <v>248</v>
      </c>
      <c r="D20" s="175" t="n">
        <f aca="false">PI()*D17^2/4*D19/D18</f>
        <v>20357.5203952619</v>
      </c>
      <c r="E20" s="0"/>
      <c r="F20" s="0"/>
      <c r="G20" s="0"/>
      <c r="H20" s="0"/>
      <c r="I20" s="134"/>
      <c r="J20" s="0"/>
      <c r="K20" s="0"/>
      <c r="L20" s="0"/>
      <c r="M20" s="0"/>
      <c r="N20" s="0"/>
      <c r="O20" s="165"/>
      <c r="P20" s="0"/>
      <c r="Q20" s="0"/>
      <c r="R20" s="142"/>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6.2" hidden="false" customHeight="false" outlineLevel="0" collapsed="false">
      <c r="A21" s="178" t="s">
        <v>320</v>
      </c>
      <c r="B21" s="179" t="n">
        <f aca="false">48*B7*B18/B12^3</f>
        <v>70962.6040540059</v>
      </c>
      <c r="C21" s="178" t="s">
        <v>251</v>
      </c>
      <c r="D21" s="259" t="n">
        <v>3</v>
      </c>
      <c r="E21" s="136"/>
      <c r="F21" s="136"/>
      <c r="G21" s="136"/>
      <c r="H21" s="136"/>
      <c r="I21" s="259"/>
      <c r="J21" s="136"/>
      <c r="K21" s="136"/>
      <c r="L21" s="136"/>
      <c r="M21" s="136"/>
      <c r="N21" s="0"/>
      <c r="O21" s="165"/>
      <c r="P21" s="0"/>
      <c r="Q21" s="0"/>
      <c r="R21" s="142"/>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6.2" hidden="false" customHeight="false" outlineLevel="0" collapsed="false">
      <c r="A22" s="182" t="s">
        <v>333</v>
      </c>
      <c r="B22" s="182"/>
      <c r="C22" s="182"/>
      <c r="D22" s="182"/>
      <c r="E22" s="182"/>
      <c r="F22" s="182"/>
      <c r="G22" s="182"/>
      <c r="H22" s="182"/>
      <c r="I22" s="182"/>
      <c r="J22" s="182"/>
      <c r="K22" s="182"/>
      <c r="L22" s="182"/>
      <c r="M22" s="182"/>
      <c r="N22" s="141"/>
      <c r="O22" s="165"/>
      <c r="P22" s="0"/>
      <c r="Q22" s="0"/>
      <c r="R22" s="142"/>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31.2" hidden="false" customHeight="false" outlineLevel="0" collapsed="false">
      <c r="A23" s="184" t="s">
        <v>253</v>
      </c>
      <c r="B23" s="185"/>
      <c r="C23" s="186" t="s">
        <v>254</v>
      </c>
      <c r="D23" s="187"/>
      <c r="E23" s="187"/>
      <c r="F23" s="187"/>
      <c r="G23" s="187"/>
      <c r="H23" s="187"/>
      <c r="I23" s="187"/>
      <c r="J23" s="187"/>
      <c r="K23" s="187"/>
      <c r="L23" s="187"/>
      <c r="M23" s="187"/>
      <c r="N23" s="0"/>
      <c r="O23" s="142"/>
      <c r="P23" s="142"/>
      <c r="Q23" s="142"/>
      <c r="R23" s="142"/>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5.6" hidden="false" customHeight="false" outlineLevel="0" collapsed="false">
      <c r="A24" s="153" t="s">
        <v>255</v>
      </c>
      <c r="B24" s="25"/>
      <c r="C24" s="131"/>
      <c r="D24" s="0"/>
      <c r="E24" s="0"/>
      <c r="F24" s="0"/>
      <c r="G24" s="0"/>
      <c r="H24" s="0"/>
      <c r="I24" s="0"/>
      <c r="J24" s="0"/>
      <c r="K24" s="0"/>
      <c r="L24" s="0"/>
      <c r="M24" s="0"/>
      <c r="N24" s="0"/>
      <c r="O24" s="142"/>
      <c r="P24" s="142"/>
      <c r="Q24" s="142"/>
      <c r="R24" s="142"/>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5.6" hidden="false" customHeight="false" outlineLevel="0" collapsed="false">
      <c r="A25" s="87" t="s">
        <v>113</v>
      </c>
      <c r="B25" s="188" t="n">
        <f aca="false">SUM(H34:S34)+C25</f>
        <v>4000000</v>
      </c>
      <c r="C25" s="189" t="n">
        <v>0</v>
      </c>
      <c r="D25" s="0"/>
      <c r="E25" s="0"/>
      <c r="F25" s="0"/>
      <c r="G25" s="191" t="s">
        <v>256</v>
      </c>
      <c r="H25" s="0"/>
      <c r="I25" s="0"/>
      <c r="J25" s="0"/>
      <c r="K25" s="0"/>
      <c r="L25" s="0"/>
      <c r="M25" s="0"/>
      <c r="N25" s="0"/>
      <c r="O25" s="142"/>
      <c r="P25" s="142"/>
      <c r="Q25" s="142"/>
      <c r="R25" s="142"/>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5.6" hidden="false" customHeight="false" outlineLevel="0" collapsed="false">
      <c r="A26" s="87" t="s">
        <v>116</v>
      </c>
      <c r="B26" s="188" t="n">
        <f aca="false">SUM(H35:S35)+C26</f>
        <v>4000000</v>
      </c>
      <c r="C26" s="189" t="n">
        <v>0</v>
      </c>
      <c r="D26" s="0"/>
      <c r="E26" s="0"/>
      <c r="F26" s="0"/>
      <c r="G26" s="134" t="s">
        <v>257</v>
      </c>
      <c r="H26" s="0"/>
      <c r="I26" s="0"/>
      <c r="J26" s="0"/>
      <c r="K26" s="0"/>
      <c r="L26" s="0"/>
      <c r="M26" s="0"/>
      <c r="N26" s="0"/>
      <c r="O26" s="142"/>
      <c r="P26" s="142"/>
      <c r="Q26" s="142"/>
      <c r="R26" s="142"/>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5.6" hidden="false" customHeight="false" outlineLevel="0" collapsed="false">
      <c r="A27" s="87" t="s">
        <v>118</v>
      </c>
      <c r="B27" s="188" t="n">
        <f aca="false">SUM(H36:S36)+C27</f>
        <v>4000000</v>
      </c>
      <c r="C27" s="189" t="n">
        <v>0</v>
      </c>
      <c r="D27" s="0"/>
      <c r="E27" s="0"/>
      <c r="F27" s="0"/>
      <c r="G27" s="194" t="s">
        <v>259</v>
      </c>
      <c r="H27" s="195" t="n">
        <v>4</v>
      </c>
      <c r="I27" s="0"/>
      <c r="J27" s="0"/>
      <c r="K27" s="0"/>
      <c r="L27" s="0"/>
      <c r="M27" s="0"/>
      <c r="N27" s="0"/>
      <c r="O27" s="142"/>
      <c r="P27" s="142"/>
      <c r="Q27" s="142"/>
      <c r="R27" s="142"/>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5.6" hidden="false" customHeight="false" outlineLevel="0" collapsed="false">
      <c r="A28" s="153" t="s">
        <v>258</v>
      </c>
      <c r="B28" s="25"/>
      <c r="C28" s="192"/>
      <c r="D28" s="0"/>
      <c r="E28" s="0"/>
      <c r="F28" s="0"/>
      <c r="G28" s="0"/>
      <c r="H28" s="76" t="s">
        <v>260</v>
      </c>
      <c r="I28" s="76"/>
      <c r="J28" s="76"/>
      <c r="K28" s="76"/>
      <c r="L28" s="76"/>
      <c r="M28" s="76"/>
      <c r="N28" s="76"/>
      <c r="O28" s="76"/>
      <c r="P28" s="76"/>
      <c r="Q28" s="76"/>
      <c r="R28" s="76"/>
      <c r="S28" s="76"/>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5.6" hidden="false" customHeight="false" outlineLevel="0" collapsed="false">
      <c r="A29" s="87" t="s">
        <v>120</v>
      </c>
      <c r="B29" s="188" t="n">
        <f aca="false">SUM(H38:S38)+SUM(H42:S42)+C29</f>
        <v>10004000000</v>
      </c>
      <c r="C29" s="189" t="n">
        <v>0</v>
      </c>
      <c r="D29" s="0"/>
      <c r="E29" s="0"/>
      <c r="F29" s="0"/>
      <c r="G29" s="134" t="s">
        <v>261</v>
      </c>
      <c r="H29" s="85" t="n">
        <v>1</v>
      </c>
      <c r="I29" s="85" t="n">
        <f aca="false">H29+1</f>
        <v>2</v>
      </c>
      <c r="J29" s="85" t="n">
        <f aca="false">I29+1</f>
        <v>3</v>
      </c>
      <c r="K29" s="85" t="n">
        <f aca="false">J29+1</f>
        <v>4</v>
      </c>
      <c r="L29" s="85" t="n">
        <f aca="false">K29+1</f>
        <v>5</v>
      </c>
      <c r="M29" s="85" t="n">
        <f aca="false">L29+1</f>
        <v>6</v>
      </c>
      <c r="N29" s="85" t="n">
        <f aca="false">M29+1</f>
        <v>7</v>
      </c>
      <c r="O29" s="85" t="n">
        <f aca="false">N29+1</f>
        <v>8</v>
      </c>
      <c r="P29" s="85" t="n">
        <f aca="false">O29+1</f>
        <v>9</v>
      </c>
      <c r="Q29" s="85" t="n">
        <f aca="false">P29+1</f>
        <v>10</v>
      </c>
      <c r="R29" s="85" t="n">
        <f aca="false">Q29+1</f>
        <v>11</v>
      </c>
      <c r="S29" s="85" t="n">
        <f aca="false">R29+1</f>
        <v>12</v>
      </c>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5.6" hidden="false" customHeight="false" outlineLevel="0" collapsed="false">
      <c r="A30" s="87" t="s">
        <v>123</v>
      </c>
      <c r="B30" s="188" t="n">
        <f aca="false">SUM(H39:S39)+SUM(H43:S43)+C30</f>
        <v>20004000000</v>
      </c>
      <c r="C30" s="189" t="n">
        <v>0</v>
      </c>
      <c r="D30" s="0"/>
      <c r="E30" s="0"/>
      <c r="F30" s="0"/>
      <c r="G30" s="153" t="s">
        <v>262</v>
      </c>
      <c r="H30" s="195" t="n">
        <v>50</v>
      </c>
      <c r="I30" s="195" t="n">
        <v>-50</v>
      </c>
      <c r="J30" s="195" t="n">
        <v>-50</v>
      </c>
      <c r="K30" s="195" t="n">
        <v>50</v>
      </c>
      <c r="L30" s="195" t="n">
        <v>0</v>
      </c>
      <c r="M30" s="195" t="n">
        <v>0</v>
      </c>
      <c r="N30" s="195" t="n">
        <v>0</v>
      </c>
      <c r="O30" s="195" t="n">
        <v>0</v>
      </c>
      <c r="P30" s="195" t="n">
        <v>0</v>
      </c>
      <c r="Q30" s="195" t="n">
        <v>0</v>
      </c>
      <c r="R30" s="195" t="n">
        <v>0</v>
      </c>
      <c r="S30" s="195" t="n">
        <v>0</v>
      </c>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5.6" hidden="false" customHeight="false" outlineLevel="0" collapsed="false">
      <c r="A31" s="87" t="s">
        <v>125</v>
      </c>
      <c r="B31" s="188" t="n">
        <f aca="false">SUM(H40:S40)+SUM(H44:S44)+C31</f>
        <v>10004000000</v>
      </c>
      <c r="C31" s="189" t="n">
        <v>0</v>
      </c>
      <c r="D31" s="0"/>
      <c r="E31" s="0"/>
      <c r="F31" s="0"/>
      <c r="G31" s="153" t="s">
        <v>265</v>
      </c>
      <c r="H31" s="195" t="n">
        <v>0</v>
      </c>
      <c r="I31" s="195" t="n">
        <v>0</v>
      </c>
      <c r="J31" s="195" t="n">
        <v>0</v>
      </c>
      <c r="K31" s="195" t="n">
        <v>0</v>
      </c>
      <c r="L31" s="195" t="n">
        <v>0</v>
      </c>
      <c r="M31" s="195" t="n">
        <v>0</v>
      </c>
      <c r="N31" s="195" t="n">
        <v>0</v>
      </c>
      <c r="O31" s="195" t="n">
        <v>0</v>
      </c>
      <c r="P31" s="195" t="n">
        <v>0</v>
      </c>
      <c r="Q31" s="195" t="n">
        <v>0</v>
      </c>
      <c r="R31" s="195" t="n">
        <v>0</v>
      </c>
      <c r="S31" s="195" t="n">
        <v>0</v>
      </c>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5.6" hidden="false" customHeight="true" outlineLevel="0" collapsed="false">
      <c r="A32" s="207" t="s">
        <v>264</v>
      </c>
      <c r="B32" s="207"/>
      <c r="C32" s="207"/>
      <c r="D32" s="0"/>
      <c r="E32" s="0"/>
      <c r="F32" s="0"/>
      <c r="G32" s="153" t="s">
        <v>267</v>
      </c>
      <c r="H32" s="195" t="n">
        <v>50</v>
      </c>
      <c r="I32" s="195" t="n">
        <v>50</v>
      </c>
      <c r="J32" s="195" t="n">
        <v>-50</v>
      </c>
      <c r="K32" s="195" t="n">
        <v>-50</v>
      </c>
      <c r="L32" s="195" t="n">
        <v>0</v>
      </c>
      <c r="M32" s="195" t="n">
        <v>0</v>
      </c>
      <c r="N32" s="195" t="n">
        <v>0</v>
      </c>
      <c r="O32" s="195" t="n">
        <v>0</v>
      </c>
      <c r="P32" s="195" t="n">
        <v>0</v>
      </c>
      <c r="Q32" s="195" t="n">
        <v>0</v>
      </c>
      <c r="R32" s="195" t="n">
        <v>0</v>
      </c>
      <c r="S32" s="195" t="n">
        <v>0</v>
      </c>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5.6" hidden="false" customHeight="false" outlineLevel="0" collapsed="false">
      <c r="A33" s="207"/>
      <c r="B33" s="207"/>
      <c r="C33" s="207"/>
      <c r="D33" s="0"/>
      <c r="E33" s="0"/>
      <c r="F33" s="0"/>
      <c r="G33" s="134" t="s">
        <v>270</v>
      </c>
      <c r="H33" s="238" t="s">
        <v>334</v>
      </c>
      <c r="I33" s="238"/>
      <c r="J33" s="238"/>
      <c r="K33" s="238"/>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5.6" hidden="false" customHeight="false" outlineLevel="0" collapsed="false">
      <c r="A34" s="207"/>
      <c r="B34" s="207"/>
      <c r="C34" s="207"/>
      <c r="D34" s="0"/>
      <c r="E34" s="0"/>
      <c r="F34" s="0"/>
      <c r="G34" s="153" t="s">
        <v>113</v>
      </c>
      <c r="H34" s="202" t="n">
        <v>1000000</v>
      </c>
      <c r="I34" s="202" t="n">
        <v>1000000</v>
      </c>
      <c r="J34" s="202" t="n">
        <v>1000000</v>
      </c>
      <c r="K34" s="202" t="n">
        <v>1000000</v>
      </c>
      <c r="L34" s="195" t="n">
        <v>0</v>
      </c>
      <c r="M34" s="195" t="n">
        <v>0</v>
      </c>
      <c r="N34" s="195" t="n">
        <v>0</v>
      </c>
      <c r="O34" s="195" t="n">
        <v>0</v>
      </c>
      <c r="P34" s="195" t="n">
        <v>0</v>
      </c>
      <c r="Q34" s="195" t="n">
        <v>0</v>
      </c>
      <c r="R34" s="195" t="n">
        <v>0</v>
      </c>
      <c r="S34" s="195" t="n">
        <v>0</v>
      </c>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5.6" hidden="false" customHeight="false" outlineLevel="0" collapsed="false">
      <c r="A35" s="201" t="s">
        <v>271</v>
      </c>
      <c r="B35" s="195"/>
      <c r="C35" s="195"/>
      <c r="D35" s="0"/>
      <c r="E35" s="0"/>
      <c r="F35" s="0"/>
      <c r="G35" s="153" t="s">
        <v>116</v>
      </c>
      <c r="H35" s="202" t="n">
        <v>1000000</v>
      </c>
      <c r="I35" s="202" t="n">
        <v>1000000</v>
      </c>
      <c r="J35" s="202" t="n">
        <v>1000000</v>
      </c>
      <c r="K35" s="202" t="n">
        <v>1000000</v>
      </c>
      <c r="L35" s="195" t="n">
        <v>0</v>
      </c>
      <c r="M35" s="195" t="n">
        <v>0</v>
      </c>
      <c r="N35" s="195" t="n">
        <v>0</v>
      </c>
      <c r="O35" s="195" t="n">
        <v>0</v>
      </c>
      <c r="P35" s="195" t="n">
        <v>0</v>
      </c>
      <c r="Q35" s="195" t="n">
        <v>0</v>
      </c>
      <c r="R35" s="195" t="n">
        <v>0</v>
      </c>
      <c r="S35" s="195" t="n">
        <v>0</v>
      </c>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5.6" hidden="false" customHeight="false" outlineLevel="0" collapsed="false">
      <c r="A36" s="77" t="s">
        <v>28</v>
      </c>
      <c r="B36" s="0"/>
      <c r="C36" s="0"/>
      <c r="D36" s="0"/>
      <c r="E36" s="0"/>
      <c r="F36" s="0"/>
      <c r="G36" s="153" t="s">
        <v>118</v>
      </c>
      <c r="H36" s="202" t="n">
        <v>1000000</v>
      </c>
      <c r="I36" s="202" t="n">
        <v>1000000</v>
      </c>
      <c r="J36" s="202" t="n">
        <v>1000000</v>
      </c>
      <c r="K36" s="202" t="n">
        <v>1000000</v>
      </c>
      <c r="L36" s="195" t="n">
        <v>0</v>
      </c>
      <c r="M36" s="195" t="n">
        <v>0</v>
      </c>
      <c r="N36" s="195" t="n">
        <v>0</v>
      </c>
      <c r="O36" s="195" t="n">
        <v>0</v>
      </c>
      <c r="P36" s="195" t="n">
        <v>0</v>
      </c>
      <c r="Q36" s="195" t="n">
        <v>0</v>
      </c>
      <c r="R36" s="195" t="n">
        <v>0</v>
      </c>
      <c r="S36" s="195" t="n">
        <v>0</v>
      </c>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5.6" hidden="false" customHeight="false" outlineLevel="0" collapsed="false">
      <c r="A37" s="153" t="s">
        <v>273</v>
      </c>
      <c r="B37" s="195" t="n">
        <v>0</v>
      </c>
      <c r="C37" s="0"/>
      <c r="D37" s="0"/>
      <c r="E37" s="0"/>
      <c r="F37" s="0"/>
      <c r="G37" s="134" t="s">
        <v>275</v>
      </c>
      <c r="H37" s="238"/>
      <c r="I37" s="238"/>
      <c r="J37" s="238"/>
      <c r="K37" s="238"/>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5.6" hidden="false" customHeight="false" outlineLevel="0" collapsed="false">
      <c r="A38" s="153" t="s">
        <v>274</v>
      </c>
      <c r="B38" s="195" t="n">
        <v>0</v>
      </c>
      <c r="C38" s="0"/>
      <c r="D38" s="0"/>
      <c r="E38" s="0"/>
      <c r="F38" s="0"/>
      <c r="G38" s="153" t="s">
        <v>120</v>
      </c>
      <c r="H38" s="202" t="n">
        <v>1000000</v>
      </c>
      <c r="I38" s="202" t="n">
        <v>1000000</v>
      </c>
      <c r="J38" s="202" t="n">
        <v>1000000</v>
      </c>
      <c r="K38" s="202" t="n">
        <v>1000000</v>
      </c>
      <c r="L38" s="195" t="n">
        <v>0</v>
      </c>
      <c r="M38" s="195" t="n">
        <v>0</v>
      </c>
      <c r="N38" s="195" t="n">
        <v>0</v>
      </c>
      <c r="O38" s="195" t="n">
        <v>0</v>
      </c>
      <c r="P38" s="195" t="n">
        <v>0</v>
      </c>
      <c r="Q38" s="195" t="n">
        <v>0</v>
      </c>
      <c r="R38" s="195" t="n">
        <v>0</v>
      </c>
      <c r="S38" s="195" t="n">
        <v>0</v>
      </c>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5.6" hidden="false" customHeight="false" outlineLevel="0" collapsed="false">
      <c r="A39" s="153" t="s">
        <v>276</v>
      </c>
      <c r="B39" s="195" t="n">
        <v>0</v>
      </c>
      <c r="C39" s="0"/>
      <c r="D39" s="0"/>
      <c r="E39" s="0"/>
      <c r="F39" s="0"/>
      <c r="G39" s="153" t="s">
        <v>123</v>
      </c>
      <c r="H39" s="202" t="n">
        <v>1000000</v>
      </c>
      <c r="I39" s="202" t="n">
        <v>1000000</v>
      </c>
      <c r="J39" s="202" t="n">
        <v>1000000</v>
      </c>
      <c r="K39" s="202" t="n">
        <v>1000000</v>
      </c>
      <c r="L39" s="195" t="n">
        <v>0</v>
      </c>
      <c r="M39" s="195" t="n">
        <v>0</v>
      </c>
      <c r="N39" s="195" t="n">
        <v>0</v>
      </c>
      <c r="O39" s="195" t="n">
        <v>0</v>
      </c>
      <c r="P39" s="195" t="n">
        <v>0</v>
      </c>
      <c r="Q39" s="195" t="n">
        <v>0</v>
      </c>
      <c r="R39" s="195" t="n">
        <v>0</v>
      </c>
      <c r="S39" s="195" t="n">
        <v>0</v>
      </c>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5.6" hidden="false" customHeight="false" outlineLevel="0" collapsed="false">
      <c r="A40" s="165" t="s">
        <v>29</v>
      </c>
      <c r="B40" s="0"/>
      <c r="C40" s="0"/>
      <c r="D40" s="0"/>
      <c r="E40" s="0"/>
      <c r="F40" s="0"/>
      <c r="G40" s="153" t="s">
        <v>125</v>
      </c>
      <c r="H40" s="202" t="n">
        <v>1000000</v>
      </c>
      <c r="I40" s="202" t="n">
        <v>1000000</v>
      </c>
      <c r="J40" s="202" t="n">
        <v>1000000</v>
      </c>
      <c r="K40" s="202" t="n">
        <v>1000000</v>
      </c>
      <c r="L40" s="195" t="n">
        <v>0</v>
      </c>
      <c r="M40" s="195" t="n">
        <v>0</v>
      </c>
      <c r="N40" s="195" t="n">
        <v>0</v>
      </c>
      <c r="O40" s="195" t="n">
        <v>0</v>
      </c>
      <c r="P40" s="195" t="n">
        <v>0</v>
      </c>
      <c r="Q40" s="195" t="n">
        <v>0</v>
      </c>
      <c r="R40" s="195" t="n">
        <v>0</v>
      </c>
      <c r="S40" s="195" t="n">
        <v>0</v>
      </c>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5.6" hidden="false" customHeight="false" outlineLevel="0" collapsed="false">
      <c r="A41" s="153" t="s">
        <v>273</v>
      </c>
      <c r="B41" s="195" t="n">
        <v>0</v>
      </c>
      <c r="C41" s="0"/>
      <c r="D41" s="0"/>
      <c r="E41" s="0"/>
      <c r="F41" s="0"/>
      <c r="G41" s="134" t="s">
        <v>277</v>
      </c>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5.6" hidden="false" customHeight="false" outlineLevel="0" collapsed="false">
      <c r="A42" s="153" t="s">
        <v>274</v>
      </c>
      <c r="B42" s="195" t="n">
        <v>0</v>
      </c>
      <c r="C42" s="0"/>
      <c r="D42" s="87"/>
      <c r="E42" s="87"/>
      <c r="F42" s="87"/>
      <c r="G42" s="153" t="s">
        <v>120</v>
      </c>
      <c r="H42" s="188" t="n">
        <f aca="false">H35*H32^2+H36*H31^2</f>
        <v>2500000000</v>
      </c>
      <c r="I42" s="188" t="n">
        <f aca="false">I35*I32^2+I36*I31^2</f>
        <v>2500000000</v>
      </c>
      <c r="J42" s="188" t="n">
        <f aca="false">J35*J32^2+J36*J31^2</f>
        <v>2500000000</v>
      </c>
      <c r="K42" s="188" t="n">
        <f aca="false">K35*K32^2+K36*K31^2</f>
        <v>2500000000</v>
      </c>
      <c r="L42" s="24" t="n">
        <f aca="false">L35*L32^2+L36*L31^2</f>
        <v>0</v>
      </c>
      <c r="M42" s="24" t="n">
        <f aca="false">M35*M32^2+M36*M31^2</f>
        <v>0</v>
      </c>
      <c r="N42" s="24" t="n">
        <f aca="false">N35*N32^2+N36*N31^2</f>
        <v>0</v>
      </c>
      <c r="O42" s="24" t="n">
        <f aca="false">O35*O32^2+O36*O31^2</f>
        <v>0</v>
      </c>
      <c r="P42" s="24" t="n">
        <f aca="false">P35*P32^2+P36*P31^2</f>
        <v>0</v>
      </c>
      <c r="Q42" s="24" t="n">
        <f aca="false">Q35*Q32^2+Q36*Q31^2</f>
        <v>0</v>
      </c>
      <c r="R42" s="24" t="n">
        <f aca="false">R35*R32^2+R36*R31^2</f>
        <v>0</v>
      </c>
      <c r="S42" s="24" t="n">
        <f aca="false">S35*S32^2+S36*S31^2</f>
        <v>0</v>
      </c>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5.6" hidden="false" customHeight="false" outlineLevel="0" collapsed="false">
      <c r="A43" s="153" t="s">
        <v>276</v>
      </c>
      <c r="B43" s="195" t="n">
        <v>0</v>
      </c>
      <c r="C43" s="0"/>
      <c r="D43" s="87"/>
      <c r="E43" s="87"/>
      <c r="F43" s="87"/>
      <c r="G43" s="153" t="s">
        <v>123</v>
      </c>
      <c r="H43" s="188" t="n">
        <f aca="false">H34*H32^2+H36*H30^2</f>
        <v>5000000000</v>
      </c>
      <c r="I43" s="188" t="n">
        <f aca="false">I34*I32^2+I36*I30^2</f>
        <v>5000000000</v>
      </c>
      <c r="J43" s="188" t="n">
        <f aca="false">J34*J32^2+J36*J30^2</f>
        <v>5000000000</v>
      </c>
      <c r="K43" s="188" t="n">
        <f aca="false">K34*K32^2+K36*K30^2</f>
        <v>5000000000</v>
      </c>
      <c r="L43" s="24" t="n">
        <f aca="false">L34*L32^2+L36*L30^2</f>
        <v>0</v>
      </c>
      <c r="M43" s="24" t="n">
        <f aca="false">M34*M32^2+M36*M30^2</f>
        <v>0</v>
      </c>
      <c r="N43" s="24" t="n">
        <f aca="false">N34*N32^2+N36*N30^2</f>
        <v>0</v>
      </c>
      <c r="O43" s="24" t="n">
        <f aca="false">O34*O32^2+O36*O30^2</f>
        <v>0</v>
      </c>
      <c r="P43" s="24" t="n">
        <f aca="false">P34*P32^2+P36*P30^2</f>
        <v>0</v>
      </c>
      <c r="Q43" s="24" t="n">
        <f aca="false">Q34*Q32^2+Q36*Q30^2</f>
        <v>0</v>
      </c>
      <c r="R43" s="24" t="n">
        <f aca="false">R34*R32^2+R36*R30^2</f>
        <v>0</v>
      </c>
      <c r="S43" s="24" t="n">
        <f aca="false">S34*S32^2+S36*S30^2</f>
        <v>0</v>
      </c>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5.6" hidden="false" customHeight="false" outlineLevel="0" collapsed="false">
      <c r="A44" s="76" t="s">
        <v>278</v>
      </c>
      <c r="B44" s="0"/>
      <c r="C44" s="87"/>
      <c r="D44" s="87"/>
      <c r="E44" s="87"/>
      <c r="F44" s="87"/>
      <c r="G44" s="153" t="s">
        <v>125</v>
      </c>
      <c r="H44" s="188" t="n">
        <f aca="false">H34*H31^2+H35*H30^2</f>
        <v>2500000000</v>
      </c>
      <c r="I44" s="188" t="n">
        <f aca="false">I34*I31^2+I35*I30^2</f>
        <v>2500000000</v>
      </c>
      <c r="J44" s="188" t="n">
        <f aca="false">J34*J31^2+J35*J30^2</f>
        <v>2500000000</v>
      </c>
      <c r="K44" s="188" t="n">
        <f aca="false">K34*K31^2+K35*K30^2</f>
        <v>2500000000</v>
      </c>
      <c r="L44" s="24" t="n">
        <f aca="false">L34*L31^2+L35*L30^2</f>
        <v>0</v>
      </c>
      <c r="M44" s="24" t="n">
        <f aca="false">M34*M31^2+M35*M30^2</f>
        <v>0</v>
      </c>
      <c r="N44" s="24" t="n">
        <f aca="false">N34*N31^2+N35*N30^2</f>
        <v>0</v>
      </c>
      <c r="O44" s="24" t="n">
        <f aca="false">O34*O31^2+O35*O30^2</f>
        <v>0</v>
      </c>
      <c r="P44" s="24" t="n">
        <f aca="false">P34*P31^2+P35*P30^2</f>
        <v>0</v>
      </c>
      <c r="Q44" s="24" t="n">
        <f aca="false">Q34*Q31^2+Q35*Q30^2</f>
        <v>0</v>
      </c>
      <c r="R44" s="24" t="n">
        <f aca="false">R34*R31^2+R35*R30^2</f>
        <v>0</v>
      </c>
      <c r="S44" s="24" t="n">
        <f aca="false">S34*S31^2+S35*S30^2</f>
        <v>0</v>
      </c>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5.6" hidden="false" customHeight="false" outlineLevel="0" collapsed="false">
      <c r="A45" s="153" t="s">
        <v>279</v>
      </c>
      <c r="B45" s="24" t="n">
        <f aca="false">SQRT((H46^2+I46^2+J46^2+K46^2+L46^2+M46^2+N46^2+O46^2+P46^2+Q46^2+R46^2+S46^2)/H$27)</f>
        <v>0.005</v>
      </c>
      <c r="C45" s="87"/>
      <c r="D45" s="87"/>
      <c r="E45" s="87"/>
      <c r="F45" s="87"/>
      <c r="G45" s="134" t="s">
        <v>281</v>
      </c>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5.6" hidden="false" customHeight="false" outlineLevel="0" collapsed="false">
      <c r="A46" s="153" t="s">
        <v>280</v>
      </c>
      <c r="B46" s="24" t="n">
        <f aca="false">SQRT((H47^2+I47^2+J47^2+K47^2+L47^2+M47^2+N47^2+O47^2+P47^2+Q47^2+R47^2+S47^2)/H$27)</f>
        <v>0.005</v>
      </c>
      <c r="C46" s="87"/>
      <c r="D46" s="87"/>
      <c r="E46" s="87"/>
      <c r="F46" s="87"/>
      <c r="G46" s="153" t="s">
        <v>279</v>
      </c>
      <c r="H46" s="195" t="n">
        <f aca="false">0.005</f>
        <v>0.005</v>
      </c>
      <c r="I46" s="195" t="n">
        <f aca="false">0.005</f>
        <v>0.005</v>
      </c>
      <c r="J46" s="195" t="n">
        <f aca="false">0.005</f>
        <v>0.005</v>
      </c>
      <c r="K46" s="195" t="n">
        <f aca="false">0.005</f>
        <v>0.005</v>
      </c>
      <c r="L46" s="195" t="n">
        <v>0</v>
      </c>
      <c r="M46" s="195" t="n">
        <v>0</v>
      </c>
      <c r="N46" s="195" t="n">
        <v>0</v>
      </c>
      <c r="O46" s="195" t="n">
        <v>0</v>
      </c>
      <c r="P46" s="195" t="n">
        <v>0</v>
      </c>
      <c r="Q46" s="195" t="n">
        <v>0</v>
      </c>
      <c r="R46" s="195" t="n">
        <v>0</v>
      </c>
      <c r="S46" s="195" t="n">
        <v>0</v>
      </c>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5.6" hidden="false" customHeight="false" outlineLevel="0" collapsed="false">
      <c r="A47" s="153" t="s">
        <v>282</v>
      </c>
      <c r="B47" s="24" t="n">
        <f aca="false">SQRT((H48^2+I48^2+J48^2+K48^2+L48^2+M48^2+N48^2+O48^2+P48^2+Q48^2+R48^2+S48^2)/H$27)</f>
        <v>0.005</v>
      </c>
      <c r="C47" s="87"/>
      <c r="D47" s="87"/>
      <c r="E47" s="87"/>
      <c r="F47" s="87"/>
      <c r="G47" s="153" t="s">
        <v>280</v>
      </c>
      <c r="H47" s="195" t="n">
        <f aca="false">0.005</f>
        <v>0.005</v>
      </c>
      <c r="I47" s="195" t="n">
        <f aca="false">0.005</f>
        <v>0.005</v>
      </c>
      <c r="J47" s="195" t="n">
        <f aca="false">0.005</f>
        <v>0.005</v>
      </c>
      <c r="K47" s="195" t="n">
        <f aca="false">0.005</f>
        <v>0.005</v>
      </c>
      <c r="L47" s="195" t="n">
        <v>0</v>
      </c>
      <c r="M47" s="195" t="n">
        <v>0</v>
      </c>
      <c r="N47" s="195" t="n">
        <v>0</v>
      </c>
      <c r="O47" s="195" t="n">
        <v>0</v>
      </c>
      <c r="P47" s="195" t="n">
        <v>0</v>
      </c>
      <c r="Q47" s="195" t="n">
        <v>0</v>
      </c>
      <c r="R47" s="195" t="n">
        <v>0</v>
      </c>
      <c r="S47" s="195" t="n">
        <v>0</v>
      </c>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5.6" hidden="false" customHeight="false" outlineLevel="0" collapsed="false">
      <c r="A48" s="153" t="s">
        <v>97</v>
      </c>
      <c r="B48" s="24" t="n">
        <f aca="false">SQRT((H50^2+I50^2+J50^2+K50^2+L50^2+M50^2+N50^2+O50^2+P50^2+Q50^2+R50^2+S50^2+B37^2)/H$27)</f>
        <v>0.0001</v>
      </c>
      <c r="C48" s="0"/>
      <c r="D48" s="0"/>
      <c r="E48" s="0"/>
      <c r="F48" s="0"/>
      <c r="G48" s="153" t="s">
        <v>282</v>
      </c>
      <c r="H48" s="195" t="n">
        <f aca="false">0.005</f>
        <v>0.005</v>
      </c>
      <c r="I48" s="195" t="n">
        <f aca="false">0.005</f>
        <v>0.005</v>
      </c>
      <c r="J48" s="195" t="n">
        <f aca="false">0.005</f>
        <v>0.005</v>
      </c>
      <c r="K48" s="195" t="n">
        <f aca="false">0.005</f>
        <v>0.005</v>
      </c>
      <c r="L48" s="195" t="n">
        <v>0</v>
      </c>
      <c r="M48" s="195" t="n">
        <v>0</v>
      </c>
      <c r="N48" s="195" t="n">
        <v>0</v>
      </c>
      <c r="O48" s="195" t="n">
        <v>0</v>
      </c>
      <c r="P48" s="195" t="n">
        <v>0</v>
      </c>
      <c r="Q48" s="195" t="n">
        <v>0</v>
      </c>
      <c r="R48" s="195" t="n">
        <v>0</v>
      </c>
      <c r="S48" s="195" t="n">
        <v>0</v>
      </c>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5.6" hidden="false" customHeight="false" outlineLevel="0" collapsed="false">
      <c r="A49" s="153" t="s">
        <v>100</v>
      </c>
      <c r="B49" s="24" t="n">
        <f aca="false">SQRT((H51^2+I51^2+J51^2+K51^2+L51^2+M51^2+N51^2+O51^2+P51^2+Q51^2+R51^2+S51^2+B38^2)/H$27)</f>
        <v>9.99999990000001E-005</v>
      </c>
      <c r="C49" s="87"/>
      <c r="D49" s="87"/>
      <c r="E49" s="87"/>
      <c r="F49" s="87"/>
      <c r="G49" s="134" t="s">
        <v>283</v>
      </c>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5.6" hidden="false" customHeight="false" outlineLevel="0" collapsed="false">
      <c r="A50" s="153" t="s">
        <v>104</v>
      </c>
      <c r="B50" s="24" t="n">
        <f aca="false">SQRT((H52^2+I52^2+J52^2+K52^2+L52^2+M52^2+N52^2+O52^2+P52^2+Q52^2+R52^2+S52^2+B39^2)/H$27)</f>
        <v>0.0001</v>
      </c>
      <c r="C50" s="87"/>
      <c r="D50" s="87"/>
      <c r="E50" s="87"/>
      <c r="F50" s="87"/>
      <c r="G50" s="153" t="s">
        <v>97</v>
      </c>
      <c r="H50" s="188" t="n">
        <f aca="false">H97</f>
        <v>9.99999980000001E-005</v>
      </c>
      <c r="I50" s="188" t="n">
        <f aca="false">I97</f>
        <v>9.99999980000001E-005</v>
      </c>
      <c r="J50" s="188" t="n">
        <f aca="false">J97</f>
        <v>0.000100000002</v>
      </c>
      <c r="K50" s="188" t="n">
        <f aca="false">K97</f>
        <v>0.000100000002</v>
      </c>
      <c r="L50" s="188" t="n">
        <f aca="false">L97</f>
        <v>0</v>
      </c>
      <c r="M50" s="188" t="n">
        <f aca="false">M97</f>
        <v>0</v>
      </c>
      <c r="N50" s="188" t="n">
        <f aca="false">N97</f>
        <v>0</v>
      </c>
      <c r="O50" s="188" t="n">
        <f aca="false">O97</f>
        <v>0</v>
      </c>
      <c r="P50" s="188" t="n">
        <f aca="false">P97</f>
        <v>0</v>
      </c>
      <c r="Q50" s="188" t="n">
        <f aca="false">Q97</f>
        <v>0</v>
      </c>
      <c r="R50" s="188" t="n">
        <f aca="false">R97</f>
        <v>0</v>
      </c>
      <c r="S50" s="188" t="n">
        <f aca="false">S97</f>
        <v>0</v>
      </c>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46.8" hidden="false" customHeight="false" outlineLevel="0" collapsed="false">
      <c r="A51" s="206" t="s">
        <v>284</v>
      </c>
      <c r="B51" s="25"/>
      <c r="C51" s="87"/>
      <c r="D51" s="87"/>
      <c r="E51" s="87"/>
      <c r="F51" s="87"/>
      <c r="G51" s="153" t="s">
        <v>100</v>
      </c>
      <c r="H51" s="188" t="n">
        <f aca="false">H101</f>
        <v>9.99999980000001E-005</v>
      </c>
      <c r="I51" s="188" t="n">
        <f aca="false">I101</f>
        <v>9.99999980000001E-005</v>
      </c>
      <c r="J51" s="188" t="n">
        <f aca="false">J101</f>
        <v>0.000100000002</v>
      </c>
      <c r="K51" s="188" t="n">
        <f aca="false">K101</f>
        <v>9.99999980000001E-005</v>
      </c>
      <c r="L51" s="188" t="n">
        <f aca="false">L101</f>
        <v>0</v>
      </c>
      <c r="M51" s="188" t="n">
        <f aca="false">M101</f>
        <v>0</v>
      </c>
      <c r="N51" s="188" t="n">
        <f aca="false">N101</f>
        <v>0</v>
      </c>
      <c r="O51" s="188" t="n">
        <f aca="false">O101</f>
        <v>0</v>
      </c>
      <c r="P51" s="188" t="n">
        <f aca="false">P101</f>
        <v>0</v>
      </c>
      <c r="Q51" s="188" t="n">
        <f aca="false">Q101</f>
        <v>0</v>
      </c>
      <c r="R51" s="188" t="n">
        <f aca="false">R101</f>
        <v>0</v>
      </c>
      <c r="S51" s="188" t="n">
        <f aca="false">S101</f>
        <v>0</v>
      </c>
      <c r="T51" s="208"/>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5.6" hidden="false" customHeight="false" outlineLevel="0" collapsed="false">
      <c r="A52" s="153" t="s">
        <v>279</v>
      </c>
      <c r="B52" s="24" t="n">
        <f aca="false">SQRT((H54^2+I54^2+J54^2+K54^2+L54^2+M54^2+N54^2+O54^2+P54^2+Q54^2+R54^2+S54^2)/H$27)</f>
        <v>0</v>
      </c>
      <c r="C52" s="87"/>
      <c r="D52" s="87"/>
      <c r="E52" s="87"/>
      <c r="F52" s="87"/>
      <c r="G52" s="153" t="s">
        <v>104</v>
      </c>
      <c r="H52" s="188" t="n">
        <f aca="false">H105</f>
        <v>9.99999980000001E-005</v>
      </c>
      <c r="I52" s="188" t="n">
        <f aca="false">I105</f>
        <v>0.000100000002</v>
      </c>
      <c r="J52" s="188" t="n">
        <f aca="false">J105</f>
        <v>0.000100000002</v>
      </c>
      <c r="K52" s="188" t="n">
        <f aca="false">K105</f>
        <v>9.99999980000001E-005</v>
      </c>
      <c r="L52" s="188" t="n">
        <f aca="false">L105</f>
        <v>0</v>
      </c>
      <c r="M52" s="188" t="n">
        <f aca="false">M105</f>
        <v>0</v>
      </c>
      <c r="N52" s="188" t="n">
        <f aca="false">N105</f>
        <v>0</v>
      </c>
      <c r="O52" s="188" t="n">
        <f aca="false">O105</f>
        <v>0</v>
      </c>
      <c r="P52" s="188" t="n">
        <f aca="false">P105</f>
        <v>0</v>
      </c>
      <c r="Q52" s="188" t="n">
        <f aca="false">Q105</f>
        <v>0</v>
      </c>
      <c r="R52" s="188" t="n">
        <f aca="false">R105</f>
        <v>0</v>
      </c>
      <c r="S52" s="188" t="n">
        <f aca="false">S105</f>
        <v>0</v>
      </c>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5.6" hidden="false" customHeight="false" outlineLevel="0" collapsed="false">
      <c r="A53" s="153" t="s">
        <v>280</v>
      </c>
      <c r="B53" s="24" t="n">
        <f aca="false">SQRT((H55^2+I55^2+J55^2+K55^2+L55^2+M55^2+N55^2+O55^2+P55^2+Q55^2+R55^2+S55^2)/H$27)</f>
        <v>0</v>
      </c>
      <c r="C53" s="87"/>
      <c r="D53" s="87"/>
      <c r="E53" s="87"/>
      <c r="F53" s="87"/>
      <c r="G53" s="134" t="s">
        <v>285</v>
      </c>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5.6" hidden="false" customHeight="false" outlineLevel="0" collapsed="false">
      <c r="A54" s="153" t="s">
        <v>282</v>
      </c>
      <c r="B54" s="24" t="n">
        <f aca="false">SQRT((H56^2+I56^2+J56^2+K56^2+L56^2+M56^2+N56^2+O56^2+P56^2+Q56^2+R56^2+S56^2)/H$27)</f>
        <v>0</v>
      </c>
      <c r="C54" s="87"/>
      <c r="D54" s="87"/>
      <c r="E54" s="87"/>
      <c r="F54" s="87"/>
      <c r="G54" s="153" t="s">
        <v>279</v>
      </c>
      <c r="H54" s="195" t="n">
        <v>0</v>
      </c>
      <c r="I54" s="195" t="n">
        <v>0</v>
      </c>
      <c r="J54" s="195" t="n">
        <v>0</v>
      </c>
      <c r="K54" s="195" t="n">
        <v>0</v>
      </c>
      <c r="L54" s="195" t="n">
        <v>0</v>
      </c>
      <c r="M54" s="195" t="n">
        <v>0</v>
      </c>
      <c r="N54" s="195" t="n">
        <v>0</v>
      </c>
      <c r="O54" s="195" t="n">
        <v>0</v>
      </c>
      <c r="P54" s="195" t="n">
        <v>0</v>
      </c>
      <c r="Q54" s="195" t="n">
        <v>0</v>
      </c>
      <c r="R54" s="195" t="n">
        <v>0</v>
      </c>
      <c r="S54" s="195" t="n">
        <v>0</v>
      </c>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5.6" hidden="false" customHeight="false" outlineLevel="0" collapsed="false">
      <c r="A55" s="153" t="s">
        <v>97</v>
      </c>
      <c r="B55" s="24" t="n">
        <f aca="false">SQRT((H58^2+I58^2+J58^2+K58^2+L58^2+M58^2+N58^2+O58^2+P58^2+Q58^2+R58^2+S58^2+B41^2)/H$27)</f>
        <v>0</v>
      </c>
      <c r="C55" s="0"/>
      <c r="D55" s="0"/>
      <c r="E55" s="0"/>
      <c r="F55" s="0"/>
      <c r="G55" s="153" t="s">
        <v>280</v>
      </c>
      <c r="H55" s="195" t="n">
        <v>0</v>
      </c>
      <c r="I55" s="195" t="n">
        <v>0</v>
      </c>
      <c r="J55" s="195" t="n">
        <v>0</v>
      </c>
      <c r="K55" s="195" t="n">
        <v>0</v>
      </c>
      <c r="L55" s="195" t="n">
        <v>0</v>
      </c>
      <c r="M55" s="195" t="n">
        <v>0</v>
      </c>
      <c r="N55" s="195" t="n">
        <v>0</v>
      </c>
      <c r="O55" s="195" t="n">
        <v>0</v>
      </c>
      <c r="P55" s="195" t="n">
        <v>0</v>
      </c>
      <c r="Q55" s="195" t="n">
        <v>0</v>
      </c>
      <c r="R55" s="195" t="n">
        <v>0</v>
      </c>
      <c r="S55" s="195" t="n">
        <v>0</v>
      </c>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5.6" hidden="false" customHeight="false" outlineLevel="0" collapsed="false">
      <c r="A56" s="153" t="s">
        <v>100</v>
      </c>
      <c r="B56" s="24" t="n">
        <f aca="false">SQRT((H59^2+I59^2+J59^2+K59^2+L59^2+M59^2+N59^2+O59^2+P59^2+Q59^2+R59^2+S59^2+B42^2)/H$27)</f>
        <v>0</v>
      </c>
      <c r="C56" s="0"/>
      <c r="D56" s="205"/>
      <c r="E56" s="205"/>
      <c r="F56" s="205"/>
      <c r="G56" s="153" t="s">
        <v>282</v>
      </c>
      <c r="H56" s="195" t="n">
        <v>0</v>
      </c>
      <c r="I56" s="195" t="n">
        <v>0</v>
      </c>
      <c r="J56" s="195" t="n">
        <v>0</v>
      </c>
      <c r="K56" s="195" t="n">
        <v>0</v>
      </c>
      <c r="L56" s="195" t="n">
        <v>0</v>
      </c>
      <c r="M56" s="195" t="n">
        <v>0</v>
      </c>
      <c r="N56" s="195" t="n">
        <v>0</v>
      </c>
      <c r="O56" s="195" t="n">
        <v>0</v>
      </c>
      <c r="P56" s="195" t="n">
        <v>0</v>
      </c>
      <c r="Q56" s="195" t="n">
        <v>0</v>
      </c>
      <c r="R56" s="195" t="n">
        <v>0</v>
      </c>
      <c r="S56" s="195" t="n">
        <v>0</v>
      </c>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5.6" hidden="false" customHeight="false" outlineLevel="0" collapsed="false">
      <c r="A57" s="153" t="s">
        <v>104</v>
      </c>
      <c r="B57" s="24" t="n">
        <f aca="false">SQRT((H60^2+I60^2+J60^2+K60^2+L60^2+M60^2+N60^2+O60^2+P60^2+Q60^2+R60^2+S60^2+B43^2)/H$27)</f>
        <v>0</v>
      </c>
      <c r="C57" s="0"/>
      <c r="D57" s="131"/>
      <c r="E57" s="131"/>
      <c r="F57" s="131"/>
      <c r="G57" s="134" t="s">
        <v>286</v>
      </c>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5.6" hidden="false" customHeight="false" outlineLevel="0" collapsed="false">
      <c r="A58" s="0"/>
      <c r="B58" s="0"/>
      <c r="C58" s="0"/>
      <c r="D58" s="189"/>
      <c r="E58" s="189"/>
      <c r="F58" s="189"/>
      <c r="G58" s="153" t="s">
        <v>97</v>
      </c>
      <c r="H58" s="188" t="n">
        <f aca="false">H112</f>
        <v>0</v>
      </c>
      <c r="I58" s="188" t="n">
        <f aca="false">I112</f>
        <v>0</v>
      </c>
      <c r="J58" s="188" t="n">
        <f aca="false">J112</f>
        <v>0</v>
      </c>
      <c r="K58" s="188" t="n">
        <f aca="false">K112</f>
        <v>0</v>
      </c>
      <c r="L58" s="188" t="n">
        <f aca="false">L112</f>
        <v>0</v>
      </c>
      <c r="M58" s="188" t="n">
        <f aca="false">M112</f>
        <v>0</v>
      </c>
      <c r="N58" s="188" t="n">
        <f aca="false">N112</f>
        <v>0</v>
      </c>
      <c r="O58" s="188" t="n">
        <f aca="false">O112</f>
        <v>0</v>
      </c>
      <c r="P58" s="188" t="n">
        <f aca="false">P112</f>
        <v>0</v>
      </c>
      <c r="Q58" s="188" t="n">
        <f aca="false">Q112</f>
        <v>0</v>
      </c>
      <c r="R58" s="188" t="n">
        <f aca="false">R112</f>
        <v>0</v>
      </c>
      <c r="S58" s="188" t="n">
        <f aca="false">S112</f>
        <v>0</v>
      </c>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5.6" hidden="false" customHeight="false" outlineLevel="0" collapsed="false">
      <c r="A59" s="0"/>
      <c r="B59" s="0"/>
      <c r="C59" s="0"/>
      <c r="D59" s="189"/>
      <c r="E59" s="189"/>
      <c r="F59" s="189"/>
      <c r="G59" s="153" t="s">
        <v>100</v>
      </c>
      <c r="H59" s="188" t="n">
        <f aca="false">H117</f>
        <v>0</v>
      </c>
      <c r="I59" s="188" t="n">
        <f aca="false">I117</f>
        <v>0</v>
      </c>
      <c r="J59" s="188" t="n">
        <f aca="false">J117</f>
        <v>0</v>
      </c>
      <c r="K59" s="188" t="n">
        <f aca="false">K117</f>
        <v>0</v>
      </c>
      <c r="L59" s="188" t="n">
        <f aca="false">L117</f>
        <v>0</v>
      </c>
      <c r="M59" s="188" t="n">
        <f aca="false">M117</f>
        <v>0</v>
      </c>
      <c r="N59" s="188" t="n">
        <f aca="false">N117</f>
        <v>0</v>
      </c>
      <c r="O59" s="188" t="n">
        <f aca="false">O117</f>
        <v>0</v>
      </c>
      <c r="P59" s="188" t="n">
        <f aca="false">P117</f>
        <v>0</v>
      </c>
      <c r="Q59" s="188" t="n">
        <f aca="false">Q117</f>
        <v>0</v>
      </c>
      <c r="R59" s="188" t="n">
        <f aca="false">R117</f>
        <v>0</v>
      </c>
      <c r="S59" s="188" t="n">
        <f aca="false">S117</f>
        <v>0</v>
      </c>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5.6" hidden="false" customHeight="false" outlineLevel="0" collapsed="false">
      <c r="A60" s="0"/>
      <c r="B60" s="0"/>
      <c r="C60" s="0"/>
      <c r="D60" s="189"/>
      <c r="E60" s="189"/>
      <c r="F60" s="189"/>
      <c r="G60" s="153" t="s">
        <v>104</v>
      </c>
      <c r="H60" s="188" t="n">
        <f aca="false">H122</f>
        <v>0</v>
      </c>
      <c r="I60" s="188" t="n">
        <f aca="false">I122</f>
        <v>0</v>
      </c>
      <c r="J60" s="188" t="n">
        <f aca="false">J122</f>
        <v>0</v>
      </c>
      <c r="K60" s="188" t="n">
        <f aca="false">K122</f>
        <v>0</v>
      </c>
      <c r="L60" s="188" t="n">
        <f aca="false">L122</f>
        <v>0</v>
      </c>
      <c r="M60" s="188" t="n">
        <f aca="false">M122</f>
        <v>0</v>
      </c>
      <c r="N60" s="188" t="n">
        <f aca="false">N122</f>
        <v>0</v>
      </c>
      <c r="O60" s="188" t="n">
        <f aca="false">O122</f>
        <v>0</v>
      </c>
      <c r="P60" s="188" t="n">
        <f aca="false">P122</f>
        <v>0</v>
      </c>
      <c r="Q60" s="188" t="n">
        <f aca="false">Q122</f>
        <v>0</v>
      </c>
      <c r="R60" s="188" t="n">
        <f aca="false">R122</f>
        <v>0</v>
      </c>
      <c r="S60" s="188" t="n">
        <f aca="false">S122</f>
        <v>0</v>
      </c>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5.6" hidden="false" customHeight="false" outlineLevel="0" collapsed="false">
      <c r="A61" s="0"/>
      <c r="B61" s="0"/>
      <c r="C61" s="0"/>
      <c r="D61" s="192"/>
      <c r="E61" s="192"/>
      <c r="F61" s="192"/>
      <c r="G61" s="76"/>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s="131" customFormat="true" ht="15.6" hidden="false" customHeight="false" outlineLevel="0" collapsed="false">
      <c r="D62" s="189"/>
      <c r="E62" s="189"/>
      <c r="F62" s="189"/>
      <c r="G62" s="77"/>
      <c r="H62" s="77"/>
      <c r="I62" s="143"/>
      <c r="J62" s="143"/>
      <c r="K62" s="143"/>
      <c r="L62" s="143"/>
      <c r="M62" s="143"/>
      <c r="N62" s="143"/>
      <c r="O62" s="77"/>
    </row>
    <row r="63" customFormat="false" ht="15.6" hidden="false" customHeight="false" outlineLevel="0" collapsed="false">
      <c r="A63" s="131"/>
      <c r="B63" s="131"/>
      <c r="C63" s="131"/>
      <c r="D63" s="189"/>
      <c r="E63" s="189"/>
      <c r="F63" s="189"/>
      <c r="G63" s="209"/>
      <c r="H63" s="210"/>
      <c r="I63" s="261"/>
      <c r="J63" s="261"/>
      <c r="K63" s="261"/>
      <c r="L63" s="261"/>
      <c r="M63" s="261"/>
      <c r="N63" s="261"/>
      <c r="O63" s="143"/>
      <c r="P63" s="0"/>
      <c r="Q63" s="0"/>
      <c r="R63" s="0"/>
      <c r="S63" s="0"/>
    </row>
    <row r="64" customFormat="false" ht="15.6" hidden="false" customHeight="false" outlineLevel="0" collapsed="false">
      <c r="A64" s="131"/>
      <c r="B64" s="131"/>
      <c r="C64" s="131"/>
      <c r="D64" s="189"/>
      <c r="E64" s="189"/>
      <c r="F64" s="189"/>
      <c r="G64" s="209"/>
      <c r="H64" s="210"/>
      <c r="I64" s="261"/>
      <c r="J64" s="261"/>
      <c r="K64" s="261"/>
      <c r="L64" s="261"/>
      <c r="M64" s="261"/>
      <c r="N64" s="261"/>
      <c r="O64" s="143"/>
      <c r="P64" s="0"/>
      <c r="Q64" s="0"/>
      <c r="R64" s="0"/>
      <c r="S64" s="0"/>
    </row>
    <row r="65" customFormat="false" ht="15.6" hidden="false" customHeight="false" outlineLevel="0" collapsed="false">
      <c r="A65" s="131"/>
      <c r="B65" s="131"/>
      <c r="C65" s="131"/>
      <c r="D65" s="207"/>
      <c r="E65" s="207"/>
      <c r="F65" s="207"/>
      <c r="G65" s="209"/>
      <c r="H65" s="210"/>
      <c r="I65" s="261"/>
      <c r="J65" s="261"/>
      <c r="K65" s="261"/>
      <c r="L65" s="261"/>
      <c r="M65" s="261"/>
      <c r="N65" s="261"/>
      <c r="O65" s="143"/>
      <c r="P65" s="0"/>
      <c r="Q65" s="0"/>
      <c r="R65" s="0"/>
      <c r="S65" s="0"/>
    </row>
    <row r="66" customFormat="false" ht="15.6" hidden="false" customHeight="false" outlineLevel="0" collapsed="false">
      <c r="A66" s="131"/>
      <c r="B66" s="131"/>
      <c r="C66" s="131"/>
      <c r="D66" s="207"/>
      <c r="E66" s="207"/>
      <c r="F66" s="207"/>
      <c r="G66" s="209"/>
      <c r="H66" s="210"/>
      <c r="I66" s="261"/>
      <c r="J66" s="261"/>
      <c r="K66" s="261"/>
      <c r="L66" s="261"/>
      <c r="M66" s="261"/>
      <c r="N66" s="261"/>
      <c r="O66" s="143"/>
      <c r="P66" s="0"/>
      <c r="Q66" s="0"/>
      <c r="R66" s="0"/>
      <c r="S66" s="274" t="n">
        <f aca="false">N63</f>
        <v>0</v>
      </c>
    </row>
    <row r="67" customFormat="false" ht="15.6" hidden="false" customHeight="false" outlineLevel="0" collapsed="false">
      <c r="A67" s="131"/>
      <c r="B67" s="131"/>
      <c r="C67" s="131"/>
      <c r="D67" s="207"/>
      <c r="E67" s="207"/>
      <c r="F67" s="207"/>
      <c r="G67" s="209"/>
      <c r="H67" s="210"/>
      <c r="I67" s="261"/>
      <c r="J67" s="261"/>
      <c r="K67" s="261"/>
      <c r="L67" s="261"/>
      <c r="M67" s="261"/>
      <c r="N67" s="261"/>
      <c r="O67" s="143"/>
      <c r="P67" s="0"/>
      <c r="Q67" s="0"/>
      <c r="R67" s="0"/>
      <c r="S67" s="0"/>
    </row>
    <row r="68" customFormat="false" ht="15.6" hidden="false" customHeight="false" outlineLevel="0" collapsed="false">
      <c r="A68" s="131"/>
      <c r="B68" s="131"/>
      <c r="C68" s="131"/>
      <c r="D68" s="195"/>
      <c r="E68" s="195"/>
      <c r="F68" s="195"/>
      <c r="G68" s="209"/>
      <c r="H68" s="210"/>
      <c r="I68" s="261"/>
      <c r="J68" s="261"/>
      <c r="K68" s="261"/>
      <c r="L68" s="261"/>
      <c r="M68" s="261"/>
      <c r="N68" s="261"/>
      <c r="O68" s="143"/>
      <c r="P68" s="0"/>
      <c r="Q68" s="0"/>
      <c r="R68" s="0"/>
      <c r="S68" s="0"/>
    </row>
    <row r="69" customFormat="false" ht="15.6" hidden="false" customHeight="false" outlineLevel="0" collapsed="false">
      <c r="A69" s="131"/>
      <c r="B69" s="131"/>
      <c r="C69" s="131"/>
      <c r="G69" s="209"/>
      <c r="H69" s="210"/>
      <c r="I69" s="211"/>
      <c r="J69" s="211"/>
      <c r="K69" s="211"/>
      <c r="L69" s="211"/>
      <c r="M69" s="211"/>
      <c r="N69" s="211"/>
      <c r="O69" s="143"/>
      <c r="P69" s="0"/>
      <c r="Q69" s="0"/>
      <c r="R69" s="0"/>
      <c r="S69" s="0"/>
    </row>
    <row r="70" customFormat="false" ht="15.6" hidden="false" customHeight="false" outlineLevel="0" collapsed="false">
      <c r="A70" s="131"/>
      <c r="B70" s="131"/>
      <c r="C70" s="131"/>
      <c r="G70" s="209"/>
      <c r="H70" s="210"/>
      <c r="I70" s="211"/>
      <c r="J70" s="211"/>
      <c r="K70" s="211"/>
      <c r="L70" s="211"/>
      <c r="M70" s="211"/>
      <c r="N70" s="211"/>
      <c r="O70" s="143"/>
      <c r="P70" s="0"/>
      <c r="Q70" s="0"/>
      <c r="R70" s="0"/>
      <c r="S70" s="0"/>
    </row>
    <row r="71" customFormat="false" ht="15.6" hidden="false" customHeight="false" outlineLevel="0" collapsed="false">
      <c r="A71" s="131"/>
      <c r="B71" s="131"/>
      <c r="C71" s="131"/>
      <c r="G71" s="209"/>
      <c r="H71" s="210"/>
      <c r="I71" s="211"/>
      <c r="J71" s="211"/>
      <c r="K71" s="211"/>
      <c r="L71" s="211"/>
      <c r="M71" s="211"/>
      <c r="N71" s="211"/>
      <c r="O71" s="143"/>
      <c r="P71" s="0"/>
      <c r="Q71" s="0"/>
      <c r="R71" s="0"/>
      <c r="S71" s="0"/>
    </row>
    <row r="72" customFormat="false" ht="15.6" hidden="false" customHeight="false" outlineLevel="0" collapsed="false">
      <c r="A72" s="131"/>
      <c r="B72" s="131"/>
      <c r="C72" s="131"/>
      <c r="G72" s="209"/>
      <c r="H72" s="210"/>
      <c r="I72" s="211"/>
      <c r="J72" s="211"/>
      <c r="K72" s="211"/>
      <c r="L72" s="211"/>
      <c r="M72" s="211"/>
      <c r="N72" s="211"/>
      <c r="O72" s="143"/>
      <c r="P72" s="0"/>
      <c r="Q72" s="0"/>
      <c r="R72" s="0"/>
      <c r="S72" s="0"/>
    </row>
    <row r="73" customFormat="false" ht="15.6" hidden="false" customHeight="false" outlineLevel="0" collapsed="false">
      <c r="A73" s="131"/>
      <c r="B73" s="131"/>
      <c r="C73" s="131"/>
      <c r="G73" s="209"/>
      <c r="H73" s="210"/>
      <c r="I73" s="211"/>
      <c r="J73" s="211"/>
      <c r="K73" s="211"/>
      <c r="L73" s="211"/>
      <c r="M73" s="211"/>
      <c r="N73" s="211"/>
      <c r="O73" s="143"/>
      <c r="P73" s="0"/>
      <c r="Q73" s="0"/>
      <c r="R73" s="0"/>
      <c r="S73" s="0"/>
    </row>
    <row r="74" customFormat="false" ht="15.6" hidden="false" customHeight="false" outlineLevel="0" collapsed="false">
      <c r="A74" s="131"/>
      <c r="B74" s="131"/>
      <c r="C74" s="131"/>
      <c r="G74" s="209"/>
      <c r="H74" s="210"/>
      <c r="I74" s="211"/>
      <c r="J74" s="211"/>
      <c r="K74" s="211"/>
      <c r="L74" s="211"/>
      <c r="M74" s="211"/>
      <c r="N74" s="211"/>
      <c r="O74" s="143"/>
      <c r="P74" s="0"/>
      <c r="Q74" s="0"/>
      <c r="R74" s="0"/>
      <c r="S74" s="0"/>
    </row>
    <row r="75" customFormat="false" ht="15.6" hidden="false" customHeight="false" outlineLevel="0" collapsed="false">
      <c r="A75" s="131"/>
      <c r="B75" s="131"/>
      <c r="C75" s="131"/>
      <c r="G75" s="209"/>
      <c r="H75" s="210"/>
      <c r="I75" s="211"/>
      <c r="J75" s="211"/>
      <c r="K75" s="211"/>
      <c r="L75" s="211"/>
      <c r="M75" s="211"/>
      <c r="N75" s="211"/>
      <c r="O75" s="143"/>
      <c r="P75" s="0"/>
      <c r="Q75" s="0"/>
      <c r="R75" s="0"/>
      <c r="S75" s="0"/>
    </row>
    <row r="76" customFormat="false" ht="15.6" hidden="false" customHeight="false" outlineLevel="0" collapsed="false">
      <c r="A76" s="131"/>
      <c r="B76" s="131"/>
      <c r="C76" s="131"/>
      <c r="G76" s="209"/>
      <c r="H76" s="210"/>
      <c r="I76" s="211"/>
      <c r="J76" s="211"/>
      <c r="K76" s="211"/>
      <c r="L76" s="211"/>
      <c r="M76" s="211"/>
      <c r="N76" s="211"/>
      <c r="O76" s="143"/>
      <c r="P76" s="0"/>
      <c r="Q76" s="0"/>
      <c r="R76" s="0"/>
      <c r="S76" s="0"/>
    </row>
    <row r="77" customFormat="false" ht="15.6" hidden="false" customHeight="false" outlineLevel="0" collapsed="false">
      <c r="A77" s="242"/>
      <c r="B77" s="142"/>
      <c r="C77" s="0"/>
      <c r="D77" s="0"/>
      <c r="E77" s="0"/>
      <c r="F77" s="0"/>
      <c r="G77" s="209"/>
      <c r="H77" s="210"/>
      <c r="I77" s="211"/>
      <c r="J77" s="211"/>
      <c r="K77" s="211"/>
      <c r="L77" s="211"/>
      <c r="M77" s="211"/>
      <c r="N77" s="211"/>
      <c r="O77" s="143"/>
      <c r="P77" s="0"/>
      <c r="Q77" s="0"/>
      <c r="R77" s="0"/>
      <c r="S77" s="0"/>
    </row>
    <row r="78" customFormat="false" ht="15.6" hidden="false" customHeight="false" outlineLevel="0" collapsed="false">
      <c r="A78" s="242"/>
      <c r="B78" s="142"/>
      <c r="C78" s="0"/>
      <c r="D78" s="0"/>
      <c r="E78" s="0"/>
      <c r="F78" s="0"/>
      <c r="G78" s="209"/>
      <c r="H78" s="210"/>
      <c r="I78" s="211"/>
      <c r="J78" s="211"/>
      <c r="K78" s="211"/>
      <c r="L78" s="211"/>
      <c r="M78" s="211"/>
      <c r="N78" s="211"/>
      <c r="O78" s="143"/>
      <c r="P78" s="0"/>
      <c r="Q78" s="0"/>
      <c r="R78" s="0"/>
      <c r="S78" s="0"/>
    </row>
    <row r="79" customFormat="false" ht="15.6" hidden="false" customHeight="false" outlineLevel="0" collapsed="false">
      <c r="A79" s="242"/>
      <c r="B79" s="142"/>
      <c r="C79" s="0"/>
      <c r="D79" s="0"/>
      <c r="E79" s="0"/>
      <c r="F79" s="0"/>
      <c r="G79" s="209"/>
      <c r="H79" s="210"/>
      <c r="I79" s="211"/>
      <c r="J79" s="211"/>
      <c r="K79" s="211"/>
      <c r="L79" s="211"/>
      <c r="M79" s="211"/>
      <c r="N79" s="211"/>
      <c r="O79" s="143"/>
      <c r="P79" s="0"/>
      <c r="Q79" s="0"/>
      <c r="R79" s="0"/>
      <c r="S79" s="0"/>
    </row>
    <row r="80" customFormat="false" ht="15.6" hidden="false" customHeight="false" outlineLevel="0" collapsed="false">
      <c r="A80" s="242"/>
      <c r="B80" s="142"/>
      <c r="C80" s="0"/>
      <c r="D80" s="0"/>
      <c r="E80" s="0"/>
      <c r="F80" s="0"/>
      <c r="G80" s="209"/>
      <c r="H80" s="210"/>
      <c r="I80" s="211"/>
      <c r="J80" s="211"/>
      <c r="K80" s="211"/>
      <c r="L80" s="211"/>
      <c r="M80" s="211"/>
      <c r="N80" s="211"/>
      <c r="O80" s="143"/>
      <c r="P80" s="0"/>
      <c r="Q80" s="0"/>
      <c r="R80" s="0"/>
      <c r="S80" s="0"/>
    </row>
    <row r="81" customFormat="false" ht="15.6" hidden="false" customHeight="false" outlineLevel="0" collapsed="false">
      <c r="A81" s="242"/>
      <c r="B81" s="142"/>
      <c r="C81" s="0"/>
      <c r="D81" s="0"/>
      <c r="E81" s="0"/>
      <c r="F81" s="0"/>
      <c r="G81" s="209"/>
      <c r="H81" s="210"/>
      <c r="I81" s="211"/>
      <c r="J81" s="211"/>
      <c r="K81" s="211"/>
      <c r="L81" s="211"/>
      <c r="M81" s="211"/>
      <c r="N81" s="211"/>
      <c r="O81" s="143"/>
      <c r="P81" s="0"/>
      <c r="Q81" s="0"/>
      <c r="R81" s="0"/>
      <c r="S81" s="0"/>
    </row>
    <row r="82" customFormat="false" ht="15.6" hidden="false" customHeight="false" outlineLevel="0" collapsed="false">
      <c r="A82" s="242"/>
      <c r="B82" s="142"/>
      <c r="C82" s="0"/>
      <c r="D82" s="0"/>
      <c r="E82" s="0"/>
      <c r="F82" s="0"/>
      <c r="G82" s="209"/>
      <c r="H82" s="210"/>
      <c r="I82" s="211"/>
      <c r="J82" s="211"/>
      <c r="K82" s="211"/>
      <c r="L82" s="211"/>
      <c r="M82" s="211"/>
      <c r="N82" s="211"/>
      <c r="O82" s="143"/>
      <c r="P82" s="0"/>
      <c r="Q82" s="0"/>
      <c r="R82" s="0"/>
      <c r="S82" s="0"/>
    </row>
    <row r="83" customFormat="false" ht="15.6" hidden="false" customHeight="false" outlineLevel="0" collapsed="false">
      <c r="A83" s="242"/>
      <c r="B83" s="142"/>
      <c r="C83" s="0"/>
      <c r="D83" s="0"/>
      <c r="E83" s="0"/>
      <c r="F83" s="0"/>
      <c r="G83" s="209"/>
      <c r="H83" s="210"/>
      <c r="I83" s="211"/>
      <c r="J83" s="211"/>
      <c r="K83" s="211"/>
      <c r="L83" s="211"/>
      <c r="M83" s="211"/>
      <c r="N83" s="211"/>
      <c r="O83" s="143"/>
      <c r="P83" s="0"/>
      <c r="Q83" s="0"/>
      <c r="R83" s="0"/>
      <c r="S83" s="0"/>
    </row>
    <row r="84" customFormat="false" ht="15.6" hidden="false" customHeight="false" outlineLevel="0" collapsed="false">
      <c r="A84" s="242"/>
      <c r="B84" s="142"/>
      <c r="C84" s="0"/>
      <c r="D84" s="0"/>
      <c r="E84" s="0"/>
      <c r="F84" s="0"/>
      <c r="G84" s="209"/>
      <c r="H84" s="210"/>
      <c r="I84" s="211"/>
      <c r="J84" s="211"/>
      <c r="K84" s="211"/>
      <c r="L84" s="211"/>
      <c r="M84" s="211"/>
      <c r="N84" s="211"/>
      <c r="O84" s="143"/>
      <c r="P84" s="0"/>
      <c r="Q84" s="0"/>
      <c r="R84" s="0"/>
      <c r="S84" s="0"/>
    </row>
    <row r="85" customFormat="false" ht="15.6" hidden="false" customHeight="false" outlineLevel="0" collapsed="false">
      <c r="A85" s="242"/>
      <c r="B85" s="142"/>
      <c r="C85" s="0"/>
      <c r="D85" s="0"/>
      <c r="E85" s="0"/>
      <c r="F85" s="0"/>
      <c r="G85" s="209"/>
      <c r="H85" s="210"/>
      <c r="I85" s="211"/>
      <c r="J85" s="211"/>
      <c r="K85" s="211"/>
      <c r="L85" s="211"/>
      <c r="M85" s="211"/>
      <c r="N85" s="211"/>
      <c r="O85" s="143"/>
      <c r="P85" s="0"/>
      <c r="Q85" s="0"/>
      <c r="R85" s="0"/>
      <c r="S85" s="0"/>
    </row>
    <row r="86" customFormat="false" ht="15.6" hidden="false" customHeight="false" outlineLevel="0" collapsed="false">
      <c r="A86" s="242"/>
      <c r="B86" s="142"/>
      <c r="C86" s="0"/>
      <c r="D86" s="0"/>
      <c r="E86" s="0"/>
      <c r="F86" s="0"/>
      <c r="G86" s="209"/>
      <c r="H86" s="210"/>
      <c r="I86" s="211"/>
      <c r="J86" s="211"/>
      <c r="K86" s="211"/>
      <c r="L86" s="211"/>
      <c r="M86" s="211"/>
      <c r="N86" s="211"/>
      <c r="O86" s="143"/>
      <c r="P86" s="0"/>
      <c r="Q86" s="0"/>
      <c r="R86" s="0"/>
      <c r="S86" s="0"/>
    </row>
    <row r="87" customFormat="false" ht="15.6" hidden="false" customHeight="false" outlineLevel="0" collapsed="false">
      <c r="A87" s="242"/>
      <c r="B87" s="142"/>
      <c r="C87" s="0"/>
      <c r="D87" s="0"/>
      <c r="E87" s="0"/>
      <c r="F87" s="0"/>
      <c r="G87" s="209"/>
      <c r="H87" s="210"/>
      <c r="I87" s="211"/>
      <c r="J87" s="211"/>
      <c r="K87" s="211"/>
      <c r="L87" s="211"/>
      <c r="M87" s="211"/>
      <c r="N87" s="211"/>
      <c r="O87" s="143"/>
      <c r="P87" s="0"/>
      <c r="Q87" s="0"/>
      <c r="R87" s="0"/>
      <c r="S87" s="0"/>
    </row>
    <row r="88" customFormat="false" ht="15.6" hidden="false" customHeight="false" outlineLevel="0" collapsed="false">
      <c r="A88" s="242"/>
      <c r="B88" s="142"/>
      <c r="C88" s="0"/>
      <c r="D88" s="0"/>
      <c r="E88" s="0"/>
      <c r="F88" s="0"/>
      <c r="G88" s="209"/>
      <c r="H88" s="210"/>
      <c r="I88" s="211"/>
      <c r="J88" s="211"/>
      <c r="K88" s="211"/>
      <c r="L88" s="211"/>
      <c r="M88" s="211"/>
      <c r="N88" s="211"/>
      <c r="O88" s="143"/>
      <c r="P88" s="0"/>
      <c r="Q88" s="0"/>
      <c r="R88" s="0"/>
      <c r="S88" s="0"/>
    </row>
    <row r="89" customFormat="false" ht="15.6" hidden="false" customHeight="false" outlineLevel="0" collapsed="false">
      <c r="A89" s="242"/>
      <c r="B89" s="142"/>
      <c r="C89" s="0"/>
      <c r="D89" s="0"/>
      <c r="E89" s="0"/>
      <c r="F89" s="0"/>
      <c r="G89" s="209"/>
      <c r="H89" s="210"/>
      <c r="I89" s="211"/>
      <c r="J89" s="211"/>
      <c r="K89" s="211"/>
      <c r="L89" s="211"/>
      <c r="M89" s="211"/>
      <c r="N89" s="211"/>
      <c r="O89" s="143"/>
      <c r="P89" s="0"/>
      <c r="Q89" s="0"/>
      <c r="R89" s="0"/>
      <c r="S89" s="0"/>
    </row>
    <row r="90" customFormat="false" ht="15.6" hidden="false" customHeight="false" outlineLevel="0" collapsed="false">
      <c r="A90" s="242"/>
      <c r="B90" s="142"/>
      <c r="C90" s="0"/>
      <c r="D90" s="0"/>
      <c r="E90" s="0"/>
      <c r="F90" s="0"/>
      <c r="G90" s="0"/>
      <c r="H90" s="0"/>
      <c r="I90" s="0"/>
      <c r="J90" s="0"/>
      <c r="K90" s="0"/>
      <c r="L90" s="0"/>
      <c r="M90" s="0"/>
      <c r="N90" s="0"/>
      <c r="O90" s="0"/>
      <c r="P90" s="0"/>
      <c r="Q90" s="0"/>
      <c r="R90" s="0"/>
      <c r="S90" s="0"/>
    </row>
    <row r="91" customFormat="false" ht="15.6" hidden="false" customHeight="false" outlineLevel="0" collapsed="false">
      <c r="A91" s="242"/>
      <c r="B91" s="142"/>
      <c r="C91" s="0"/>
      <c r="D91" s="0"/>
      <c r="E91" s="0"/>
      <c r="F91" s="0"/>
      <c r="G91" s="0"/>
      <c r="H91" s="0"/>
      <c r="I91" s="0"/>
      <c r="J91" s="0"/>
      <c r="K91" s="0"/>
      <c r="L91" s="0"/>
      <c r="M91" s="0"/>
      <c r="N91" s="0"/>
      <c r="O91" s="0"/>
      <c r="P91" s="0"/>
      <c r="Q91" s="0"/>
      <c r="R91" s="0"/>
      <c r="S91" s="0"/>
    </row>
    <row r="92" customFormat="false" ht="15.6" hidden="false" customHeight="false" outlineLevel="0" collapsed="false">
      <c r="A92" s="242"/>
      <c r="B92" s="142"/>
      <c r="C92" s="131"/>
      <c r="D92" s="131"/>
      <c r="E92" s="131"/>
      <c r="F92" s="131"/>
      <c r="G92" s="0"/>
      <c r="H92" s="0"/>
      <c r="I92" s="0"/>
      <c r="J92" s="0"/>
      <c r="K92" s="0"/>
      <c r="L92" s="0"/>
      <c r="M92" s="0"/>
      <c r="N92" s="0"/>
      <c r="O92" s="0"/>
      <c r="P92" s="0"/>
      <c r="Q92" s="0"/>
      <c r="R92" s="0"/>
      <c r="S92" s="0"/>
    </row>
    <row r="93" customFormat="false" ht="15.6" hidden="false" customHeight="false" outlineLevel="0" collapsed="false">
      <c r="A93" s="242"/>
      <c r="B93" s="142"/>
      <c r="C93" s="131"/>
      <c r="D93" s="131"/>
      <c r="E93" s="131"/>
      <c r="F93" s="131"/>
      <c r="G93" s="212" t="s">
        <v>289</v>
      </c>
      <c r="H93" s="0"/>
      <c r="I93" s="0"/>
      <c r="J93" s="0"/>
      <c r="K93" s="0"/>
      <c r="L93" s="0"/>
      <c r="M93" s="0"/>
      <c r="N93" s="0"/>
      <c r="O93" s="0"/>
      <c r="P93" s="0"/>
      <c r="Q93" s="0"/>
      <c r="R93" s="0"/>
      <c r="S93" s="0"/>
    </row>
    <row r="94" customFormat="false" ht="15.6" hidden="false" customHeight="false" outlineLevel="0" collapsed="false">
      <c r="A94" s="242"/>
      <c r="B94" s="142"/>
      <c r="C94" s="131"/>
      <c r="D94" s="131"/>
      <c r="E94" s="131"/>
      <c r="F94" s="131"/>
      <c r="G94" s="213"/>
      <c r="H94" s="165" t="s">
        <v>290</v>
      </c>
      <c r="I94" s="0"/>
      <c r="J94" s="0"/>
      <c r="K94" s="0"/>
      <c r="L94" s="0"/>
      <c r="M94" s="0"/>
      <c r="N94" s="0"/>
      <c r="O94" s="0"/>
      <c r="P94" s="0"/>
      <c r="Q94" s="0"/>
      <c r="R94" s="0"/>
      <c r="S94" s="0"/>
    </row>
    <row r="95" customFormat="false" ht="15.6" hidden="false" customHeight="false" outlineLevel="0" collapsed="false">
      <c r="A95" s="242"/>
      <c r="B95" s="142"/>
      <c r="C95" s="131"/>
      <c r="D95" s="131"/>
      <c r="E95" s="131"/>
      <c r="F95" s="131"/>
      <c r="G95" s="165" t="s">
        <v>291</v>
      </c>
      <c r="H95" s="77" t="n">
        <f aca="false">H47/ABS(H32+0.000001)</f>
        <v>9.99999980000001E-005</v>
      </c>
      <c r="I95" s="77" t="n">
        <f aca="false">I47/ABS(I32+0.000001)</f>
        <v>9.99999980000001E-005</v>
      </c>
      <c r="J95" s="77" t="n">
        <f aca="false">J47/ABS(J32+0.000001)</f>
        <v>0.000100000002</v>
      </c>
      <c r="K95" s="77" t="n">
        <f aca="false">K47/ABS(K32+0.000001)</f>
        <v>0.000100000002</v>
      </c>
      <c r="L95" s="77" t="n">
        <f aca="false">L47/ABS(L32+0.000001)</f>
        <v>0</v>
      </c>
      <c r="M95" s="77" t="n">
        <f aca="false">M47/ABS(M32+0.000001)</f>
        <v>0</v>
      </c>
      <c r="N95" s="77" t="n">
        <f aca="false">N47/ABS(N32+0.000001)</f>
        <v>0</v>
      </c>
      <c r="O95" s="77" t="n">
        <f aca="false">O47/ABS(O32+0.000001)</f>
        <v>0</v>
      </c>
      <c r="P95" s="77" t="n">
        <f aca="false">P47/ABS(P32+0.000001)</f>
        <v>0</v>
      </c>
      <c r="Q95" s="77" t="n">
        <f aca="false">Q47/ABS(Q32+0.000001)</f>
        <v>0</v>
      </c>
      <c r="R95" s="77" t="n">
        <f aca="false">R47/ABS(R32+0.000001)</f>
        <v>0</v>
      </c>
      <c r="S95" s="77" t="n">
        <f aca="false">S47/ABS(S32+0.000001)</f>
        <v>0</v>
      </c>
    </row>
    <row r="96" customFormat="false" ht="15.6" hidden="false" customHeight="false" outlineLevel="0" collapsed="false">
      <c r="A96" s="242"/>
      <c r="B96" s="142"/>
      <c r="C96" s="131"/>
      <c r="D96" s="131"/>
      <c r="E96" s="131"/>
      <c r="F96" s="131"/>
      <c r="G96" s="165" t="s">
        <v>291</v>
      </c>
      <c r="H96" s="77" t="n">
        <f aca="false">H48/ABS(H31+0.000001)</f>
        <v>5000</v>
      </c>
      <c r="I96" s="77" t="n">
        <f aca="false">I48/ABS(I31+0.000001)</f>
        <v>5000</v>
      </c>
      <c r="J96" s="77" t="n">
        <f aca="false">J48/ABS(J31+0.000001)</f>
        <v>5000</v>
      </c>
      <c r="K96" s="77" t="n">
        <f aca="false">K48/ABS(K31+0.000001)</f>
        <v>5000</v>
      </c>
      <c r="L96" s="77" t="n">
        <f aca="false">L48/ABS(L31+0.000001)</f>
        <v>0</v>
      </c>
      <c r="M96" s="77" t="n">
        <f aca="false">M48/ABS(M31+0.000001)</f>
        <v>0</v>
      </c>
      <c r="N96" s="77" t="n">
        <f aca="false">N48/ABS(N31+0.000001)</f>
        <v>0</v>
      </c>
      <c r="O96" s="77" t="n">
        <f aca="false">O48/ABS(O31+0.000001)</f>
        <v>0</v>
      </c>
      <c r="P96" s="77" t="n">
        <f aca="false">P48/ABS(P31+0.000001)</f>
        <v>0</v>
      </c>
      <c r="Q96" s="77" t="n">
        <f aca="false">Q48/ABS(Q31+0.000001)</f>
        <v>0</v>
      </c>
      <c r="R96" s="77" t="n">
        <f aca="false">R48/ABS(R31+0.000001)</f>
        <v>0</v>
      </c>
      <c r="S96" s="77" t="n">
        <f aca="false">S48/ABS(S31+0.000001)</f>
        <v>0</v>
      </c>
    </row>
    <row r="97" customFormat="false" ht="15.6" hidden="false" customHeight="false" outlineLevel="0" collapsed="false">
      <c r="A97" s="242"/>
      <c r="B97" s="142"/>
      <c r="C97" s="131"/>
      <c r="D97" s="131"/>
      <c r="E97" s="131"/>
      <c r="F97" s="131"/>
      <c r="G97" s="77" t="s">
        <v>292</v>
      </c>
      <c r="H97" s="161" t="n">
        <f aca="false">IF(MIN(H95,H96)&gt;1,0,MIN(H95,H96))</f>
        <v>9.99999980000001E-005</v>
      </c>
      <c r="I97" s="161" t="n">
        <f aca="false">IF(MIN(I95,I96)&gt;1,0,MIN(I95,I96))</f>
        <v>9.99999980000001E-005</v>
      </c>
      <c r="J97" s="161" t="n">
        <f aca="false">IF(MIN(J95,J96)&gt;1,0,MIN(J95,J96))</f>
        <v>0.000100000002</v>
      </c>
      <c r="K97" s="161" t="n">
        <f aca="false">IF(MIN(K95,K96)&gt;1,0,MIN(K95,K96))</f>
        <v>0.000100000002</v>
      </c>
      <c r="L97" s="161" t="n">
        <f aca="false">IF(MIN(L95,L96)&gt;1,0,MIN(L95,L96))</f>
        <v>0</v>
      </c>
      <c r="M97" s="161" t="n">
        <f aca="false">IF(MIN(M95,M96)&gt;1,0,MIN(M95,M96))</f>
        <v>0</v>
      </c>
      <c r="N97" s="161" t="n">
        <f aca="false">IF(MIN(N95,N96)&gt;1,0,MIN(N95,N96))</f>
        <v>0</v>
      </c>
      <c r="O97" s="161" t="n">
        <f aca="false">IF(MIN(O95,O96)&gt;1,0,MIN(O95,O96))</f>
        <v>0</v>
      </c>
      <c r="P97" s="161" t="n">
        <f aca="false">IF(MIN(P95,P96)&gt;1,0,MIN(P95,P96))</f>
        <v>0</v>
      </c>
      <c r="Q97" s="161" t="n">
        <f aca="false">IF(MIN(Q95,Q96)&gt;1,0,MIN(Q95,Q96))</f>
        <v>0</v>
      </c>
      <c r="R97" s="161" t="n">
        <f aca="false">IF(MIN(R95,R96)&gt;1,0,MIN(R95,R96))</f>
        <v>0</v>
      </c>
      <c r="S97" s="161" t="n">
        <f aca="false">IF(MIN(S95,S96)&gt;1,0,MIN(S95,S96))</f>
        <v>0</v>
      </c>
    </row>
    <row r="98" customFormat="false" ht="15.6" hidden="false" customHeight="false" outlineLevel="0" collapsed="false">
      <c r="A98" s="242"/>
      <c r="B98" s="142"/>
      <c r="C98" s="131"/>
      <c r="D98" s="131"/>
      <c r="E98" s="131"/>
      <c r="F98" s="131"/>
      <c r="G98" s="0"/>
      <c r="H98" s="165" t="s">
        <v>293</v>
      </c>
      <c r="I98" s="165"/>
      <c r="J98" s="165"/>
      <c r="K98" s="165"/>
      <c r="L98" s="165"/>
      <c r="M98" s="165"/>
      <c r="N98" s="165"/>
      <c r="O98" s="165"/>
      <c r="P98" s="165"/>
      <c r="Q98" s="165"/>
      <c r="R98" s="165"/>
      <c r="S98" s="165"/>
    </row>
    <row r="99" customFormat="false" ht="15.6" hidden="false" customHeight="false" outlineLevel="0" collapsed="false">
      <c r="A99" s="242"/>
      <c r="B99" s="142"/>
      <c r="C99" s="131"/>
      <c r="D99" s="131"/>
      <c r="E99" s="131"/>
      <c r="F99" s="131"/>
      <c r="G99" s="214" t="s">
        <v>291</v>
      </c>
      <c r="H99" s="131" t="n">
        <f aca="false">H48/ABS(H30+0.000001)</f>
        <v>9.99999980000001E-005</v>
      </c>
      <c r="I99" s="131" t="n">
        <f aca="false">I48/ABS(I30+0.000001)</f>
        <v>0.000100000002</v>
      </c>
      <c r="J99" s="131" t="n">
        <f aca="false">J48/ABS(J30+0.000001)</f>
        <v>0.000100000002</v>
      </c>
      <c r="K99" s="131" t="n">
        <f aca="false">K48/ABS(K30+0.000001)</f>
        <v>9.99999980000001E-005</v>
      </c>
      <c r="L99" s="131" t="n">
        <f aca="false">L48/ABS(L30+0.000001)</f>
        <v>0</v>
      </c>
      <c r="M99" s="131" t="n">
        <f aca="false">M48/ABS(M30+0.000001)</f>
        <v>0</v>
      </c>
      <c r="N99" s="131" t="n">
        <f aca="false">N48/ABS(N30+0.000001)</f>
        <v>0</v>
      </c>
      <c r="O99" s="131" t="n">
        <f aca="false">O48/ABS(O30+0.000001)</f>
        <v>0</v>
      </c>
      <c r="P99" s="131" t="n">
        <f aca="false">P48/ABS(P30+0.000001)</f>
        <v>0</v>
      </c>
      <c r="Q99" s="131" t="n">
        <f aca="false">Q48/ABS(Q30+0.000001)</f>
        <v>0</v>
      </c>
      <c r="R99" s="131" t="n">
        <f aca="false">R48/ABS(R30+0.000001)</f>
        <v>0</v>
      </c>
      <c r="S99" s="131" t="n">
        <f aca="false">S48/ABS(S30+0.000001)</f>
        <v>0</v>
      </c>
    </row>
    <row r="100" customFormat="false" ht="15.6" hidden="false" customHeight="false" outlineLevel="0" collapsed="false">
      <c r="A100" s="242"/>
      <c r="B100" s="142"/>
      <c r="C100" s="131"/>
      <c r="D100" s="131"/>
      <c r="E100" s="131"/>
      <c r="F100" s="131"/>
      <c r="G100" s="214" t="s">
        <v>291</v>
      </c>
      <c r="H100" s="215" t="n">
        <f aca="false">H46/ABS(H32+0.000001)</f>
        <v>9.99999980000001E-005</v>
      </c>
      <c r="I100" s="215" t="n">
        <f aca="false">I46/ABS(I32+0.000001)</f>
        <v>9.99999980000001E-005</v>
      </c>
      <c r="J100" s="215" t="n">
        <f aca="false">J46/ABS(J32+0.000001)</f>
        <v>0.000100000002</v>
      </c>
      <c r="K100" s="215" t="n">
        <f aca="false">K46/ABS(K32+0.000001)</f>
        <v>0.000100000002</v>
      </c>
      <c r="L100" s="215" t="n">
        <f aca="false">L46/ABS(L32+0.000001)</f>
        <v>0</v>
      </c>
      <c r="M100" s="215" t="n">
        <f aca="false">M46/ABS(M32+0.000001)</f>
        <v>0</v>
      </c>
      <c r="N100" s="215" t="n">
        <f aca="false">N46/ABS(N32+0.000001)</f>
        <v>0</v>
      </c>
      <c r="O100" s="215" t="n">
        <f aca="false">O46/ABS(O32+0.000001)</f>
        <v>0</v>
      </c>
      <c r="P100" s="215" t="n">
        <f aca="false">P46/ABS(P32+0.000001)</f>
        <v>0</v>
      </c>
      <c r="Q100" s="215" t="n">
        <f aca="false">Q46/ABS(Q32+0.000001)</f>
        <v>0</v>
      </c>
      <c r="R100" s="215" t="n">
        <f aca="false">R46/ABS(R32+0.000001)</f>
        <v>0</v>
      </c>
      <c r="S100" s="215" t="n">
        <f aca="false">S46/ABS(S32+0.000001)</f>
        <v>0</v>
      </c>
    </row>
    <row r="101" customFormat="false" ht="15.6" hidden="false" customHeight="false" outlineLevel="0" collapsed="false">
      <c r="A101" s="242"/>
      <c r="B101" s="142"/>
      <c r="C101" s="131"/>
      <c r="D101" s="131"/>
      <c r="E101" s="131"/>
      <c r="F101" s="131"/>
      <c r="G101" s="77" t="s">
        <v>292</v>
      </c>
      <c r="H101" s="161" t="n">
        <f aca="false">IF(MIN(H99,H100)&gt;1,0,MIN(H99,H100))</f>
        <v>9.99999980000001E-005</v>
      </c>
      <c r="I101" s="161" t="n">
        <f aca="false">IF(MIN(I99,I100)&gt;1,0,MIN(I99,I100))</f>
        <v>9.99999980000001E-005</v>
      </c>
      <c r="J101" s="161" t="n">
        <f aca="false">IF(MIN(J99,J100)&gt;1,0,MIN(J99,J100))</f>
        <v>0.000100000002</v>
      </c>
      <c r="K101" s="161" t="n">
        <f aca="false">IF(MIN(K99,K100)&gt;1,0,MIN(K99,K100))</f>
        <v>9.99999980000001E-005</v>
      </c>
      <c r="L101" s="161" t="n">
        <f aca="false">IF(MIN(L99,L100)&gt;1,0,MIN(L99,L100))</f>
        <v>0</v>
      </c>
      <c r="M101" s="161" t="n">
        <f aca="false">IF(MIN(M99,M100)&gt;1,0,MIN(M99,M100))</f>
        <v>0</v>
      </c>
      <c r="N101" s="161" t="n">
        <f aca="false">IF(MIN(N99,N100)&gt;1,0,MIN(N99,N100))</f>
        <v>0</v>
      </c>
      <c r="O101" s="161" t="n">
        <f aca="false">IF(MIN(O99,O100)&gt;1,0,MIN(O99,O100))</f>
        <v>0</v>
      </c>
      <c r="P101" s="161" t="n">
        <f aca="false">IF(MIN(P99,P100)&gt;1,0,MIN(P99,P100))</f>
        <v>0</v>
      </c>
      <c r="Q101" s="161" t="n">
        <f aca="false">IF(MIN(Q99,Q100)&gt;1,0,MIN(Q99,Q100))</f>
        <v>0</v>
      </c>
      <c r="R101" s="161" t="n">
        <f aca="false">IF(MIN(R99,R100)&gt;1,0,MIN(R99,R100))</f>
        <v>0</v>
      </c>
      <c r="S101" s="161" t="n">
        <f aca="false">IF(MIN(S99,S100)&gt;1,0,MIN(S99,S100))</f>
        <v>0</v>
      </c>
    </row>
    <row r="102" customFormat="false" ht="15.6" hidden="false" customHeight="false" outlineLevel="0" collapsed="false">
      <c r="A102" s="242"/>
      <c r="B102" s="142"/>
      <c r="C102" s="131"/>
      <c r="D102" s="131"/>
      <c r="E102" s="131"/>
      <c r="F102" s="131"/>
      <c r="G102" s="0"/>
      <c r="H102" s="77" t="s">
        <v>294</v>
      </c>
      <c r="I102" s="0"/>
      <c r="J102" s="0"/>
      <c r="K102" s="0"/>
      <c r="L102" s="0"/>
      <c r="M102" s="0"/>
      <c r="N102" s="0"/>
      <c r="O102" s="0"/>
      <c r="P102" s="0"/>
      <c r="Q102" s="0"/>
      <c r="R102" s="0"/>
      <c r="S102" s="0"/>
    </row>
    <row r="103" customFormat="false" ht="15.6" hidden="false" customHeight="false" outlineLevel="0" collapsed="false">
      <c r="A103" s="242"/>
      <c r="B103" s="142"/>
      <c r="C103" s="131"/>
      <c r="D103" s="131"/>
      <c r="E103" s="131"/>
      <c r="F103" s="131"/>
      <c r="G103" s="165" t="s">
        <v>291</v>
      </c>
      <c r="H103" s="77" t="n">
        <f aca="false">H47/ABS(H30+0.000001)</f>
        <v>9.99999980000001E-005</v>
      </c>
      <c r="I103" s="77" t="n">
        <f aca="false">I47/ABS(I30+0.000001)</f>
        <v>0.000100000002</v>
      </c>
      <c r="J103" s="77" t="n">
        <f aca="false">J47/ABS(J30+0.000001)</f>
        <v>0.000100000002</v>
      </c>
      <c r="K103" s="77" t="n">
        <f aca="false">K47/ABS(K30+0.000001)</f>
        <v>9.99999980000001E-005</v>
      </c>
      <c r="L103" s="77" t="n">
        <f aca="false">L47/ABS(L30+0.000001)</f>
        <v>0</v>
      </c>
      <c r="M103" s="77" t="n">
        <f aca="false">M47/ABS(M30+0.000001)</f>
        <v>0</v>
      </c>
      <c r="N103" s="77" t="n">
        <f aca="false">N47/ABS(N30+0.000001)</f>
        <v>0</v>
      </c>
      <c r="O103" s="77" t="n">
        <f aca="false">O47/ABS(O30+0.000001)</f>
        <v>0</v>
      </c>
      <c r="P103" s="77" t="n">
        <f aca="false">P47/ABS(P30+0.000001)</f>
        <v>0</v>
      </c>
      <c r="Q103" s="77" t="n">
        <f aca="false">Q47/ABS(Q30+0.000001)</f>
        <v>0</v>
      </c>
      <c r="R103" s="77" t="n">
        <f aca="false">R47/ABS(R30+0.000001)</f>
        <v>0</v>
      </c>
      <c r="S103" s="77" t="n">
        <f aca="false">S47/ABS(S30+0.000001)</f>
        <v>0</v>
      </c>
    </row>
    <row r="104" customFormat="false" ht="15.6" hidden="false" customHeight="false" outlineLevel="0" collapsed="false">
      <c r="A104" s="242"/>
      <c r="B104" s="142"/>
      <c r="C104" s="131"/>
      <c r="D104" s="131"/>
      <c r="E104" s="131"/>
      <c r="F104" s="131"/>
      <c r="G104" s="165" t="s">
        <v>291</v>
      </c>
      <c r="H104" s="77" t="n">
        <f aca="false">H46/ABS(H31+0.000001)</f>
        <v>5000</v>
      </c>
      <c r="I104" s="77" t="n">
        <f aca="false">I46/ABS(I31+0.000001)</f>
        <v>5000</v>
      </c>
      <c r="J104" s="77" t="n">
        <f aca="false">J46/ABS(J31+0.000001)</f>
        <v>5000</v>
      </c>
      <c r="K104" s="77" t="n">
        <f aca="false">K46/ABS(K31+0.000001)</f>
        <v>5000</v>
      </c>
      <c r="L104" s="77" t="n">
        <f aca="false">L46/ABS(L31+0.000001)</f>
        <v>0</v>
      </c>
      <c r="M104" s="77" t="n">
        <f aca="false">M46/ABS(M31+0.000001)</f>
        <v>0</v>
      </c>
      <c r="N104" s="77" t="n">
        <f aca="false">N46/ABS(N31+0.000001)</f>
        <v>0</v>
      </c>
      <c r="O104" s="77" t="n">
        <f aca="false">O46/ABS(O31+0.000001)</f>
        <v>0</v>
      </c>
      <c r="P104" s="77" t="n">
        <f aca="false">P46/ABS(P31+0.000001)</f>
        <v>0</v>
      </c>
      <c r="Q104" s="77" t="n">
        <f aca="false">Q46/ABS(Q31+0.000001)</f>
        <v>0</v>
      </c>
      <c r="R104" s="77" t="n">
        <f aca="false">R46/ABS(R31+0.000001)</f>
        <v>0</v>
      </c>
      <c r="S104" s="77" t="n">
        <f aca="false">S46/ABS(S31+0.000001)</f>
        <v>0</v>
      </c>
    </row>
    <row r="105" customFormat="false" ht="15.6" hidden="false" customHeight="false" outlineLevel="0" collapsed="false">
      <c r="A105" s="242"/>
      <c r="B105" s="142"/>
      <c r="C105" s="131"/>
      <c r="D105" s="131"/>
      <c r="E105" s="131"/>
      <c r="F105" s="131"/>
      <c r="G105" s="77" t="s">
        <v>292</v>
      </c>
      <c r="H105" s="161" t="n">
        <f aca="false">IF(MIN(H103,H104)&gt;1,0,MIN(H103,H104))</f>
        <v>9.99999980000001E-005</v>
      </c>
      <c r="I105" s="161" t="n">
        <f aca="false">IF(MIN(I103,I104)&gt;1,0,MIN(I103,I104))</f>
        <v>0.000100000002</v>
      </c>
      <c r="J105" s="161" t="n">
        <f aca="false">IF(MIN(J103,J104)&gt;1,0,MIN(J103,J104))</f>
        <v>0.000100000002</v>
      </c>
      <c r="K105" s="161" t="n">
        <f aca="false">IF(MIN(K103,K104)&gt;1,0,MIN(K103,K104))</f>
        <v>9.99999980000001E-005</v>
      </c>
      <c r="L105" s="161" t="n">
        <f aca="false">IF(MIN(L103,L104)&gt;1,0,MIN(L103,L104))</f>
        <v>0</v>
      </c>
      <c r="M105" s="161" t="n">
        <f aca="false">IF(MIN(M103,M104)&gt;1,0,MIN(M103,M104))</f>
        <v>0</v>
      </c>
      <c r="N105" s="161" t="n">
        <f aca="false">IF(MIN(N103,N104)&gt;1,0,MIN(N103,N104))</f>
        <v>0</v>
      </c>
      <c r="O105" s="161" t="n">
        <f aca="false">IF(MIN(O103,O104)&gt;1,0,MIN(O103,O104))</f>
        <v>0</v>
      </c>
      <c r="P105" s="161" t="n">
        <f aca="false">IF(MIN(P103,P104)&gt;1,0,MIN(P103,P104))</f>
        <v>0</v>
      </c>
      <c r="Q105" s="161" t="n">
        <f aca="false">IF(MIN(Q103,Q104)&gt;1,0,MIN(Q103,Q104))</f>
        <v>0</v>
      </c>
      <c r="R105" s="161" t="n">
        <f aca="false">IF(MIN(R103,R104)&gt;1,0,MIN(R103,R104))</f>
        <v>0</v>
      </c>
      <c r="S105" s="161" t="n">
        <f aca="false">IF(MIN(S103,S104)&gt;1,0,MIN(S103,S104))</f>
        <v>0</v>
      </c>
    </row>
    <row r="106" customFormat="false" ht="15.6" hidden="false" customHeight="false" outlineLevel="0" collapsed="false">
      <c r="A106" s="242"/>
      <c r="B106" s="142"/>
      <c r="C106" s="131"/>
      <c r="D106" s="131"/>
      <c r="E106" s="131"/>
      <c r="F106" s="131"/>
      <c r="G106" s="0"/>
      <c r="H106" s="0"/>
      <c r="I106" s="0"/>
      <c r="J106" s="0"/>
      <c r="K106" s="0"/>
      <c r="L106" s="0"/>
      <c r="M106" s="0"/>
      <c r="N106" s="0"/>
      <c r="O106" s="0"/>
      <c r="P106" s="0"/>
      <c r="Q106" s="0"/>
      <c r="R106" s="0"/>
      <c r="S106" s="0"/>
    </row>
    <row r="107" customFormat="false" ht="15.6" hidden="false" customHeight="false" outlineLevel="0" collapsed="false">
      <c r="G107" s="212" t="s">
        <v>295</v>
      </c>
      <c r="H107" s="212"/>
      <c r="I107" s="212"/>
      <c r="J107" s="212"/>
      <c r="K107" s="212"/>
      <c r="L107" s="212"/>
      <c r="M107" s="212"/>
      <c r="N107" s="212"/>
      <c r="O107" s="212"/>
      <c r="P107" s="212"/>
      <c r="Q107" s="0"/>
      <c r="R107" s="0"/>
      <c r="S107" s="0"/>
    </row>
    <row r="108" customFormat="false" ht="15.6" hidden="false" customHeight="false" outlineLevel="0" collapsed="false">
      <c r="G108" s="0"/>
      <c r="H108" s="153" t="s">
        <v>296</v>
      </c>
      <c r="I108" s="153"/>
      <c r="J108" s="153"/>
      <c r="K108" s="153"/>
      <c r="L108" s="153"/>
      <c r="M108" s="153"/>
      <c r="N108" s="153"/>
      <c r="O108" s="153"/>
      <c r="P108" s="153"/>
      <c r="Q108" s="153"/>
      <c r="R108" s="153"/>
      <c r="S108" s="153"/>
    </row>
    <row r="109" customFormat="false" ht="15.6" hidden="false" customHeight="false" outlineLevel="0" collapsed="false">
      <c r="G109" s="165" t="s">
        <v>291</v>
      </c>
      <c r="H109" s="161" t="n">
        <f aca="false">H55/(H32+0.000001)</f>
        <v>0</v>
      </c>
      <c r="I109" s="161" t="n">
        <f aca="false">I55/(I32+0.000001)</f>
        <v>0</v>
      </c>
      <c r="J109" s="161" t="n">
        <f aca="false">J55/(J32+0.000001)</f>
        <v>-0</v>
      </c>
      <c r="K109" s="161" t="n">
        <f aca="false">K55/(K32+0.000001)</f>
        <v>-0</v>
      </c>
      <c r="L109" s="161" t="n">
        <f aca="false">L55/(L32+0.000001)</f>
        <v>0</v>
      </c>
      <c r="M109" s="161" t="n">
        <f aca="false">M55/(M32+0.000001)</f>
        <v>0</v>
      </c>
      <c r="N109" s="161" t="n">
        <f aca="false">N55/(N32+0.000001)</f>
        <v>0</v>
      </c>
      <c r="O109" s="161" t="n">
        <f aca="false">O55/(O32+0.000001)</f>
        <v>0</v>
      </c>
      <c r="P109" s="161" t="n">
        <f aca="false">P55/(P32+0.000001)</f>
        <v>0</v>
      </c>
      <c r="Q109" s="161" t="n">
        <f aca="false">Q55/(Q32+0.000001)</f>
        <v>0</v>
      </c>
      <c r="R109" s="161" t="n">
        <f aca="false">R55/(R32+0.000001)</f>
        <v>0</v>
      </c>
      <c r="S109" s="161" t="n">
        <f aca="false">S55/(S32+0.000001)</f>
        <v>0</v>
      </c>
    </row>
    <row r="110" customFormat="false" ht="15.6" hidden="false" customHeight="false" outlineLevel="0" collapsed="false">
      <c r="G110" s="165" t="s">
        <v>291</v>
      </c>
      <c r="H110" s="216" t="n">
        <f aca="false">H56/(H31+0.000001)</f>
        <v>0</v>
      </c>
      <c r="I110" s="216" t="n">
        <f aca="false">I56/(I31+0.000001)</f>
        <v>0</v>
      </c>
      <c r="J110" s="216" t="n">
        <f aca="false">J56/(J31+0.000001)</f>
        <v>0</v>
      </c>
      <c r="K110" s="216" t="n">
        <f aca="false">K56/(K31+0.000001)</f>
        <v>0</v>
      </c>
      <c r="L110" s="216" t="n">
        <f aca="false">L56/(L31+0.000001)</f>
        <v>0</v>
      </c>
      <c r="M110" s="216" t="n">
        <f aca="false">M56/(M31+0.000001)</f>
        <v>0</v>
      </c>
      <c r="N110" s="216" t="n">
        <f aca="false">N56/(N31+0.000001)</f>
        <v>0</v>
      </c>
      <c r="O110" s="216" t="n">
        <f aca="false">O56/(O31+0.000001)</f>
        <v>0</v>
      </c>
      <c r="P110" s="216" t="n">
        <f aca="false">P56/(P31+0.000001)</f>
        <v>0</v>
      </c>
      <c r="Q110" s="216" t="n">
        <f aca="false">Q56/(Q31+0.000001)</f>
        <v>0</v>
      </c>
      <c r="R110" s="216" t="n">
        <f aca="false">R56/(R31+0.000001)</f>
        <v>0</v>
      </c>
      <c r="S110" s="216" t="n">
        <f aca="false">S56/(S31+0.000001)</f>
        <v>0</v>
      </c>
    </row>
    <row r="111" customFormat="false" ht="15.6" hidden="false" customHeight="false" outlineLevel="0" collapsed="false">
      <c r="G111" s="77" t="s">
        <v>297</v>
      </c>
      <c r="H111" s="217" t="n">
        <f aca="false">SIGN(H109+0.000000000001)*SIGN(H110+0.000000000001)</f>
        <v>1</v>
      </c>
      <c r="I111" s="217" t="n">
        <f aca="false">SIGN(I109+0.000000000001)*SIGN(I110+0.000000000001)</f>
        <v>1</v>
      </c>
      <c r="J111" s="217" t="n">
        <f aca="false">SIGN(J109+0.000000000001)*SIGN(J110+0.000000000001)</f>
        <v>1</v>
      </c>
      <c r="K111" s="217" t="n">
        <f aca="false">SIGN(K109+0.000000000001)*SIGN(K110+0.000000000001)</f>
        <v>1</v>
      </c>
      <c r="L111" s="217" t="n">
        <f aca="false">SIGN(L109+0.000000000001)*SIGN(L110+0.000000000001)</f>
        <v>1</v>
      </c>
      <c r="M111" s="217" t="n">
        <f aca="false">SIGN(M109+0.000000000001)*SIGN(M110+0.000000000001)</f>
        <v>1</v>
      </c>
      <c r="N111" s="217" t="n">
        <f aca="false">SIGN(N109+0.000000000001)*SIGN(N110+0.000000000001)</f>
        <v>1</v>
      </c>
      <c r="O111" s="217" t="n">
        <f aca="false">SIGN(O109+0.000000000001)*SIGN(O110+0.000000000001)</f>
        <v>1</v>
      </c>
      <c r="P111" s="217" t="n">
        <f aca="false">SIGN(P109+0.000000000001)*SIGN(P110+0.000000000001)</f>
        <v>1</v>
      </c>
      <c r="Q111" s="217" t="n">
        <f aca="false">SIGN(Q109+0.000000000001)*SIGN(Q110+0.000000000001)</f>
        <v>1</v>
      </c>
      <c r="R111" s="217" t="n">
        <f aca="false">SIGN(R109+0.000000000001)*SIGN(R110+0.000000000001)</f>
        <v>1</v>
      </c>
      <c r="S111" s="217" t="n">
        <f aca="false">SIGN(S109+0.000000000001)*SIGN(S110+0.000000000001)</f>
        <v>1</v>
      </c>
    </row>
    <row r="112" customFormat="false" ht="15.6" hidden="false" customHeight="false" outlineLevel="0" collapsed="false">
      <c r="G112" s="77" t="s">
        <v>292</v>
      </c>
      <c r="H112" s="161" t="n">
        <f aca="false">IF(H111*MIN(ABS(H109),ABS(H110))&gt;1,0,H111*MIN(ABS(H109),ABS(H110)))</f>
        <v>0</v>
      </c>
      <c r="I112" s="161" t="n">
        <f aca="false">IF(I111*MIN(ABS(I109),ABS(I110))&gt;1,0,I111*MIN(ABS(I109),ABS(I110)))</f>
        <v>0</v>
      </c>
      <c r="J112" s="161" t="n">
        <f aca="false">IF(J111*MIN(ABS(J109),ABS(J110))&gt;1,0,J111*MIN(ABS(J109),ABS(J110)))</f>
        <v>0</v>
      </c>
      <c r="K112" s="161" t="n">
        <f aca="false">IF(K111*MIN(ABS(K109),ABS(K110))&gt;1,0,K111*MIN(ABS(K109),ABS(K110)))</f>
        <v>0</v>
      </c>
      <c r="L112" s="161" t="n">
        <f aca="false">IF(L111*MIN(ABS(L109),ABS(L110))&gt;1,0,L111*MIN(ABS(L109),ABS(L110)))</f>
        <v>0</v>
      </c>
      <c r="M112" s="161" t="n">
        <f aca="false">IF(M111*MIN(ABS(M109),ABS(M110))&gt;1,0,M111*MIN(ABS(M109),ABS(M110)))</f>
        <v>0</v>
      </c>
      <c r="N112" s="161" t="n">
        <f aca="false">IF(N111*MIN(ABS(N109),ABS(N110))&gt;1,0,N111*MIN(ABS(N109),ABS(N110)))</f>
        <v>0</v>
      </c>
      <c r="O112" s="161" t="n">
        <f aca="false">IF(O111*MIN(ABS(O109),ABS(O110))&gt;1,0,O111*MIN(ABS(O109),ABS(O110)))</f>
        <v>0</v>
      </c>
      <c r="P112" s="161" t="n">
        <f aca="false">IF(P111*MIN(ABS(P109),ABS(P110))&gt;1,0,P111*MIN(ABS(P109),ABS(P110)))</f>
        <v>0</v>
      </c>
      <c r="Q112" s="161" t="n">
        <f aca="false">IF(Q111*MIN(ABS(Q109),ABS(Q110))&gt;1,0,Q111*MIN(ABS(Q109),ABS(Q110)))</f>
        <v>0</v>
      </c>
      <c r="R112" s="161" t="n">
        <f aca="false">IF(R111*MIN(ABS(R109),ABS(R110))&gt;1,0,R111*MIN(ABS(R109),ABS(R110)))</f>
        <v>0</v>
      </c>
      <c r="S112" s="161" t="n">
        <f aca="false">IF(S111*MIN(ABS(S109),ABS(S110))&gt;1,0,S111*MIN(ABS(S109),ABS(S110)))</f>
        <v>0</v>
      </c>
    </row>
    <row r="113" customFormat="false" ht="15.6" hidden="false" customHeight="false" outlineLevel="0" collapsed="false">
      <c r="G113" s="0"/>
      <c r="H113" s="153" t="s">
        <v>298</v>
      </c>
      <c r="I113" s="153"/>
      <c r="J113" s="153"/>
      <c r="K113" s="153"/>
      <c r="L113" s="153"/>
      <c r="M113" s="153"/>
      <c r="N113" s="153"/>
      <c r="O113" s="153"/>
      <c r="P113" s="153"/>
      <c r="Q113" s="153"/>
      <c r="R113" s="153"/>
      <c r="S113" s="153"/>
    </row>
    <row r="114" customFormat="false" ht="15.6" hidden="false" customHeight="false" outlineLevel="0" collapsed="false">
      <c r="G114" s="214" t="s">
        <v>291</v>
      </c>
      <c r="H114" s="131" t="n">
        <f aca="false">-H56/(H30+0.000001)</f>
        <v>-0</v>
      </c>
      <c r="I114" s="131" t="n">
        <f aca="false">-I56/(I30+0.000001)</f>
        <v>0</v>
      </c>
      <c r="J114" s="131" t="n">
        <f aca="false">-J56/(J30+0.000001)</f>
        <v>0</v>
      </c>
      <c r="K114" s="131" t="n">
        <f aca="false">-K56/(K30+0.000001)</f>
        <v>-0</v>
      </c>
      <c r="L114" s="131" t="n">
        <f aca="false">-L56/(L30+0.000001)</f>
        <v>-0</v>
      </c>
      <c r="M114" s="131" t="n">
        <f aca="false">-M56/(M30+0.000001)</f>
        <v>-0</v>
      </c>
      <c r="N114" s="131" t="n">
        <f aca="false">-N56/(N30+0.000001)</f>
        <v>-0</v>
      </c>
      <c r="O114" s="131" t="n">
        <f aca="false">-O56/(O30+0.000001)</f>
        <v>-0</v>
      </c>
      <c r="P114" s="131" t="n">
        <f aca="false">-P56/(P30+0.000001)</f>
        <v>-0</v>
      </c>
      <c r="Q114" s="131" t="n">
        <f aca="false">-Q56/(Q30+0.000001)</f>
        <v>-0</v>
      </c>
      <c r="R114" s="131" t="n">
        <f aca="false">-R56/(R30+0.000001)</f>
        <v>-0</v>
      </c>
      <c r="S114" s="131" t="n">
        <f aca="false">-S56/(S30+0.000001)</f>
        <v>-0</v>
      </c>
    </row>
    <row r="115" customFormat="false" ht="15.6" hidden="false" customHeight="false" outlineLevel="0" collapsed="false">
      <c r="G115" s="214" t="s">
        <v>291</v>
      </c>
      <c r="H115" s="131" t="n">
        <f aca="false">H54/(H32+0.000001)</f>
        <v>0</v>
      </c>
      <c r="I115" s="131" t="n">
        <f aca="false">I54/(I32+0.000001)</f>
        <v>0</v>
      </c>
      <c r="J115" s="131" t="n">
        <f aca="false">J54/(J32+0.000001)</f>
        <v>-0</v>
      </c>
      <c r="K115" s="131" t="n">
        <f aca="false">K54/(K32+0.000001)</f>
        <v>-0</v>
      </c>
      <c r="L115" s="131" t="n">
        <f aca="false">L54/(L32+0.000001)</f>
        <v>0</v>
      </c>
      <c r="M115" s="131" t="n">
        <f aca="false">M54/(M32+0.000001)</f>
        <v>0</v>
      </c>
      <c r="N115" s="131" t="n">
        <f aca="false">N54/(N32+0.000001)</f>
        <v>0</v>
      </c>
      <c r="O115" s="131" t="n">
        <f aca="false">O54/(O32+0.000001)</f>
        <v>0</v>
      </c>
      <c r="P115" s="131" t="n">
        <f aca="false">P54/(P32+0.000001)</f>
        <v>0</v>
      </c>
      <c r="Q115" s="131" t="n">
        <f aca="false">Q54/(Q32+0.000001)</f>
        <v>0</v>
      </c>
      <c r="R115" s="131" t="n">
        <f aca="false">R54/(R32+0.000001)</f>
        <v>0</v>
      </c>
      <c r="S115" s="131" t="n">
        <f aca="false">S54/(S32+0.000001)</f>
        <v>0</v>
      </c>
    </row>
    <row r="116" customFormat="false" ht="15.6" hidden="false" customHeight="false" outlineLevel="0" collapsed="false">
      <c r="G116" s="131" t="s">
        <v>297</v>
      </c>
      <c r="H116" s="218" t="n">
        <f aca="false">SIGN(H114+0.000000000001)*SIGN(H115+0.000000000001)</f>
        <v>1</v>
      </c>
      <c r="I116" s="218" t="n">
        <f aca="false">SIGN(I114+0.000000000001)*SIGN(I115+0.000000000001)</f>
        <v>1</v>
      </c>
      <c r="J116" s="218" t="n">
        <f aca="false">SIGN(J114+0.000000000001)*SIGN(J115+0.000000000001)</f>
        <v>1</v>
      </c>
      <c r="K116" s="218" t="n">
        <f aca="false">SIGN(K114+0.000000000001)*SIGN(K115+0.000000000001)</f>
        <v>1</v>
      </c>
      <c r="L116" s="218" t="n">
        <f aca="false">SIGN(L114+0.000000000001)*SIGN(L115+0.000000000001)</f>
        <v>1</v>
      </c>
      <c r="M116" s="218" t="n">
        <f aca="false">SIGN(M114+0.000000000001)*SIGN(M115+0.000000000001)</f>
        <v>1</v>
      </c>
      <c r="N116" s="218" t="n">
        <f aca="false">SIGN(N114+0.000000000001)*SIGN(N115+0.000000000001)</f>
        <v>1</v>
      </c>
      <c r="O116" s="218" t="n">
        <f aca="false">SIGN(O114+0.000000000001)*SIGN(O115+0.000000000001)</f>
        <v>1</v>
      </c>
      <c r="P116" s="218" t="n">
        <f aca="false">SIGN(P114+0.000000000001)*SIGN(P115+0.000000000001)</f>
        <v>1</v>
      </c>
      <c r="Q116" s="218" t="n">
        <f aca="false">SIGN(Q114+0.000000000001)*SIGN(Q115+0.000000000001)</f>
        <v>1</v>
      </c>
      <c r="R116" s="218" t="n">
        <f aca="false">SIGN(R114+0.000000000001)*SIGN(R115+0.000000000001)</f>
        <v>1</v>
      </c>
      <c r="S116" s="218" t="n">
        <f aca="false">SIGN(S114+0.000000000001)*SIGN(S115+0.000000000001)</f>
        <v>1</v>
      </c>
    </row>
    <row r="117" customFormat="false" ht="15.6" hidden="false" customHeight="false" outlineLevel="0" collapsed="false">
      <c r="G117" s="131" t="s">
        <v>292</v>
      </c>
      <c r="H117" s="219" t="n">
        <f aca="false">IF(H116*MIN(ABS(H114),ABS(H115))&gt;1,0,H116*MIN(ABS(H114),ABS(H115)))</f>
        <v>0</v>
      </c>
      <c r="I117" s="219" t="n">
        <f aca="false">IF(I116*MIN(ABS(I114),ABS(I115))&gt;1,0,I116*MIN(ABS(I114),ABS(I115)))</f>
        <v>0</v>
      </c>
      <c r="J117" s="219" t="n">
        <f aca="false">IF(J116*MIN(ABS(J114),ABS(J115))&gt;1,0,J116*MIN(ABS(J114),ABS(J115)))</f>
        <v>0</v>
      </c>
      <c r="K117" s="219" t="n">
        <f aca="false">IF(K116*MIN(ABS(K114),ABS(K115))&gt;1,0,K116*MIN(ABS(K114),ABS(K115)))</f>
        <v>0</v>
      </c>
      <c r="L117" s="219" t="n">
        <f aca="false">IF(L116*MIN(ABS(L114),ABS(L115))&gt;1,0,L116*MIN(ABS(L114),ABS(L115)))</f>
        <v>0</v>
      </c>
      <c r="M117" s="219" t="n">
        <f aca="false">IF(M116*MIN(ABS(M114),ABS(M115))&gt;1,0,M116*MIN(ABS(M114),ABS(M115)))</f>
        <v>0</v>
      </c>
      <c r="N117" s="219" t="n">
        <f aca="false">IF(N116*MIN(ABS(N114),ABS(N115))&gt;1,0,N116*MIN(ABS(N114),ABS(N115)))</f>
        <v>0</v>
      </c>
      <c r="O117" s="219" t="n">
        <f aca="false">IF(O116*MIN(ABS(O114),ABS(O115))&gt;1,0,O116*MIN(ABS(O114),ABS(O115)))</f>
        <v>0</v>
      </c>
      <c r="P117" s="219" t="n">
        <f aca="false">IF(P116*MIN(ABS(P114),ABS(P115))&gt;1,0,P116*MIN(ABS(P114),ABS(P115)))</f>
        <v>0</v>
      </c>
      <c r="Q117" s="219" t="n">
        <f aca="false">IF(Q116*MIN(ABS(Q114),ABS(Q115))&gt;1,0,Q116*MIN(ABS(Q114),ABS(Q115)))</f>
        <v>0</v>
      </c>
      <c r="R117" s="219" t="n">
        <f aca="false">IF(R116*MIN(ABS(R114),ABS(R115))&gt;1,0,R116*MIN(ABS(R114),ABS(R115)))</f>
        <v>0</v>
      </c>
      <c r="S117" s="219" t="n">
        <f aca="false">IF(S116*MIN(ABS(S114),ABS(S115))&gt;1,0,S116*MIN(ABS(S114),ABS(S115)))</f>
        <v>0</v>
      </c>
    </row>
    <row r="118" customFormat="false" ht="15.6" hidden="false" customHeight="false" outlineLevel="0" collapsed="false">
      <c r="G118" s="0"/>
      <c r="H118" s="153" t="s">
        <v>299</v>
      </c>
      <c r="I118" s="153"/>
      <c r="J118" s="153"/>
      <c r="K118" s="153"/>
      <c r="L118" s="153"/>
      <c r="M118" s="153"/>
      <c r="N118" s="153"/>
      <c r="O118" s="153"/>
      <c r="P118" s="153"/>
      <c r="Q118" s="153"/>
      <c r="R118" s="153"/>
      <c r="S118" s="153"/>
    </row>
    <row r="119" customFormat="false" ht="15.6" hidden="false" customHeight="false" outlineLevel="0" collapsed="false">
      <c r="G119" s="165" t="s">
        <v>291</v>
      </c>
      <c r="H119" s="161" t="n">
        <f aca="false">H55/(H30+0.000001)</f>
        <v>0</v>
      </c>
      <c r="I119" s="161" t="n">
        <f aca="false">I55/(I30+0.000001)</f>
        <v>-0</v>
      </c>
      <c r="J119" s="161" t="n">
        <f aca="false">J55/(J30+0.000001)</f>
        <v>-0</v>
      </c>
      <c r="K119" s="161" t="n">
        <f aca="false">K55/(K30+0.000001)</f>
        <v>0</v>
      </c>
      <c r="L119" s="161" t="n">
        <f aca="false">L55/(L30+0.000001)</f>
        <v>0</v>
      </c>
      <c r="M119" s="161" t="n">
        <f aca="false">M55/(M30+0.000001)</f>
        <v>0</v>
      </c>
      <c r="N119" s="161" t="n">
        <f aca="false">N55/(N30+0.000001)</f>
        <v>0</v>
      </c>
      <c r="O119" s="161" t="n">
        <f aca="false">O55/(O30+0.000001)</f>
        <v>0</v>
      </c>
      <c r="P119" s="161" t="n">
        <f aca="false">P55/(P30+0.000001)</f>
        <v>0</v>
      </c>
      <c r="Q119" s="161" t="n">
        <f aca="false">Q55/(Q30+0.000001)</f>
        <v>0</v>
      </c>
      <c r="R119" s="161" t="n">
        <f aca="false">R55/(R30+0.000001)</f>
        <v>0</v>
      </c>
      <c r="S119" s="161" t="n">
        <f aca="false">S55/(S30+0.000001)</f>
        <v>0</v>
      </c>
    </row>
    <row r="120" customFormat="false" ht="15.6" hidden="false" customHeight="false" outlineLevel="0" collapsed="false">
      <c r="G120" s="165" t="s">
        <v>291</v>
      </c>
      <c r="H120" s="77" t="n">
        <f aca="false">H54/(H31+0.000001)</f>
        <v>0</v>
      </c>
      <c r="I120" s="77" t="n">
        <f aca="false">I54/(I31+0.000001)</f>
        <v>0</v>
      </c>
      <c r="J120" s="77" t="n">
        <f aca="false">J54/(J31+0.000001)</f>
        <v>0</v>
      </c>
      <c r="K120" s="77" t="n">
        <f aca="false">K54/(K31+0.000001)</f>
        <v>0</v>
      </c>
      <c r="L120" s="77" t="n">
        <f aca="false">L54/(L31+0.000001)</f>
        <v>0</v>
      </c>
      <c r="M120" s="77" t="n">
        <f aca="false">M54/(M31+0.000001)</f>
        <v>0</v>
      </c>
      <c r="N120" s="77" t="n">
        <f aca="false">N54/(N31+0.000001)</f>
        <v>0</v>
      </c>
      <c r="O120" s="77" t="n">
        <f aca="false">O54/(O31+0.000001)</f>
        <v>0</v>
      </c>
      <c r="P120" s="77" t="n">
        <f aca="false">P54/(P31+0.000001)</f>
        <v>0</v>
      </c>
      <c r="Q120" s="77" t="n">
        <f aca="false">Q54/(Q31+0.000001)</f>
        <v>0</v>
      </c>
      <c r="R120" s="77" t="n">
        <f aca="false">R54/(R31+0.000001)</f>
        <v>0</v>
      </c>
      <c r="S120" s="77" t="n">
        <f aca="false">S54/(S31+0.000001)</f>
        <v>0</v>
      </c>
    </row>
    <row r="121" customFormat="false" ht="15.6" hidden="false" customHeight="false" outlineLevel="0" collapsed="false">
      <c r="G121" s="77" t="s">
        <v>297</v>
      </c>
      <c r="H121" s="217" t="n">
        <f aca="false">SIGN(H119+0.000000000001)*SIGN(H120+0.000000000001)</f>
        <v>1</v>
      </c>
      <c r="I121" s="217" t="n">
        <f aca="false">SIGN(I119+0.000000000001)*SIGN(I120+0.000000000001)</f>
        <v>1</v>
      </c>
      <c r="J121" s="217" t="n">
        <f aca="false">SIGN(J119+0.000000000001)*SIGN(J120+0.000000000001)</f>
        <v>1</v>
      </c>
      <c r="K121" s="217" t="n">
        <f aca="false">SIGN(K119+0.000000000001)*SIGN(K120+0.000000000001)</f>
        <v>1</v>
      </c>
      <c r="L121" s="217" t="n">
        <f aca="false">SIGN(L119+0.000000000001)*SIGN(L120+0.000000000001)</f>
        <v>1</v>
      </c>
      <c r="M121" s="217" t="n">
        <f aca="false">SIGN(M119+0.000000000001)*SIGN(M120+0.000000000001)</f>
        <v>1</v>
      </c>
      <c r="N121" s="217" t="n">
        <f aca="false">SIGN(N119+0.000000000001)*SIGN(N120+0.000000000001)</f>
        <v>1</v>
      </c>
      <c r="O121" s="217" t="n">
        <f aca="false">SIGN(O119+0.000000000001)*SIGN(O120+0.000000000001)</f>
        <v>1</v>
      </c>
      <c r="P121" s="217" t="n">
        <f aca="false">SIGN(P119+0.000000000001)*SIGN(P120+0.000000000001)</f>
        <v>1</v>
      </c>
      <c r="Q121" s="217" t="n">
        <f aca="false">SIGN(Q119+0.000000000001)*SIGN(Q120+0.000000000001)</f>
        <v>1</v>
      </c>
      <c r="R121" s="217" t="n">
        <f aca="false">SIGN(R119+0.000000000001)*SIGN(R120+0.000000000001)</f>
        <v>1</v>
      </c>
      <c r="S121" s="217" t="n">
        <f aca="false">SIGN(S119+0.000000000001)*SIGN(S120+0.000000000001)</f>
        <v>1</v>
      </c>
    </row>
    <row r="122" customFormat="false" ht="15.6" hidden="false" customHeight="false" outlineLevel="0" collapsed="false">
      <c r="G122" s="77" t="s">
        <v>292</v>
      </c>
      <c r="H122" s="161" t="n">
        <f aca="false">IF(H121*MIN(ABS(H119),ABS(H120))&gt;1,0,H121*MIN(ABS(H119),ABS(H120)))</f>
        <v>0</v>
      </c>
      <c r="I122" s="161" t="n">
        <f aca="false">IF(I121*MIN(ABS(I119),ABS(I120))&gt;1,0,I121*MIN(ABS(I119),ABS(I120)))</f>
        <v>0</v>
      </c>
      <c r="J122" s="161" t="n">
        <f aca="false">IF(J121*MIN(ABS(J119),ABS(J120))&gt;1,0,J121*MIN(ABS(J119),ABS(J120)))</f>
        <v>0</v>
      </c>
      <c r="K122" s="161" t="n">
        <f aca="false">IF(K121*MIN(ABS(K119),ABS(K120))&gt;1,0,K121*MIN(ABS(K119),ABS(K120)))</f>
        <v>0</v>
      </c>
      <c r="L122" s="161" t="n">
        <f aca="false">IF(L121*MIN(ABS(L119),ABS(L120))&gt;1,0,L121*MIN(ABS(L119),ABS(L120)))</f>
        <v>0</v>
      </c>
      <c r="M122" s="161" t="n">
        <f aca="false">IF(M121*MIN(ABS(M119),ABS(M120))&gt;1,0,M121*MIN(ABS(M119),ABS(M120)))</f>
        <v>0</v>
      </c>
      <c r="N122" s="161" t="n">
        <f aca="false">IF(N121*MIN(ABS(N119),ABS(N120))&gt;1,0,N121*MIN(ABS(N119),ABS(N120)))</f>
        <v>0</v>
      </c>
      <c r="O122" s="161" t="n">
        <f aca="false">IF(O121*MIN(ABS(O119),ABS(O120))&gt;1,0,O121*MIN(ABS(O119),ABS(O120)))</f>
        <v>0</v>
      </c>
      <c r="P122" s="161" t="n">
        <f aca="false">IF(P121*MIN(ABS(P119),ABS(P120))&gt;1,0,P121*MIN(ABS(P119),ABS(P120)))</f>
        <v>0</v>
      </c>
      <c r="Q122" s="161" t="n">
        <f aca="false">IF(Q121*MIN(ABS(Q119),ABS(Q120))&gt;1,0,Q121*MIN(ABS(Q119),ABS(Q120)))</f>
        <v>0</v>
      </c>
      <c r="R122" s="161" t="n">
        <f aca="false">IF(R121*MIN(ABS(R119),ABS(R120))&gt;1,0,R121*MIN(ABS(R119),ABS(R120)))</f>
        <v>0</v>
      </c>
      <c r="S122" s="161" t="n">
        <f aca="false">IF(S121*MIN(ABS(S119),ABS(S120))&gt;1,0,S121*MIN(ABS(S119),ABS(S120)))</f>
        <v>0</v>
      </c>
    </row>
  </sheetData>
  <mergeCells count="8">
    <mergeCell ref="E3:M3"/>
    <mergeCell ref="F5:F10"/>
    <mergeCell ref="A22:M22"/>
    <mergeCell ref="H28:S28"/>
    <mergeCell ref="A32:C34"/>
    <mergeCell ref="H33:K33"/>
    <mergeCell ref="H37:K37"/>
    <mergeCell ref="H63:H68"/>
  </mergeCells>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drawing r:id="rId1"/>
</worksheet>
</file>

<file path=xl/worksheets/sheet9.xml><?xml version="1.0" encoding="utf-8"?>
<worksheet xmlns="http://schemas.openxmlformats.org/spreadsheetml/2006/main" xmlns:r="http://schemas.openxmlformats.org/officeDocument/2006/relationships">
  <sheetPr filterMode="false">
    <pageSetUpPr fitToPage="false"/>
  </sheetPr>
  <dimension ref="A1:T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16" activeCellId="0" sqref="B16"/>
    </sheetView>
  </sheetViews>
  <sheetFormatPr defaultRowHeight="15.6"/>
  <cols>
    <col collapsed="false" hidden="false" max="1" min="1" style="77" width="46.4481481481482"/>
    <col collapsed="false" hidden="false" max="2" min="2" style="77" width="20.1851851851852"/>
    <col collapsed="false" hidden="false" max="3" min="3" style="77" width="40.7666666666667"/>
    <col collapsed="false" hidden="false" max="4" min="4" style="77" width="12.2481481481481"/>
    <col collapsed="false" hidden="false" max="6" min="5" style="77" width="7.34814814814815"/>
    <col collapsed="false" hidden="false" max="7" min="7" style="77" width="27.1444444444444"/>
    <col collapsed="false" hidden="false" max="8" min="8" style="77" width="13.8185185185185"/>
    <col collapsed="false" hidden="false" max="11" min="9" style="77" width="11.2703703703704"/>
    <col collapsed="false" hidden="false" max="12" min="12" style="77" width="16.5592592592593"/>
    <col collapsed="false" hidden="false" max="1025" min="13" style="77" width="11.2703703703704"/>
  </cols>
  <sheetData>
    <row r="1" customFormat="false" ht="15.6" hidden="false" customHeight="false" outlineLevel="0" collapsed="false">
      <c r="A1" s="132" t="str">
        <f aca="false">'CSs and Loads'!A177</f>
        <v>CS 6</v>
      </c>
      <c r="B1" s="132" t="str">
        <f aca="false">'CSs and Loads'!A187</f>
        <v>X-axis</v>
      </c>
      <c r="C1" s="0"/>
      <c r="D1" s="0"/>
      <c r="E1" s="0"/>
      <c r="F1" s="0"/>
      <c r="G1" s="0"/>
      <c r="H1" s="0"/>
      <c r="I1" s="0"/>
      <c r="J1" s="0"/>
      <c r="K1" s="0"/>
      <c r="L1" s="0"/>
      <c r="M1" s="0"/>
      <c r="N1" s="0"/>
      <c r="O1" s="0"/>
      <c r="P1" s="0"/>
      <c r="Q1" s="0"/>
      <c r="R1" s="0"/>
      <c r="S1" s="0"/>
      <c r="T1" s="0"/>
    </row>
    <row r="2" customFormat="false" ht="16.2" hidden="false" customHeight="false" outlineLevel="0" collapsed="false">
      <c r="A2" s="134" t="s">
        <v>196</v>
      </c>
      <c r="B2" s="0"/>
      <c r="C2" s="0"/>
      <c r="D2" s="0"/>
      <c r="E2" s="136"/>
      <c r="F2" s="136"/>
      <c r="G2" s="136"/>
      <c r="H2" s="136"/>
      <c r="I2" s="191"/>
      <c r="J2" s="136"/>
      <c r="K2" s="136"/>
      <c r="L2" s="137"/>
      <c r="M2" s="137"/>
      <c r="N2" s="138"/>
      <c r="O2" s="0"/>
      <c r="P2" s="0"/>
      <c r="Q2" s="0"/>
      <c r="R2" s="0"/>
      <c r="S2" s="0"/>
      <c r="T2" s="0"/>
    </row>
    <row r="3" customFormat="false" ht="15.6" hidden="false" customHeight="false" outlineLevel="0" collapsed="false">
      <c r="A3" s="134" t="s">
        <v>197</v>
      </c>
      <c r="B3" s="0"/>
      <c r="C3" s="0"/>
      <c r="D3" s="220"/>
      <c r="E3" s="140" t="s">
        <v>198</v>
      </c>
      <c r="F3" s="140"/>
      <c r="G3" s="140"/>
      <c r="H3" s="140"/>
      <c r="I3" s="140"/>
      <c r="J3" s="140"/>
      <c r="K3" s="140"/>
      <c r="L3" s="140"/>
      <c r="M3" s="140"/>
      <c r="N3" s="141"/>
      <c r="O3" s="142"/>
      <c r="P3" s="142"/>
      <c r="Q3" s="142"/>
      <c r="R3" s="142"/>
      <c r="S3" s="0"/>
      <c r="T3" s="0"/>
    </row>
    <row r="4" customFormat="false" ht="15.6" hidden="false" customHeight="false" outlineLevel="0" collapsed="false">
      <c r="A4" s="134" t="s">
        <v>199</v>
      </c>
      <c r="B4" s="143" t="s">
        <v>335</v>
      </c>
      <c r="C4" s="134" t="s">
        <v>201</v>
      </c>
      <c r="D4" s="223"/>
      <c r="E4" s="146" t="s">
        <v>336</v>
      </c>
      <c r="F4" s="146"/>
      <c r="G4" s="146"/>
      <c r="H4" s="146"/>
      <c r="I4" s="146"/>
      <c r="J4" s="146"/>
      <c r="K4" s="146"/>
      <c r="L4" s="146"/>
      <c r="M4" s="146"/>
      <c r="N4" s="141"/>
      <c r="O4" s="165"/>
      <c r="P4" s="0"/>
      <c r="Q4" s="0"/>
      <c r="R4" s="142"/>
      <c r="S4" s="0"/>
      <c r="T4" s="0"/>
    </row>
    <row r="5" customFormat="false" ht="15.6" hidden="false" customHeight="false" outlineLevel="0" collapsed="false">
      <c r="A5" s="247" t="s">
        <v>203</v>
      </c>
      <c r="B5" s="143" t="s">
        <v>204</v>
      </c>
      <c r="C5" s="153" t="s">
        <v>205</v>
      </c>
      <c r="D5" s="223" t="n">
        <v>25</v>
      </c>
      <c r="E5" s="148" t="s">
        <v>206</v>
      </c>
      <c r="F5" s="149" t="s">
        <v>207</v>
      </c>
      <c r="G5" s="275" t="n">
        <f aca="false">(1/2)*B11^3/(3*B7*B18)</f>
        <v>7.04596465512281E-006</v>
      </c>
      <c r="H5" s="131" t="n">
        <v>0</v>
      </c>
      <c r="I5" s="131" t="n">
        <v>0</v>
      </c>
      <c r="J5" s="131" t="n">
        <v>0</v>
      </c>
      <c r="K5" s="276" t="n">
        <f aca="false">G9</f>
        <v>-1.50984956895489E-008</v>
      </c>
      <c r="L5" s="131" t="n">
        <v>0</v>
      </c>
      <c r="M5" s="152" t="s">
        <v>208</v>
      </c>
      <c r="N5" s="277"/>
      <c r="O5" s="267"/>
      <c r="P5" s="267"/>
      <c r="Q5" s="267"/>
      <c r="R5" s="142"/>
      <c r="S5" s="0"/>
      <c r="T5" s="0"/>
    </row>
    <row r="6" customFormat="false" ht="15.6" hidden="false" customHeight="false" outlineLevel="0" collapsed="false">
      <c r="A6" s="247" t="s">
        <v>209</v>
      </c>
      <c r="B6" s="143" t="s">
        <v>330</v>
      </c>
      <c r="C6" s="153" t="s">
        <v>211</v>
      </c>
      <c r="D6" s="223" t="n">
        <f aca="false">1770*9.8</f>
        <v>17346</v>
      </c>
      <c r="E6" s="148" t="s">
        <v>212</v>
      </c>
      <c r="F6" s="149"/>
      <c r="G6" s="131" t="n">
        <v>0</v>
      </c>
      <c r="H6" s="276" t="n">
        <f aca="false">(1/2)*B11^3/(3*B7*B17)</f>
        <v>7.04596465512281E-006</v>
      </c>
      <c r="I6" s="131" t="n">
        <v>0</v>
      </c>
      <c r="J6" s="276" t="n">
        <f aca="false">-(1/2)*B11^2/(2*B7*B17)</f>
        <v>-1.50984956895489E-008</v>
      </c>
      <c r="K6" s="131" t="n">
        <v>0</v>
      </c>
      <c r="L6" s="131" t="n">
        <v>0</v>
      </c>
      <c r="M6" s="152" t="s">
        <v>213</v>
      </c>
      <c r="N6" s="141"/>
      <c r="O6" s="0"/>
      <c r="P6" s="0"/>
      <c r="Q6" s="0"/>
      <c r="R6" s="142"/>
      <c r="S6" s="0"/>
      <c r="T6" s="0"/>
    </row>
    <row r="7" customFormat="false" ht="15.6" hidden="false" customHeight="false" outlineLevel="0" collapsed="false">
      <c r="A7" s="153" t="s">
        <v>214</v>
      </c>
      <c r="B7" s="134" t="n">
        <f aca="false">69000</f>
        <v>69000</v>
      </c>
      <c r="C7" s="153" t="s">
        <v>215</v>
      </c>
      <c r="D7" s="223" t="n">
        <f aca="false">647*1000</f>
        <v>647000</v>
      </c>
      <c r="E7" s="148" t="s">
        <v>216</v>
      </c>
      <c r="F7" s="149"/>
      <c r="G7" s="131" t="n">
        <v>0</v>
      </c>
      <c r="H7" s="131" t="n">
        <v>0</v>
      </c>
      <c r="I7" s="276" t="n">
        <f aca="false">(1/2)*B12/(B16*B7)</f>
        <v>2.62077818841628E-007</v>
      </c>
      <c r="J7" s="131" t="n">
        <v>0</v>
      </c>
      <c r="K7" s="131" t="n">
        <v>0</v>
      </c>
      <c r="L7" s="131" t="n">
        <v>0</v>
      </c>
      <c r="M7" s="152" t="s">
        <v>217</v>
      </c>
      <c r="N7" s="141"/>
      <c r="O7" s="0"/>
      <c r="P7" s="0"/>
      <c r="Q7" s="0"/>
      <c r="R7" s="142"/>
      <c r="S7" s="0"/>
      <c r="T7" s="0"/>
    </row>
    <row r="8" customFormat="false" ht="15.6" hidden="false" customHeight="false" outlineLevel="0" collapsed="false">
      <c r="A8" s="153" t="s">
        <v>218</v>
      </c>
      <c r="B8" s="134" t="n">
        <v>0.334</v>
      </c>
      <c r="C8" s="153" t="s">
        <v>219</v>
      </c>
      <c r="D8" s="223" t="n">
        <v>3</v>
      </c>
      <c r="E8" s="148" t="s">
        <v>220</v>
      </c>
      <c r="F8" s="149"/>
      <c r="G8" s="274"/>
      <c r="H8" s="276" t="n">
        <f aca="false">J6</f>
        <v>-1.50984956895489E-008</v>
      </c>
      <c r="I8" s="131" t="n">
        <v>0</v>
      </c>
      <c r="J8" s="276" t="n">
        <f aca="false">2*I7/'CS_5 Bridge'!B12^2</f>
        <v>2.67426345756763E-013</v>
      </c>
      <c r="K8" s="131" t="n">
        <v>0</v>
      </c>
      <c r="L8" s="131" t="n">
        <v>0</v>
      </c>
      <c r="M8" s="152" t="s">
        <v>221</v>
      </c>
      <c r="N8" s="141"/>
      <c r="O8" s="0"/>
      <c r="P8" s="0"/>
      <c r="Q8" s="0"/>
      <c r="R8" s="142"/>
      <c r="S8" s="0"/>
      <c r="T8" s="0"/>
    </row>
    <row r="9" customFormat="false" ht="15.6" hidden="false" customHeight="false" outlineLevel="0" collapsed="false">
      <c r="A9" s="153" t="s">
        <v>222</v>
      </c>
      <c r="B9" s="155" t="n">
        <f aca="false">B7/(2*(1+B8))</f>
        <v>25862.0689655172</v>
      </c>
      <c r="C9" s="153" t="s">
        <v>223</v>
      </c>
      <c r="D9" s="223" t="n">
        <v>0.01</v>
      </c>
      <c r="E9" s="148" t="s">
        <v>224</v>
      </c>
      <c r="F9" s="149"/>
      <c r="G9" s="276" t="n">
        <f aca="false">-(1/2)*B11^2/(2*B7*B18)</f>
        <v>-1.50984956895489E-008</v>
      </c>
      <c r="H9" s="131" t="n">
        <v>0</v>
      </c>
      <c r="I9" s="131" t="n">
        <v>0</v>
      </c>
      <c r="J9" s="131" t="n">
        <v>0</v>
      </c>
      <c r="K9" s="276" t="n">
        <f aca="false">(1/2)*B11/(B7*B18)</f>
        <v>4.31385591129968E-011</v>
      </c>
      <c r="L9" s="131" t="n">
        <v>0</v>
      </c>
      <c r="M9" s="152" t="s">
        <v>225</v>
      </c>
      <c r="N9" s="141"/>
      <c r="O9" s="0"/>
      <c r="P9" s="0"/>
      <c r="Q9" s="0"/>
      <c r="R9" s="142"/>
      <c r="S9" s="0"/>
      <c r="T9" s="0"/>
    </row>
    <row r="10" customFormat="false" ht="16.2" hidden="false" customHeight="false" outlineLevel="0" collapsed="false">
      <c r="A10" s="77" t="s">
        <v>303</v>
      </c>
      <c r="B10" s="134"/>
      <c r="C10" s="153" t="s">
        <v>227</v>
      </c>
      <c r="D10" s="262" t="n">
        <f aca="false">D6/(D8*D9)</f>
        <v>578200</v>
      </c>
      <c r="E10" s="157" t="s">
        <v>228</v>
      </c>
      <c r="F10" s="149"/>
      <c r="G10" s="278" t="n">
        <v>0</v>
      </c>
      <c r="H10" s="278" t="n">
        <v>0</v>
      </c>
      <c r="I10" s="278" t="n">
        <v>0</v>
      </c>
      <c r="J10" s="278" t="n">
        <v>0</v>
      </c>
      <c r="K10" s="278" t="n">
        <v>0</v>
      </c>
      <c r="L10" s="279" t="n">
        <f aca="false">1/(1/(2*G5/'CS_5 Bridge'!B12^2)+1/(B11/(B19*B9)))</f>
        <v>6.86934432570304E-012</v>
      </c>
      <c r="M10" s="160" t="s">
        <v>229</v>
      </c>
      <c r="N10" s="141"/>
      <c r="O10" s="0"/>
      <c r="P10" s="0"/>
      <c r="Q10" s="0"/>
      <c r="R10" s="142"/>
      <c r="S10" s="0"/>
      <c r="T10" s="0"/>
    </row>
    <row r="11" customFormat="false" ht="15.6" hidden="false" customHeight="false" outlineLevel="0" collapsed="false">
      <c r="A11" s="165" t="s">
        <v>230</v>
      </c>
      <c r="B11" s="280" t="n">
        <f aca="false">B12</f>
        <v>700</v>
      </c>
      <c r="C11" s="153" t="s">
        <v>231</v>
      </c>
      <c r="D11" s="134" t="n">
        <v>25</v>
      </c>
      <c r="E11" s="187"/>
      <c r="F11" s="281"/>
      <c r="G11" s="187"/>
      <c r="H11" s="187"/>
      <c r="I11" s="187"/>
      <c r="J11" s="187"/>
      <c r="K11" s="187"/>
      <c r="L11" s="187"/>
      <c r="M11" s="187"/>
      <c r="N11" s="0"/>
      <c r="O11" s="0"/>
      <c r="P11" s="0"/>
      <c r="Q11" s="0"/>
      <c r="R11" s="142"/>
      <c r="S11" s="0"/>
      <c r="T11" s="0"/>
    </row>
    <row r="12" customFormat="false" ht="15.6" hidden="false" customHeight="false" outlineLevel="0" collapsed="false">
      <c r="A12" s="153" t="s">
        <v>232</v>
      </c>
      <c r="B12" s="134" t="n">
        <v>700</v>
      </c>
      <c r="C12" s="153" t="s">
        <v>233</v>
      </c>
      <c r="D12" s="155" t="n">
        <f aca="false">D7*D11^2/4</f>
        <v>101093750</v>
      </c>
      <c r="E12" s="0"/>
      <c r="F12" s="0"/>
      <c r="G12" s="0"/>
      <c r="H12" s="0"/>
      <c r="I12" s="134"/>
      <c r="J12" s="0"/>
      <c r="K12" s="0"/>
      <c r="L12" s="0"/>
      <c r="M12" s="0"/>
      <c r="N12" s="0"/>
      <c r="O12" s="165"/>
      <c r="P12" s="0"/>
      <c r="Q12" s="0"/>
      <c r="R12" s="142"/>
      <c r="S12" s="0"/>
      <c r="T12" s="0"/>
    </row>
    <row r="13" customFormat="false" ht="15.6" hidden="false" customHeight="false" outlineLevel="0" collapsed="false">
      <c r="A13" s="153" t="s">
        <v>337</v>
      </c>
      <c r="B13" s="134" t="n">
        <f aca="false">8*25.4</f>
        <v>203.2</v>
      </c>
      <c r="C13" s="153" t="s">
        <v>235</v>
      </c>
      <c r="D13" s="155" t="n">
        <f aca="false">D7*D11^2/12</f>
        <v>33697916.6666667</v>
      </c>
      <c r="E13" s="0"/>
      <c r="F13" s="0"/>
      <c r="G13" s="0"/>
      <c r="H13" s="0"/>
      <c r="I13" s="134"/>
      <c r="J13" s="0"/>
      <c r="K13" s="0"/>
      <c r="L13" s="0"/>
      <c r="M13" s="0"/>
      <c r="N13" s="0"/>
      <c r="O13" s="165"/>
      <c r="P13" s="0"/>
      <c r="Q13" s="0"/>
      <c r="R13" s="142"/>
      <c r="S13" s="0"/>
      <c r="T13" s="0"/>
    </row>
    <row r="14" customFormat="false" ht="15.6" hidden="false" customHeight="false" outlineLevel="0" collapsed="false">
      <c r="A14" s="153" t="s">
        <v>338</v>
      </c>
      <c r="B14" s="134" t="n">
        <f aca="false">8*25.4</f>
        <v>203.2</v>
      </c>
      <c r="C14" s="153" t="s">
        <v>237</v>
      </c>
      <c r="D14" s="155" t="n">
        <f aca="false">D13</f>
        <v>33697916.6666667</v>
      </c>
      <c r="E14" s="0"/>
      <c r="F14" s="0"/>
      <c r="G14" s="0"/>
      <c r="H14" s="0"/>
      <c r="I14" s="134"/>
      <c r="J14" s="0"/>
      <c r="K14" s="0"/>
      <c r="L14" s="0"/>
      <c r="M14" s="0"/>
      <c r="N14" s="0"/>
      <c r="O14" s="165"/>
      <c r="P14" s="0"/>
      <c r="Q14" s="0"/>
      <c r="R14" s="142"/>
      <c r="S14" s="0"/>
      <c r="T14" s="0"/>
    </row>
    <row r="15" customFormat="false" ht="15.6" hidden="false" customHeight="false" outlineLevel="0" collapsed="false">
      <c r="A15" s="153" t="s">
        <v>304</v>
      </c>
      <c r="B15" s="134" t="n">
        <f aca="false">0.5*25.4</f>
        <v>12.7</v>
      </c>
      <c r="C15" s="247" t="s">
        <v>239</v>
      </c>
      <c r="D15" s="0"/>
      <c r="E15" s="0"/>
      <c r="F15" s="0"/>
      <c r="G15" s="0"/>
      <c r="H15" s="0"/>
      <c r="I15" s="134"/>
      <c r="J15" s="0"/>
      <c r="K15" s="0"/>
      <c r="L15" s="0"/>
      <c r="M15" s="0"/>
      <c r="N15" s="0"/>
      <c r="O15" s="165"/>
      <c r="P15" s="0"/>
      <c r="Q15" s="0"/>
      <c r="R15" s="142"/>
      <c r="S15" s="0"/>
      <c r="T15" s="0"/>
    </row>
    <row r="16" customFormat="false" ht="15.6" hidden="false" customHeight="false" outlineLevel="0" collapsed="false">
      <c r="A16" s="153" t="s">
        <v>240</v>
      </c>
      <c r="B16" s="155" t="n">
        <f aca="false">2*(B13*B14-(B13-2*B15)*(B14-2*B15))</f>
        <v>19354.8</v>
      </c>
      <c r="C16" s="214" t="s">
        <v>241</v>
      </c>
      <c r="D16" s="143" t="s">
        <v>339</v>
      </c>
      <c r="E16" s="0"/>
      <c r="F16" s="0"/>
      <c r="G16" s="0"/>
      <c r="H16" s="0"/>
      <c r="I16" s="134"/>
      <c r="J16" s="0"/>
      <c r="K16" s="0"/>
      <c r="L16" s="0"/>
      <c r="M16" s="0"/>
      <c r="N16" s="0"/>
      <c r="O16" s="165"/>
      <c r="P16" s="0"/>
      <c r="Q16" s="0"/>
      <c r="R16" s="142"/>
      <c r="S16" s="0"/>
      <c r="T16" s="0"/>
    </row>
    <row r="17" customFormat="false" ht="15.6" hidden="false" customHeight="false" outlineLevel="0" collapsed="false">
      <c r="A17" s="153" t="s">
        <v>242</v>
      </c>
      <c r="B17" s="175" t="n">
        <f aca="false">2*(B14^3*B13-(B13-2*B15)*(B14-2*B15)^3)/12</f>
        <v>117585377.732</v>
      </c>
      <c r="C17" s="242" t="s">
        <v>243</v>
      </c>
      <c r="D17" s="134" t="n">
        <v>25</v>
      </c>
      <c r="E17" s="0"/>
      <c r="F17" s="0"/>
      <c r="G17" s="0"/>
      <c r="H17" s="0"/>
      <c r="I17" s="134"/>
      <c r="J17" s="0"/>
      <c r="K17" s="0"/>
      <c r="L17" s="0"/>
      <c r="M17" s="0"/>
      <c r="N17" s="0"/>
      <c r="O17" s="165"/>
      <c r="P17" s="0"/>
      <c r="Q17" s="0"/>
      <c r="R17" s="142"/>
      <c r="S17" s="0"/>
      <c r="T17" s="0"/>
    </row>
    <row r="18" customFormat="false" ht="15.6" hidden="false" customHeight="false" outlineLevel="0" collapsed="false">
      <c r="A18" s="153" t="s">
        <v>244</v>
      </c>
      <c r="B18" s="175" t="n">
        <f aca="false">2*(B14*B13^3-(B13-2*B15)^3*(B14-2*B15))/12</f>
        <v>117585377.732</v>
      </c>
      <c r="C18" s="242" t="s">
        <v>232</v>
      </c>
      <c r="D18" s="155" t="n">
        <f aca="false">Summary!K9+Summary!M9</f>
        <v>450</v>
      </c>
      <c r="E18" s="0"/>
      <c r="F18" s="0"/>
      <c r="G18" s="0"/>
      <c r="H18" s="0"/>
      <c r="I18" s="134"/>
      <c r="J18" s="0"/>
      <c r="K18" s="0"/>
      <c r="L18" s="0"/>
      <c r="M18" s="0"/>
      <c r="N18" s="0"/>
      <c r="O18" s="165"/>
      <c r="P18" s="0"/>
      <c r="Q18" s="0"/>
      <c r="R18" s="142"/>
      <c r="S18" s="0"/>
      <c r="T18" s="0"/>
    </row>
    <row r="19" customFormat="false" ht="15.6" hidden="false" customHeight="false" outlineLevel="0" collapsed="false">
      <c r="A19" s="153" t="s">
        <v>245</v>
      </c>
      <c r="B19" s="175" t="n">
        <f aca="false">2*(2*B15*B15*(B13-B15)^2*(B14-B15)^2/(B13*B15+B14*B15-2*B15^2))</f>
        <v>175597632.675</v>
      </c>
      <c r="C19" s="153" t="s">
        <v>246</v>
      </c>
      <c r="D19" s="264" t="n">
        <v>200000</v>
      </c>
      <c r="E19" s="0"/>
      <c r="F19" s="0"/>
      <c r="G19" s="0"/>
      <c r="H19" s="0"/>
      <c r="I19" s="134"/>
      <c r="J19" s="0"/>
      <c r="K19" s="0"/>
      <c r="L19" s="0"/>
      <c r="M19" s="0"/>
      <c r="N19" s="0"/>
      <c r="O19" s="165"/>
      <c r="P19" s="0"/>
      <c r="Q19" s="0"/>
      <c r="R19" s="142"/>
      <c r="S19" s="0"/>
      <c r="T19" s="0"/>
    </row>
    <row r="20" customFormat="false" ht="15.6" hidden="false" customHeight="false" outlineLevel="0" collapsed="false">
      <c r="A20" s="153" t="s">
        <v>247</v>
      </c>
      <c r="B20" s="155" t="n">
        <f aca="false">B18/B16</f>
        <v>6075.25666666667</v>
      </c>
      <c r="C20" s="242" t="s">
        <v>248</v>
      </c>
      <c r="D20" s="175" t="n">
        <f aca="false">PI()*D17^2/4*D19/D18</f>
        <v>218166.156499291</v>
      </c>
      <c r="E20" s="0"/>
      <c r="F20" s="0"/>
      <c r="G20" s="0"/>
      <c r="H20" s="0"/>
      <c r="I20" s="134"/>
      <c r="J20" s="0"/>
      <c r="K20" s="0"/>
      <c r="L20" s="0"/>
      <c r="M20" s="0"/>
      <c r="N20" s="0"/>
      <c r="O20" s="165"/>
      <c r="P20" s="0"/>
      <c r="Q20" s="0"/>
      <c r="R20" s="142"/>
      <c r="S20" s="0"/>
      <c r="T20" s="0"/>
    </row>
    <row r="21" customFormat="false" ht="16.2" hidden="false" customHeight="false" outlineLevel="0" collapsed="false">
      <c r="A21" s="178" t="s">
        <v>320</v>
      </c>
      <c r="B21" s="179" t="n">
        <f aca="false">3*B7*B18/B12^3</f>
        <v>70962.6040540059</v>
      </c>
      <c r="C21" s="178" t="s">
        <v>251</v>
      </c>
      <c r="D21" s="259" t="n">
        <v>3</v>
      </c>
      <c r="E21" s="136"/>
      <c r="F21" s="136"/>
      <c r="G21" s="136"/>
      <c r="H21" s="136"/>
      <c r="I21" s="259"/>
      <c r="J21" s="136"/>
      <c r="K21" s="136"/>
      <c r="L21" s="136"/>
      <c r="M21" s="136"/>
      <c r="N21" s="0"/>
      <c r="O21" s="165"/>
      <c r="P21" s="0"/>
      <c r="Q21" s="0"/>
      <c r="R21" s="142"/>
      <c r="S21" s="0"/>
      <c r="T21" s="0"/>
    </row>
    <row r="22" customFormat="false" ht="16.2" hidden="false" customHeight="false" outlineLevel="0" collapsed="false">
      <c r="A22" s="282" t="s">
        <v>340</v>
      </c>
      <c r="B22" s="282"/>
      <c r="C22" s="282"/>
      <c r="D22" s="282"/>
      <c r="E22" s="282"/>
      <c r="F22" s="282"/>
      <c r="G22" s="282"/>
      <c r="H22" s="282"/>
      <c r="I22" s="282"/>
      <c r="J22" s="282"/>
      <c r="K22" s="282"/>
      <c r="L22" s="282"/>
      <c r="M22" s="282"/>
      <c r="N22" s="141"/>
      <c r="O22" s="165"/>
      <c r="P22" s="0"/>
      <c r="Q22" s="0"/>
      <c r="R22" s="142"/>
      <c r="S22" s="0"/>
      <c r="T22" s="0"/>
    </row>
    <row r="23" customFormat="false" ht="31.2" hidden="false" customHeight="false" outlineLevel="0" collapsed="false">
      <c r="A23" s="184" t="s">
        <v>253</v>
      </c>
      <c r="B23" s="185"/>
      <c r="C23" s="186" t="s">
        <v>254</v>
      </c>
      <c r="D23" s="187"/>
      <c r="E23" s="187"/>
      <c r="F23" s="187"/>
      <c r="G23" s="187"/>
      <c r="H23" s="187"/>
      <c r="I23" s="221"/>
      <c r="J23" s="187"/>
      <c r="K23" s="187"/>
      <c r="L23" s="187"/>
      <c r="M23" s="187"/>
      <c r="N23" s="0"/>
      <c r="O23" s="165"/>
      <c r="P23" s="0"/>
      <c r="Q23" s="0"/>
      <c r="R23" s="142"/>
      <c r="S23" s="0"/>
      <c r="T23" s="0"/>
    </row>
    <row r="24" customFormat="false" ht="15.6" hidden="false" customHeight="false" outlineLevel="0" collapsed="false">
      <c r="A24" s="153" t="s">
        <v>255</v>
      </c>
      <c r="B24" s="25"/>
      <c r="C24" s="131"/>
      <c r="D24" s="0"/>
      <c r="E24" s="0"/>
      <c r="F24" s="0"/>
      <c r="G24" s="0"/>
      <c r="H24" s="0"/>
      <c r="I24" s="0"/>
      <c r="J24" s="0"/>
      <c r="K24" s="0"/>
      <c r="L24" s="0"/>
      <c r="M24" s="0"/>
      <c r="N24" s="0"/>
      <c r="O24" s="142"/>
      <c r="P24" s="142"/>
      <c r="Q24" s="142"/>
      <c r="R24" s="142"/>
      <c r="S24" s="0"/>
      <c r="T24" s="0"/>
    </row>
    <row r="25" customFormat="false" ht="15.6" hidden="false" customHeight="false" outlineLevel="0" collapsed="false">
      <c r="A25" s="87" t="s">
        <v>113</v>
      </c>
      <c r="B25" s="188" t="n">
        <f aca="false">SUM(H35:S35)+C25</f>
        <v>72722.0521664304</v>
      </c>
      <c r="C25" s="190" t="n">
        <f aca="false">D20/D21</f>
        <v>72722.0521664304</v>
      </c>
      <c r="D25" s="0"/>
      <c r="E25" s="0"/>
      <c r="F25" s="0"/>
      <c r="G25" s="0"/>
      <c r="H25" s="0"/>
      <c r="I25" s="0"/>
      <c r="J25" s="0"/>
      <c r="K25" s="0"/>
      <c r="L25" s="0"/>
      <c r="M25" s="0"/>
      <c r="N25" s="0"/>
      <c r="O25" s="142"/>
      <c r="P25" s="142"/>
      <c r="Q25" s="142"/>
      <c r="R25" s="142"/>
      <c r="S25" s="0"/>
      <c r="T25" s="0"/>
    </row>
    <row r="26" customFormat="false" ht="15.6" hidden="false" customHeight="false" outlineLevel="0" collapsed="false">
      <c r="A26" s="87" t="s">
        <v>116</v>
      </c>
      <c r="B26" s="188" t="n">
        <f aca="false">SUM(H36:S36)+C26</f>
        <v>2588000</v>
      </c>
      <c r="C26" s="189" t="n">
        <v>0</v>
      </c>
      <c r="D26" s="0"/>
      <c r="E26" s="0"/>
      <c r="F26" s="0"/>
      <c r="G26" s="191" t="s">
        <v>256</v>
      </c>
      <c r="H26" s="0"/>
      <c r="I26" s="0"/>
      <c r="J26" s="0"/>
      <c r="K26" s="0"/>
      <c r="L26" s="0"/>
      <c r="M26" s="0"/>
      <c r="N26" s="0"/>
      <c r="O26" s="142"/>
      <c r="P26" s="142"/>
      <c r="Q26" s="142"/>
      <c r="R26" s="142"/>
      <c r="S26" s="0"/>
      <c r="T26" s="0"/>
    </row>
    <row r="27" customFormat="false" ht="15.6" hidden="false" customHeight="false" outlineLevel="0" collapsed="false">
      <c r="A27" s="87" t="s">
        <v>118</v>
      </c>
      <c r="B27" s="188" t="n">
        <f aca="false">SUM(H37:S37)+C27</f>
        <v>2588000</v>
      </c>
      <c r="C27" s="189" t="n">
        <v>0</v>
      </c>
      <c r="D27" s="0"/>
      <c r="E27" s="0"/>
      <c r="F27" s="0"/>
      <c r="G27" s="134" t="s">
        <v>257</v>
      </c>
      <c r="H27" s="0"/>
      <c r="I27" s="0"/>
      <c r="J27" s="0"/>
      <c r="K27" s="0"/>
      <c r="L27" s="0"/>
      <c r="M27" s="0"/>
      <c r="N27" s="0"/>
      <c r="O27" s="142"/>
      <c r="P27" s="142"/>
      <c r="Q27" s="142"/>
      <c r="R27" s="142"/>
      <c r="S27" s="0"/>
      <c r="T27" s="0"/>
    </row>
    <row r="28" customFormat="false" ht="15.6" hidden="false" customHeight="false" outlineLevel="0" collapsed="false">
      <c r="A28" s="153" t="s">
        <v>258</v>
      </c>
      <c r="B28" s="25"/>
      <c r="C28" s="192"/>
      <c r="D28" s="87"/>
      <c r="E28" s="87"/>
      <c r="F28" s="87"/>
      <c r="G28" s="194" t="s">
        <v>259</v>
      </c>
      <c r="H28" s="195" t="n">
        <v>4</v>
      </c>
      <c r="I28" s="0"/>
      <c r="J28" s="0"/>
      <c r="K28" s="0"/>
      <c r="L28" s="0"/>
      <c r="M28" s="0"/>
      <c r="N28" s="0"/>
      <c r="O28" s="142"/>
      <c r="P28" s="142"/>
      <c r="Q28" s="142"/>
      <c r="R28" s="142"/>
      <c r="S28" s="0"/>
      <c r="T28" s="0"/>
    </row>
    <row r="29" customFormat="false" ht="15.6" hidden="false" customHeight="false" outlineLevel="0" collapsed="false">
      <c r="A29" s="87" t="s">
        <v>120</v>
      </c>
      <c r="B29" s="188" t="n">
        <f aca="false">SUM(H39:S39)+SUM(H43:S43)+C29</f>
        <v>6874375000</v>
      </c>
      <c r="C29" s="189" t="n">
        <v>0</v>
      </c>
      <c r="D29" s="87"/>
      <c r="E29" s="87"/>
      <c r="F29" s="87"/>
      <c r="G29" s="0"/>
      <c r="H29" s="76" t="s">
        <v>260</v>
      </c>
      <c r="I29" s="76"/>
      <c r="J29" s="76"/>
      <c r="K29" s="76"/>
      <c r="L29" s="76"/>
      <c r="M29" s="76"/>
      <c r="N29" s="76"/>
      <c r="O29" s="76"/>
      <c r="P29" s="76"/>
      <c r="Q29" s="76"/>
      <c r="R29" s="76"/>
      <c r="S29" s="76"/>
      <c r="T29" s="0"/>
    </row>
    <row r="30" customFormat="false" ht="15.6" hidden="false" customHeight="false" outlineLevel="0" collapsed="false">
      <c r="A30" s="87" t="s">
        <v>123</v>
      </c>
      <c r="B30" s="188" t="n">
        <f aca="false">SUM(H40:S40)+SUM(H44:S44)+C30</f>
        <v>6604791666.66667</v>
      </c>
      <c r="C30" s="189" t="n">
        <v>0</v>
      </c>
      <c r="D30" s="87"/>
      <c r="E30" s="87"/>
      <c r="F30" s="87"/>
      <c r="G30" s="134" t="s">
        <v>261</v>
      </c>
      <c r="H30" s="85" t="n">
        <v>1</v>
      </c>
      <c r="I30" s="85" t="n">
        <f aca="false">H30+1</f>
        <v>2</v>
      </c>
      <c r="J30" s="85" t="n">
        <f aca="false">I30+1</f>
        <v>3</v>
      </c>
      <c r="K30" s="85" t="n">
        <f aca="false">J30+1</f>
        <v>4</v>
      </c>
      <c r="L30" s="85" t="n">
        <f aca="false">K30+1</f>
        <v>5</v>
      </c>
      <c r="M30" s="85" t="n">
        <f aca="false">L30+1</f>
        <v>6</v>
      </c>
      <c r="N30" s="85" t="n">
        <f aca="false">M30+1</f>
        <v>7</v>
      </c>
      <c r="O30" s="85" t="n">
        <f aca="false">N30+1</f>
        <v>8</v>
      </c>
      <c r="P30" s="85" t="n">
        <f aca="false">O30+1</f>
        <v>9</v>
      </c>
      <c r="Q30" s="85" t="n">
        <f aca="false">P30+1</f>
        <v>10</v>
      </c>
      <c r="R30" s="85" t="n">
        <f aca="false">Q30+1</f>
        <v>11</v>
      </c>
      <c r="S30" s="85" t="n">
        <f aca="false">R30+1</f>
        <v>12</v>
      </c>
      <c r="T30" s="0"/>
    </row>
    <row r="31" customFormat="false" ht="15.6" hidden="false" customHeight="false" outlineLevel="0" collapsed="false">
      <c r="A31" s="87" t="s">
        <v>125</v>
      </c>
      <c r="B31" s="188" t="n">
        <f aca="false">SUM(H41:S41)+SUM(H45:S45)+C31</f>
        <v>6604791666.66667</v>
      </c>
      <c r="C31" s="189" t="n">
        <v>0</v>
      </c>
      <c r="D31" s="87"/>
      <c r="E31" s="87"/>
      <c r="F31" s="87"/>
      <c r="G31" s="153" t="s">
        <v>262</v>
      </c>
      <c r="H31" s="195" t="n">
        <v>50</v>
      </c>
      <c r="I31" s="195" t="n">
        <v>-50</v>
      </c>
      <c r="J31" s="195" t="n">
        <v>-50</v>
      </c>
      <c r="K31" s="195" t="n">
        <v>50</v>
      </c>
      <c r="L31" s="195" t="n">
        <v>0</v>
      </c>
      <c r="M31" s="195" t="n">
        <v>0</v>
      </c>
      <c r="N31" s="195" t="n">
        <v>0</v>
      </c>
      <c r="O31" s="195" t="n">
        <v>0</v>
      </c>
      <c r="P31" s="195" t="n">
        <v>0</v>
      </c>
      <c r="Q31" s="195" t="n">
        <v>0</v>
      </c>
      <c r="R31" s="195" t="n">
        <v>0</v>
      </c>
      <c r="S31" s="195" t="n">
        <v>0</v>
      </c>
      <c r="T31" s="0"/>
    </row>
    <row r="32" customFormat="false" ht="15.6" hidden="false" customHeight="true" outlineLevel="0" collapsed="false">
      <c r="A32" s="207" t="s">
        <v>264</v>
      </c>
      <c r="B32" s="207"/>
      <c r="C32" s="207"/>
      <c r="D32" s="87"/>
      <c r="E32" s="87"/>
      <c r="F32" s="87"/>
      <c r="G32" s="153" t="s">
        <v>265</v>
      </c>
      <c r="H32" s="195" t="n">
        <v>0</v>
      </c>
      <c r="I32" s="195" t="n">
        <v>0</v>
      </c>
      <c r="J32" s="195" t="n">
        <v>0</v>
      </c>
      <c r="K32" s="195" t="n">
        <v>0</v>
      </c>
      <c r="L32" s="195" t="n">
        <v>0</v>
      </c>
      <c r="M32" s="195" t="n">
        <v>0</v>
      </c>
      <c r="N32" s="195" t="n">
        <v>0</v>
      </c>
      <c r="O32" s="195" t="n">
        <v>0</v>
      </c>
      <c r="P32" s="195" t="n">
        <v>0</v>
      </c>
      <c r="Q32" s="195" t="n">
        <v>0</v>
      </c>
      <c r="R32" s="195" t="n">
        <v>0</v>
      </c>
      <c r="S32" s="195" t="n">
        <v>0</v>
      </c>
      <c r="T32" s="0"/>
    </row>
    <row r="33" customFormat="false" ht="15.6" hidden="false" customHeight="false" outlineLevel="0" collapsed="false">
      <c r="A33" s="207"/>
      <c r="B33" s="207"/>
      <c r="C33" s="207"/>
      <c r="D33" s="87"/>
      <c r="E33" s="87"/>
      <c r="F33" s="87"/>
      <c r="G33" s="153" t="s">
        <v>267</v>
      </c>
      <c r="H33" s="195" t="n">
        <v>50</v>
      </c>
      <c r="I33" s="195" t="n">
        <v>50</v>
      </c>
      <c r="J33" s="195" t="n">
        <v>-50</v>
      </c>
      <c r="K33" s="195" t="n">
        <v>-50</v>
      </c>
      <c r="L33" s="195" t="n">
        <v>0</v>
      </c>
      <c r="M33" s="195" t="n">
        <v>0</v>
      </c>
      <c r="N33" s="195" t="n">
        <v>0</v>
      </c>
      <c r="O33" s="195" t="n">
        <v>0</v>
      </c>
      <c r="P33" s="195" t="n">
        <v>0</v>
      </c>
      <c r="Q33" s="195" t="n">
        <v>0</v>
      </c>
      <c r="R33" s="195" t="n">
        <v>0</v>
      </c>
      <c r="S33" s="195" t="n">
        <v>0</v>
      </c>
      <c r="T33" s="0"/>
    </row>
    <row r="34" customFormat="false" ht="15.6" hidden="false" customHeight="false" outlineLevel="0" collapsed="false">
      <c r="A34" s="207"/>
      <c r="B34" s="207"/>
      <c r="C34" s="207"/>
      <c r="D34" s="0"/>
      <c r="E34" s="0"/>
      <c r="F34" s="0"/>
      <c r="G34" s="134" t="s">
        <v>270</v>
      </c>
      <c r="H34" s="238"/>
      <c r="I34" s="238"/>
      <c r="J34" s="238"/>
      <c r="K34" s="238"/>
      <c r="L34" s="0"/>
      <c r="M34" s="0"/>
      <c r="N34" s="0"/>
      <c r="O34" s="0"/>
      <c r="P34" s="0"/>
      <c r="Q34" s="0"/>
      <c r="R34" s="0"/>
      <c r="S34" s="0"/>
      <c r="T34" s="0"/>
    </row>
    <row r="35" customFormat="false" ht="15.6" hidden="false" customHeight="false" outlineLevel="0" collapsed="false">
      <c r="A35" s="201" t="s">
        <v>271</v>
      </c>
      <c r="B35" s="195"/>
      <c r="C35" s="195"/>
      <c r="D35" s="87"/>
      <c r="E35" s="87"/>
      <c r="F35" s="87"/>
      <c r="G35" s="153" t="s">
        <v>113</v>
      </c>
      <c r="H35" s="202" t="n">
        <v>0</v>
      </c>
      <c r="I35" s="202" t="n">
        <v>0</v>
      </c>
      <c r="J35" s="202" t="n">
        <v>0</v>
      </c>
      <c r="K35" s="202" t="n">
        <v>0</v>
      </c>
      <c r="L35" s="195" t="n">
        <v>0</v>
      </c>
      <c r="M35" s="195" t="n">
        <v>0</v>
      </c>
      <c r="N35" s="195" t="n">
        <v>0</v>
      </c>
      <c r="O35" s="195" t="n">
        <v>0</v>
      </c>
      <c r="P35" s="195" t="n">
        <v>0</v>
      </c>
      <c r="Q35" s="195" t="n">
        <v>0</v>
      </c>
      <c r="R35" s="195" t="n">
        <v>0</v>
      </c>
      <c r="S35" s="195" t="n">
        <v>0</v>
      </c>
      <c r="T35" s="0"/>
    </row>
    <row r="36" customFormat="false" ht="15.6" hidden="false" customHeight="false" outlineLevel="0" collapsed="false">
      <c r="A36" s="77" t="s">
        <v>28</v>
      </c>
      <c r="B36" s="0"/>
      <c r="C36" s="0"/>
      <c r="D36" s="87"/>
      <c r="E36" s="87"/>
      <c r="F36" s="87"/>
      <c r="G36" s="153" t="s">
        <v>116</v>
      </c>
      <c r="H36" s="202" t="n">
        <f aca="false">'ref bearings, servo, structure'!B5</f>
        <v>647000</v>
      </c>
      <c r="I36" s="202" t="n">
        <f aca="false">H36</f>
        <v>647000</v>
      </c>
      <c r="J36" s="202" t="n">
        <f aca="false">I36</f>
        <v>647000</v>
      </c>
      <c r="K36" s="202" t="n">
        <f aca="false">J36</f>
        <v>647000</v>
      </c>
      <c r="L36" s="195" t="n">
        <v>0</v>
      </c>
      <c r="M36" s="195" t="n">
        <v>0</v>
      </c>
      <c r="N36" s="195" t="n">
        <v>0</v>
      </c>
      <c r="O36" s="195" t="n">
        <v>0</v>
      </c>
      <c r="P36" s="195" t="n">
        <v>0</v>
      </c>
      <c r="Q36" s="195" t="n">
        <v>0</v>
      </c>
      <c r="R36" s="195" t="n">
        <v>0</v>
      </c>
      <c r="S36" s="195" t="n">
        <v>0</v>
      </c>
      <c r="T36" s="0"/>
    </row>
    <row r="37" customFormat="false" ht="15.6" hidden="false" customHeight="false" outlineLevel="0" collapsed="false">
      <c r="A37" s="153" t="s">
        <v>273</v>
      </c>
      <c r="B37" s="195" t="n">
        <v>0</v>
      </c>
      <c r="C37" s="0"/>
      <c r="D37" s="87"/>
      <c r="E37" s="87"/>
      <c r="F37" s="87"/>
      <c r="G37" s="153" t="s">
        <v>118</v>
      </c>
      <c r="H37" s="202" t="n">
        <f aca="false">H36</f>
        <v>647000</v>
      </c>
      <c r="I37" s="202" t="n">
        <f aca="false">I36</f>
        <v>647000</v>
      </c>
      <c r="J37" s="202" t="n">
        <f aca="false">J36</f>
        <v>647000</v>
      </c>
      <c r="K37" s="202" t="n">
        <f aca="false">K36</f>
        <v>647000</v>
      </c>
      <c r="L37" s="195" t="n">
        <v>0</v>
      </c>
      <c r="M37" s="195" t="n">
        <v>0</v>
      </c>
      <c r="N37" s="195" t="n">
        <v>0</v>
      </c>
      <c r="O37" s="195" t="n">
        <v>0</v>
      </c>
      <c r="P37" s="195" t="n">
        <v>0</v>
      </c>
      <c r="Q37" s="195" t="n">
        <v>0</v>
      </c>
      <c r="R37" s="195" t="n">
        <v>0</v>
      </c>
      <c r="S37" s="195" t="n">
        <v>0</v>
      </c>
      <c r="T37" s="0"/>
    </row>
    <row r="38" customFormat="false" ht="15.6" hidden="false" customHeight="false" outlineLevel="0" collapsed="false">
      <c r="A38" s="153" t="s">
        <v>274</v>
      </c>
      <c r="B38" s="195" t="n">
        <v>0</v>
      </c>
      <c r="C38" s="0"/>
      <c r="D38" s="87"/>
      <c r="E38" s="87"/>
      <c r="F38" s="87"/>
      <c r="G38" s="134" t="s">
        <v>275</v>
      </c>
      <c r="H38" s="238"/>
      <c r="I38" s="238"/>
      <c r="J38" s="238"/>
      <c r="K38" s="238"/>
      <c r="L38" s="0"/>
      <c r="M38" s="0"/>
      <c r="N38" s="0"/>
      <c r="O38" s="0"/>
      <c r="P38" s="0"/>
      <c r="Q38" s="0"/>
      <c r="R38" s="0"/>
      <c r="S38" s="0"/>
      <c r="T38" s="0"/>
    </row>
    <row r="39" customFormat="false" ht="15.6" hidden="false" customHeight="false" outlineLevel="0" collapsed="false">
      <c r="A39" s="153" t="s">
        <v>276</v>
      </c>
      <c r="B39" s="195" t="n">
        <v>0</v>
      </c>
      <c r="C39" s="0"/>
      <c r="D39" s="87"/>
      <c r="E39" s="87"/>
      <c r="F39" s="87"/>
      <c r="G39" s="153" t="s">
        <v>120</v>
      </c>
      <c r="H39" s="202" t="n">
        <f aca="false">'ref bearings, servo, structure'!B10</f>
        <v>101093750</v>
      </c>
      <c r="I39" s="202" t="n">
        <f aca="false">H39</f>
        <v>101093750</v>
      </c>
      <c r="J39" s="202" t="n">
        <f aca="false">I39</f>
        <v>101093750</v>
      </c>
      <c r="K39" s="202" t="n">
        <f aca="false">J39</f>
        <v>101093750</v>
      </c>
      <c r="L39" s="195" t="n">
        <v>0</v>
      </c>
      <c r="M39" s="195" t="n">
        <v>0</v>
      </c>
      <c r="N39" s="195" t="n">
        <v>0</v>
      </c>
      <c r="O39" s="195" t="n">
        <v>0</v>
      </c>
      <c r="P39" s="195" t="n">
        <v>0</v>
      </c>
      <c r="Q39" s="195" t="n">
        <v>0</v>
      </c>
      <c r="R39" s="195" t="n">
        <v>0</v>
      </c>
      <c r="S39" s="195" t="n">
        <v>0</v>
      </c>
      <c r="T39" s="0"/>
    </row>
    <row r="40" customFormat="false" ht="15.6" hidden="false" customHeight="false" outlineLevel="0" collapsed="false">
      <c r="A40" s="165" t="s">
        <v>29</v>
      </c>
      <c r="B40" s="0"/>
      <c r="C40" s="0"/>
      <c r="D40" s="87"/>
      <c r="E40" s="87"/>
      <c r="F40" s="87"/>
      <c r="G40" s="153" t="s">
        <v>123</v>
      </c>
      <c r="H40" s="202" t="n">
        <f aca="false">'ref bearings, servo, structure'!B12</f>
        <v>33697916.6666667</v>
      </c>
      <c r="I40" s="202" t="n">
        <f aca="false">H40</f>
        <v>33697916.6666667</v>
      </c>
      <c r="J40" s="202" t="n">
        <f aca="false">I40</f>
        <v>33697916.6666667</v>
      </c>
      <c r="K40" s="202" t="n">
        <f aca="false">J40</f>
        <v>33697916.6666667</v>
      </c>
      <c r="L40" s="195" t="n">
        <v>0</v>
      </c>
      <c r="M40" s="195" t="n">
        <v>0</v>
      </c>
      <c r="N40" s="195" t="n">
        <v>0</v>
      </c>
      <c r="O40" s="195" t="n">
        <v>0</v>
      </c>
      <c r="P40" s="195" t="n">
        <v>0</v>
      </c>
      <c r="Q40" s="195" t="n">
        <v>0</v>
      </c>
      <c r="R40" s="195" t="n">
        <v>0</v>
      </c>
      <c r="S40" s="195" t="n">
        <v>0</v>
      </c>
      <c r="T40" s="0"/>
    </row>
    <row r="41" customFormat="false" ht="15.6" hidden="false" customHeight="false" outlineLevel="0" collapsed="false">
      <c r="A41" s="153" t="s">
        <v>273</v>
      </c>
      <c r="B41" s="195" t="n">
        <v>0</v>
      </c>
      <c r="C41" s="0"/>
      <c r="D41" s="0"/>
      <c r="E41" s="0"/>
      <c r="F41" s="0"/>
      <c r="G41" s="153" t="s">
        <v>125</v>
      </c>
      <c r="H41" s="202" t="n">
        <f aca="false">'ref bearings, servo, structure'!B11</f>
        <v>33697916.6666667</v>
      </c>
      <c r="I41" s="202" t="n">
        <f aca="false">H41</f>
        <v>33697916.6666667</v>
      </c>
      <c r="J41" s="202" t="n">
        <f aca="false">I41</f>
        <v>33697916.6666667</v>
      </c>
      <c r="K41" s="202" t="n">
        <f aca="false">J41</f>
        <v>33697916.6666667</v>
      </c>
      <c r="L41" s="195" t="n">
        <v>0</v>
      </c>
      <c r="M41" s="195" t="n">
        <v>0</v>
      </c>
      <c r="N41" s="195" t="n">
        <v>0</v>
      </c>
      <c r="O41" s="195" t="n">
        <v>0</v>
      </c>
      <c r="P41" s="195" t="n">
        <v>0</v>
      </c>
      <c r="Q41" s="195" t="n">
        <v>0</v>
      </c>
      <c r="R41" s="195" t="n">
        <v>0</v>
      </c>
      <c r="S41" s="195" t="n">
        <v>0</v>
      </c>
      <c r="T41" s="0"/>
    </row>
    <row r="42" customFormat="false" ht="15.6" hidden="false" customHeight="false" outlineLevel="0" collapsed="false">
      <c r="A42" s="153" t="s">
        <v>274</v>
      </c>
      <c r="B42" s="195" t="n">
        <v>0</v>
      </c>
      <c r="C42" s="0"/>
      <c r="D42" s="205"/>
      <c r="E42" s="205"/>
      <c r="F42" s="205"/>
      <c r="G42" s="134" t="s">
        <v>277</v>
      </c>
      <c r="H42" s="0"/>
      <c r="I42" s="0"/>
      <c r="J42" s="0"/>
      <c r="K42" s="0"/>
      <c r="L42" s="0"/>
      <c r="M42" s="0"/>
      <c r="N42" s="0"/>
      <c r="O42" s="0"/>
      <c r="P42" s="0"/>
      <c r="Q42" s="0"/>
      <c r="R42" s="0"/>
      <c r="S42" s="0"/>
      <c r="T42" s="0"/>
    </row>
    <row r="43" customFormat="false" ht="15.6" hidden="false" customHeight="false" outlineLevel="0" collapsed="false">
      <c r="A43" s="153" t="s">
        <v>276</v>
      </c>
      <c r="B43" s="195" t="n">
        <v>0</v>
      </c>
      <c r="C43" s="0"/>
      <c r="D43" s="131"/>
      <c r="E43" s="131"/>
      <c r="F43" s="131"/>
      <c r="G43" s="153" t="s">
        <v>120</v>
      </c>
      <c r="H43" s="188" t="n">
        <f aca="false">H36*H33^2+H37*H32^2</f>
        <v>1617500000</v>
      </c>
      <c r="I43" s="188" t="n">
        <f aca="false">I36*I33^2+I37*I32^2</f>
        <v>1617500000</v>
      </c>
      <c r="J43" s="188" t="n">
        <f aca="false">J36*J33^2+J37*J32^2</f>
        <v>1617500000</v>
      </c>
      <c r="K43" s="188" t="n">
        <f aca="false">K36*K33^2+K37*K32^2</f>
        <v>1617500000</v>
      </c>
      <c r="L43" s="24" t="n">
        <f aca="false">L36*L33^2+L37*L32^2</f>
        <v>0</v>
      </c>
      <c r="M43" s="24" t="n">
        <f aca="false">M36*M33^2+M37*M32^2</f>
        <v>0</v>
      </c>
      <c r="N43" s="24" t="n">
        <f aca="false">N36*N33^2+N37*N32^2</f>
        <v>0</v>
      </c>
      <c r="O43" s="24" t="n">
        <f aca="false">O36*O33^2+O37*O32^2</f>
        <v>0</v>
      </c>
      <c r="P43" s="24" t="n">
        <f aca="false">P36*P33^2+P37*P32^2</f>
        <v>0</v>
      </c>
      <c r="Q43" s="24" t="n">
        <f aca="false">Q36*Q33^2+Q37*Q32^2</f>
        <v>0</v>
      </c>
      <c r="R43" s="24" t="n">
        <f aca="false">R36*R33^2+R37*R32^2</f>
        <v>0</v>
      </c>
      <c r="S43" s="24" t="n">
        <f aca="false">S36*S33^2+S37*S32^2</f>
        <v>0</v>
      </c>
      <c r="T43" s="0"/>
    </row>
    <row r="44" customFormat="false" ht="15.6" hidden="false" customHeight="false" outlineLevel="0" collapsed="false">
      <c r="A44" s="76" t="s">
        <v>278</v>
      </c>
      <c r="B44" s="0"/>
      <c r="C44" s="87"/>
      <c r="D44" s="189"/>
      <c r="E44" s="189"/>
      <c r="F44" s="189"/>
      <c r="G44" s="153" t="s">
        <v>123</v>
      </c>
      <c r="H44" s="188" t="n">
        <f aca="false">H35*H33^2+H37*H31^2</f>
        <v>1617500000</v>
      </c>
      <c r="I44" s="188" t="n">
        <f aca="false">I35*I33^2+I37*I31^2</f>
        <v>1617500000</v>
      </c>
      <c r="J44" s="188" t="n">
        <f aca="false">J35*J33^2+J37*J31^2</f>
        <v>1617500000</v>
      </c>
      <c r="K44" s="188" t="n">
        <f aca="false">K35*K33^2+K37*K31^2</f>
        <v>1617500000</v>
      </c>
      <c r="L44" s="24" t="n">
        <f aca="false">L35*L33^2+L37*L31^2</f>
        <v>0</v>
      </c>
      <c r="M44" s="24" t="n">
        <f aca="false">M35*M33^2+M37*M31^2</f>
        <v>0</v>
      </c>
      <c r="N44" s="24" t="n">
        <f aca="false">N35*N33^2+N37*N31^2</f>
        <v>0</v>
      </c>
      <c r="O44" s="24" t="n">
        <f aca="false">O35*O33^2+O37*O31^2</f>
        <v>0</v>
      </c>
      <c r="P44" s="24" t="n">
        <f aca="false">P35*P33^2+P37*P31^2</f>
        <v>0</v>
      </c>
      <c r="Q44" s="24" t="n">
        <f aca="false">Q35*Q33^2+Q37*Q31^2</f>
        <v>0</v>
      </c>
      <c r="R44" s="24" t="n">
        <f aca="false">R35*R33^2+R37*R31^2</f>
        <v>0</v>
      </c>
      <c r="S44" s="24" t="n">
        <f aca="false">S35*S33^2+S37*S31^2</f>
        <v>0</v>
      </c>
      <c r="T44" s="0"/>
    </row>
    <row r="45" customFormat="false" ht="15.6" hidden="false" customHeight="false" outlineLevel="0" collapsed="false">
      <c r="A45" s="153" t="s">
        <v>279</v>
      </c>
      <c r="B45" s="24" t="n">
        <f aca="false">SQRT((H47^2+I47^2+J47^2+K47^2+L47^2+M47^2+N47^2+O47^2+P47^2+Q47^2+R47^2+S47^2)/H$28)</f>
        <v>0.005</v>
      </c>
      <c r="C45" s="87"/>
      <c r="D45" s="189"/>
      <c r="E45" s="189"/>
      <c r="F45" s="189"/>
      <c r="G45" s="153" t="s">
        <v>125</v>
      </c>
      <c r="H45" s="188" t="n">
        <f aca="false">H35*H32^2+H36*H31^2</f>
        <v>1617500000</v>
      </c>
      <c r="I45" s="188" t="n">
        <f aca="false">I35*I32^2+I36*I31^2</f>
        <v>1617500000</v>
      </c>
      <c r="J45" s="188" t="n">
        <f aca="false">J35*J32^2+J36*J31^2</f>
        <v>1617500000</v>
      </c>
      <c r="K45" s="188" t="n">
        <f aca="false">K35*K32^2+K36*K31^2</f>
        <v>1617500000</v>
      </c>
      <c r="L45" s="24" t="n">
        <f aca="false">L35*L32^2+L36*L31^2</f>
        <v>0</v>
      </c>
      <c r="M45" s="24" t="n">
        <f aca="false">M35*M32^2+M36*M31^2</f>
        <v>0</v>
      </c>
      <c r="N45" s="24" t="n">
        <f aca="false">N35*N32^2+N36*N31^2</f>
        <v>0</v>
      </c>
      <c r="O45" s="24" t="n">
        <f aca="false">O35*O32^2+O36*O31^2</f>
        <v>0</v>
      </c>
      <c r="P45" s="24" t="n">
        <f aca="false">P35*P32^2+P36*P31^2</f>
        <v>0</v>
      </c>
      <c r="Q45" s="24" t="n">
        <f aca="false">Q35*Q32^2+Q36*Q31^2</f>
        <v>0</v>
      </c>
      <c r="R45" s="24" t="n">
        <f aca="false">R35*R32^2+R36*R31^2</f>
        <v>0</v>
      </c>
      <c r="S45" s="24" t="n">
        <f aca="false">S35*S32^2+S36*S31^2</f>
        <v>0</v>
      </c>
      <c r="T45" s="0"/>
    </row>
    <row r="46" customFormat="false" ht="15.6" hidden="false" customHeight="false" outlineLevel="0" collapsed="false">
      <c r="A46" s="153" t="s">
        <v>280</v>
      </c>
      <c r="B46" s="24" t="n">
        <f aca="false">SQRT((H48^2+I48^2+J48^2+K48^2+L48^2+M48^2+N48^2+O48^2+P48^2+Q48^2+R48^2+S48^2)/H$28)</f>
        <v>0.005</v>
      </c>
      <c r="C46" s="87"/>
      <c r="D46" s="189"/>
      <c r="E46" s="189"/>
      <c r="F46" s="189"/>
      <c r="G46" s="134" t="s">
        <v>281</v>
      </c>
      <c r="H46" s="0"/>
      <c r="I46" s="0"/>
      <c r="J46" s="0"/>
      <c r="K46" s="0"/>
      <c r="L46" s="0"/>
      <c r="M46" s="0"/>
      <c r="N46" s="0"/>
      <c r="O46" s="0"/>
      <c r="P46" s="0"/>
      <c r="Q46" s="0"/>
      <c r="R46" s="0"/>
      <c r="S46" s="0"/>
      <c r="T46" s="0"/>
    </row>
    <row r="47" customFormat="false" ht="15.6" hidden="false" customHeight="false" outlineLevel="0" collapsed="false">
      <c r="A47" s="153" t="s">
        <v>282</v>
      </c>
      <c r="B47" s="24" t="n">
        <f aca="false">SQRT((H49^2+I49^2+J49^2+K49^2+L49^2+M49^2+N49^2+O49^2+P49^2+Q49^2+R49^2+S49^2)/H$28)</f>
        <v>0.005</v>
      </c>
      <c r="C47" s="87"/>
      <c r="D47" s="192"/>
      <c r="E47" s="192"/>
      <c r="F47" s="192"/>
      <c r="G47" s="153" t="s">
        <v>279</v>
      </c>
      <c r="H47" s="195" t="n">
        <f aca="false">0.005</f>
        <v>0.005</v>
      </c>
      <c r="I47" s="195" t="n">
        <f aca="false">0.005</f>
        <v>0.005</v>
      </c>
      <c r="J47" s="195" t="n">
        <f aca="false">0.005</f>
        <v>0.005</v>
      </c>
      <c r="K47" s="195" t="n">
        <f aca="false">0.005</f>
        <v>0.005</v>
      </c>
      <c r="L47" s="195" t="n">
        <v>0</v>
      </c>
      <c r="M47" s="195" t="n">
        <v>0</v>
      </c>
      <c r="N47" s="195" t="n">
        <v>0</v>
      </c>
      <c r="O47" s="195" t="n">
        <v>0</v>
      </c>
      <c r="P47" s="195" t="n">
        <v>0</v>
      </c>
      <c r="Q47" s="195" t="n">
        <v>0</v>
      </c>
      <c r="R47" s="195" t="n">
        <v>0</v>
      </c>
      <c r="S47" s="195" t="n">
        <v>0</v>
      </c>
      <c r="T47" s="0"/>
    </row>
    <row r="48" customFormat="false" ht="15.6" hidden="false" customHeight="false" outlineLevel="0" collapsed="false">
      <c r="A48" s="153" t="s">
        <v>97</v>
      </c>
      <c r="B48" s="24" t="n">
        <f aca="false">SQRT((H51^2+I51^2+J51^2+K51^2+L51^2+M51^2+N51^2+O51^2+P51^2+Q51^2+R51^2+S51^2+B37^2)/H$28)</f>
        <v>0.0001</v>
      </c>
      <c r="C48" s="87"/>
      <c r="D48" s="189"/>
      <c r="E48" s="189"/>
      <c r="F48" s="189"/>
      <c r="G48" s="153" t="s">
        <v>280</v>
      </c>
      <c r="H48" s="195" t="n">
        <f aca="false">0.005</f>
        <v>0.005</v>
      </c>
      <c r="I48" s="195" t="n">
        <f aca="false">0.005</f>
        <v>0.005</v>
      </c>
      <c r="J48" s="195" t="n">
        <f aca="false">0.005</f>
        <v>0.005</v>
      </c>
      <c r="K48" s="195" t="n">
        <f aca="false">0.005</f>
        <v>0.005</v>
      </c>
      <c r="L48" s="195" t="n">
        <v>0</v>
      </c>
      <c r="M48" s="195" t="n">
        <v>0</v>
      </c>
      <c r="N48" s="195" t="n">
        <v>0</v>
      </c>
      <c r="O48" s="195" t="n">
        <v>0</v>
      </c>
      <c r="P48" s="195" t="n">
        <v>0</v>
      </c>
      <c r="Q48" s="195" t="n">
        <v>0</v>
      </c>
      <c r="R48" s="195" t="n">
        <v>0</v>
      </c>
      <c r="S48" s="195" t="n">
        <v>0</v>
      </c>
      <c r="T48" s="0"/>
    </row>
    <row r="49" customFormat="false" ht="15.6" hidden="false" customHeight="false" outlineLevel="0" collapsed="false">
      <c r="A49" s="153" t="s">
        <v>100</v>
      </c>
      <c r="B49" s="24" t="n">
        <f aca="false">SQRT((H52^2+I52^2+J52^2+K52^2+L52^2+M52^2+N52^2+O52^2+P52^2+Q52^2+R52^2+S52^2+B38^2)/H$28)</f>
        <v>9.99999990000001E-005</v>
      </c>
      <c r="C49" s="0"/>
      <c r="D49" s="189"/>
      <c r="E49" s="189"/>
      <c r="F49" s="189"/>
      <c r="G49" s="153" t="s">
        <v>282</v>
      </c>
      <c r="H49" s="195" t="n">
        <f aca="false">0.005</f>
        <v>0.005</v>
      </c>
      <c r="I49" s="195" t="n">
        <f aca="false">0.005</f>
        <v>0.005</v>
      </c>
      <c r="J49" s="195" t="n">
        <f aca="false">0.005</f>
        <v>0.005</v>
      </c>
      <c r="K49" s="195" t="n">
        <f aca="false">0.005</f>
        <v>0.005</v>
      </c>
      <c r="L49" s="195" t="n">
        <v>0</v>
      </c>
      <c r="M49" s="195" t="n">
        <v>0</v>
      </c>
      <c r="N49" s="195" t="n">
        <v>0</v>
      </c>
      <c r="O49" s="195" t="n">
        <v>0</v>
      </c>
      <c r="P49" s="195" t="n">
        <v>0</v>
      </c>
      <c r="Q49" s="195" t="n">
        <v>0</v>
      </c>
      <c r="R49" s="195" t="n">
        <v>0</v>
      </c>
      <c r="S49" s="195" t="n">
        <v>0</v>
      </c>
      <c r="T49" s="0"/>
    </row>
    <row r="50" customFormat="false" ht="15.6" hidden="false" customHeight="false" outlineLevel="0" collapsed="false">
      <c r="A50" s="153" t="s">
        <v>104</v>
      </c>
      <c r="B50" s="24" t="n">
        <f aca="false">SQRT((H53^2+I53^2+J53^2+K53^2+L53^2+M53^2+N53^2+O53^2+P53^2+Q53^2+R53^2+S53^2+B39^2)/H$28)</f>
        <v>0.0001</v>
      </c>
      <c r="C50" s="87"/>
      <c r="D50" s="189"/>
      <c r="E50" s="189"/>
      <c r="F50" s="189"/>
      <c r="G50" s="134" t="s">
        <v>283</v>
      </c>
      <c r="H50" s="0"/>
      <c r="I50" s="0"/>
      <c r="J50" s="0"/>
      <c r="K50" s="0"/>
      <c r="L50" s="0"/>
      <c r="M50" s="0"/>
      <c r="N50" s="0"/>
      <c r="O50" s="0"/>
      <c r="P50" s="0"/>
      <c r="Q50" s="0"/>
      <c r="R50" s="0"/>
      <c r="S50" s="0"/>
      <c r="T50" s="0"/>
    </row>
    <row r="51" customFormat="false" ht="46.8" hidden="false" customHeight="false" outlineLevel="0" collapsed="false">
      <c r="A51" s="206" t="s">
        <v>284</v>
      </c>
      <c r="B51" s="25"/>
      <c r="C51" s="87"/>
      <c r="D51" s="207"/>
      <c r="E51" s="207"/>
      <c r="F51" s="207"/>
      <c r="G51" s="153" t="s">
        <v>97</v>
      </c>
      <c r="H51" s="188" t="n">
        <f aca="false">H98</f>
        <v>9.99999980000001E-005</v>
      </c>
      <c r="I51" s="188" t="n">
        <f aca="false">I98</f>
        <v>9.99999980000001E-005</v>
      </c>
      <c r="J51" s="188" t="n">
        <f aca="false">J98</f>
        <v>0.000100000002</v>
      </c>
      <c r="K51" s="188" t="n">
        <f aca="false">K98</f>
        <v>0.000100000002</v>
      </c>
      <c r="L51" s="188" t="n">
        <f aca="false">L98</f>
        <v>0</v>
      </c>
      <c r="M51" s="188" t="n">
        <f aca="false">M98</f>
        <v>0</v>
      </c>
      <c r="N51" s="188" t="n">
        <f aca="false">N98</f>
        <v>0</v>
      </c>
      <c r="O51" s="188" t="n">
        <f aca="false">O98</f>
        <v>0</v>
      </c>
      <c r="P51" s="188" t="n">
        <f aca="false">P98</f>
        <v>0</v>
      </c>
      <c r="Q51" s="188" t="n">
        <f aca="false">Q98</f>
        <v>0</v>
      </c>
      <c r="R51" s="188" t="n">
        <f aca="false">R98</f>
        <v>0</v>
      </c>
      <c r="S51" s="188" t="n">
        <f aca="false">S98</f>
        <v>0</v>
      </c>
      <c r="T51" s="0"/>
    </row>
    <row r="52" customFormat="false" ht="15.6" hidden="false" customHeight="false" outlineLevel="0" collapsed="false">
      <c r="A52" s="153" t="s">
        <v>279</v>
      </c>
      <c r="B52" s="24" t="n">
        <f aca="false">SQRT((H55^2+I55^2+J55^2+K55^2+L55^2+M55^2+N55^2+O55^2+P55^2+Q55^2+R55^2+S55^2)/H$28)</f>
        <v>0</v>
      </c>
      <c r="C52" s="87"/>
      <c r="D52" s="207"/>
      <c r="E52" s="207"/>
      <c r="F52" s="207"/>
      <c r="G52" s="153" t="s">
        <v>100</v>
      </c>
      <c r="H52" s="188" t="n">
        <f aca="false">H102</f>
        <v>9.99999980000001E-005</v>
      </c>
      <c r="I52" s="188" t="n">
        <f aca="false">I102</f>
        <v>9.99999980000001E-005</v>
      </c>
      <c r="J52" s="188" t="n">
        <f aca="false">J102</f>
        <v>0.000100000002</v>
      </c>
      <c r="K52" s="188" t="n">
        <f aca="false">K102</f>
        <v>9.99999980000001E-005</v>
      </c>
      <c r="L52" s="188" t="n">
        <f aca="false">L102</f>
        <v>0</v>
      </c>
      <c r="M52" s="188" t="n">
        <f aca="false">M102</f>
        <v>0</v>
      </c>
      <c r="N52" s="188" t="n">
        <f aca="false">N102</f>
        <v>0</v>
      </c>
      <c r="O52" s="188" t="n">
        <f aca="false">O102</f>
        <v>0</v>
      </c>
      <c r="P52" s="188" t="n">
        <f aca="false">P102</f>
        <v>0</v>
      </c>
      <c r="Q52" s="188" t="n">
        <f aca="false">Q102</f>
        <v>0</v>
      </c>
      <c r="R52" s="188" t="n">
        <f aca="false">R102</f>
        <v>0</v>
      </c>
      <c r="S52" s="188" t="n">
        <f aca="false">S102</f>
        <v>0</v>
      </c>
      <c r="T52" s="208"/>
    </row>
    <row r="53" customFormat="false" ht="15.6" hidden="false" customHeight="false" outlineLevel="0" collapsed="false">
      <c r="A53" s="153" t="s">
        <v>280</v>
      </c>
      <c r="B53" s="24" t="n">
        <f aca="false">SQRT((H56^2+I56^2+J56^2+K56^2+L56^2+M56^2+N56^2+O56^2+P56^2+Q56^2+R56^2+S56^2)/H$28)</f>
        <v>0</v>
      </c>
      <c r="C53" s="87"/>
      <c r="D53" s="207"/>
      <c r="E53" s="207"/>
      <c r="F53" s="207"/>
      <c r="G53" s="153" t="s">
        <v>104</v>
      </c>
      <c r="H53" s="188" t="n">
        <f aca="false">H106</f>
        <v>9.99999980000001E-005</v>
      </c>
      <c r="I53" s="188" t="n">
        <f aca="false">I106</f>
        <v>0.000100000002</v>
      </c>
      <c r="J53" s="188" t="n">
        <f aca="false">J106</f>
        <v>0.000100000002</v>
      </c>
      <c r="K53" s="188" t="n">
        <f aca="false">K106</f>
        <v>9.99999980000001E-005</v>
      </c>
      <c r="L53" s="188" t="n">
        <f aca="false">L106</f>
        <v>0</v>
      </c>
      <c r="M53" s="188" t="n">
        <f aca="false">M106</f>
        <v>0</v>
      </c>
      <c r="N53" s="188" t="n">
        <f aca="false">N106</f>
        <v>0</v>
      </c>
      <c r="O53" s="188" t="n">
        <f aca="false">O106</f>
        <v>0</v>
      </c>
      <c r="P53" s="188" t="n">
        <f aca="false">P106</f>
        <v>0</v>
      </c>
      <c r="Q53" s="188" t="n">
        <f aca="false">Q106</f>
        <v>0</v>
      </c>
      <c r="R53" s="188" t="n">
        <f aca="false">R106</f>
        <v>0</v>
      </c>
      <c r="S53" s="188" t="n">
        <f aca="false">S106</f>
        <v>0</v>
      </c>
    </row>
    <row r="54" customFormat="false" ht="15.6" hidden="false" customHeight="false" outlineLevel="0" collapsed="false">
      <c r="A54" s="153" t="s">
        <v>282</v>
      </c>
      <c r="B54" s="24" t="n">
        <f aca="false">SQRT((H57^2+I57^2+J57^2+K57^2+L57^2+M57^2+N57^2+O57^2+P57^2+Q57^2+R57^2+S57^2)/H$28)</f>
        <v>0</v>
      </c>
      <c r="C54" s="87"/>
      <c r="D54" s="195"/>
      <c r="E54" s="195"/>
      <c r="F54" s="195"/>
      <c r="G54" s="134" t="s">
        <v>285</v>
      </c>
      <c r="H54" s="0"/>
      <c r="I54" s="0"/>
      <c r="J54" s="0"/>
      <c r="K54" s="0"/>
      <c r="L54" s="0"/>
      <c r="M54" s="0"/>
      <c r="N54" s="0"/>
      <c r="O54" s="0"/>
      <c r="P54" s="0"/>
      <c r="Q54" s="0"/>
      <c r="R54" s="0"/>
      <c r="S54" s="0"/>
    </row>
    <row r="55" customFormat="false" ht="15.6" hidden="false" customHeight="false" outlineLevel="0" collapsed="false">
      <c r="A55" s="153" t="s">
        <v>97</v>
      </c>
      <c r="B55" s="24" t="n">
        <f aca="false">SQRT((H59^2+I59^2+J59^2+K59^2+L59^2+M59^2+N59^2+O59^2+P59^2+Q59^2+R59^2+S59^2+B41^2)/H$28)</f>
        <v>0</v>
      </c>
      <c r="C55" s="87"/>
      <c r="G55" s="153" t="s">
        <v>279</v>
      </c>
      <c r="H55" s="195" t="n">
        <v>0</v>
      </c>
      <c r="I55" s="195" t="n">
        <v>0</v>
      </c>
      <c r="J55" s="195" t="n">
        <v>0</v>
      </c>
      <c r="K55" s="195" t="n">
        <v>0</v>
      </c>
      <c r="L55" s="195" t="n">
        <v>0</v>
      </c>
      <c r="M55" s="195" t="n">
        <v>0</v>
      </c>
      <c r="N55" s="195" t="n">
        <v>0</v>
      </c>
      <c r="O55" s="195" t="n">
        <v>0</v>
      </c>
      <c r="P55" s="195" t="n">
        <v>0</v>
      </c>
      <c r="Q55" s="195" t="n">
        <v>0</v>
      </c>
      <c r="R55" s="195" t="n">
        <v>0</v>
      </c>
      <c r="S55" s="195" t="n">
        <v>0</v>
      </c>
    </row>
    <row r="56" customFormat="false" ht="15.6" hidden="false" customHeight="false" outlineLevel="0" collapsed="false">
      <c r="A56" s="153" t="s">
        <v>100</v>
      </c>
      <c r="B56" s="24" t="n">
        <f aca="false">SQRT((H60^2+I60^2+J60^2+K60^2+L60^2+M60^2+N60^2+O60^2+P60^2+Q60^2+R60^2+S60^2+B42^2)/H$28)</f>
        <v>0</v>
      </c>
      <c r="G56" s="153" t="s">
        <v>280</v>
      </c>
      <c r="H56" s="195" t="n">
        <v>0</v>
      </c>
      <c r="I56" s="195" t="n">
        <v>0</v>
      </c>
      <c r="J56" s="195" t="n">
        <v>0</v>
      </c>
      <c r="K56" s="195" t="n">
        <v>0</v>
      </c>
      <c r="L56" s="195" t="n">
        <v>0</v>
      </c>
      <c r="M56" s="195" t="n">
        <v>0</v>
      </c>
      <c r="N56" s="195" t="n">
        <v>0</v>
      </c>
      <c r="O56" s="195" t="n">
        <v>0</v>
      </c>
      <c r="P56" s="195" t="n">
        <v>0</v>
      </c>
      <c r="Q56" s="195" t="n">
        <v>0</v>
      </c>
      <c r="R56" s="195" t="n">
        <v>0</v>
      </c>
      <c r="S56" s="195" t="n">
        <v>0</v>
      </c>
    </row>
    <row r="57" customFormat="false" ht="15.6" hidden="false" customHeight="false" outlineLevel="0" collapsed="false">
      <c r="A57" s="153" t="s">
        <v>104</v>
      </c>
      <c r="B57" s="24" t="n">
        <f aca="false">SQRT((H61^2+I61^2+J61^2+K61^2+L61^2+M61^2+N61^2+O61^2+P61^2+Q61^2+R61^2+S61^2+B43^2)/H$28)</f>
        <v>0</v>
      </c>
      <c r="G57" s="153" t="s">
        <v>282</v>
      </c>
      <c r="H57" s="195" t="n">
        <v>0</v>
      </c>
      <c r="I57" s="195" t="n">
        <v>0</v>
      </c>
      <c r="J57" s="195" t="n">
        <v>0</v>
      </c>
      <c r="K57" s="195" t="n">
        <v>0</v>
      </c>
      <c r="L57" s="195" t="n">
        <v>0</v>
      </c>
      <c r="M57" s="195" t="n">
        <v>0</v>
      </c>
      <c r="N57" s="195" t="n">
        <v>0</v>
      </c>
      <c r="O57" s="195" t="n">
        <v>0</v>
      </c>
      <c r="P57" s="195" t="n">
        <v>0</v>
      </c>
      <c r="Q57" s="195" t="n">
        <v>0</v>
      </c>
      <c r="R57" s="195" t="n">
        <v>0</v>
      </c>
      <c r="S57" s="195" t="n">
        <v>0</v>
      </c>
    </row>
    <row r="58" customFormat="false" ht="15.6" hidden="false" customHeight="false" outlineLevel="0" collapsed="false">
      <c r="A58" s="0"/>
      <c r="B58" s="0"/>
      <c r="G58" s="134" t="s">
        <v>286</v>
      </c>
      <c r="H58" s="0"/>
      <c r="I58" s="0"/>
      <c r="J58" s="0"/>
      <c r="K58" s="0"/>
      <c r="L58" s="0"/>
      <c r="M58" s="0"/>
      <c r="N58" s="0"/>
      <c r="O58" s="0"/>
      <c r="P58" s="0"/>
      <c r="Q58" s="0"/>
      <c r="R58" s="0"/>
      <c r="S58" s="0"/>
    </row>
    <row r="59" customFormat="false" ht="15.6" hidden="false" customHeight="false" outlineLevel="0" collapsed="false">
      <c r="A59" s="0"/>
      <c r="B59" s="0"/>
      <c r="G59" s="153" t="s">
        <v>97</v>
      </c>
      <c r="H59" s="188" t="n">
        <f aca="false">H113</f>
        <v>0</v>
      </c>
      <c r="I59" s="188" t="n">
        <f aca="false">I113</f>
        <v>0</v>
      </c>
      <c r="J59" s="188" t="n">
        <f aca="false">J113</f>
        <v>0</v>
      </c>
      <c r="K59" s="188" t="n">
        <f aca="false">K113</f>
        <v>0</v>
      </c>
      <c r="L59" s="188" t="n">
        <f aca="false">L113</f>
        <v>0</v>
      </c>
      <c r="M59" s="188" t="n">
        <f aca="false">M113</f>
        <v>0</v>
      </c>
      <c r="N59" s="188" t="n">
        <f aca="false">N113</f>
        <v>0</v>
      </c>
      <c r="O59" s="188" t="n">
        <f aca="false">O113</f>
        <v>0</v>
      </c>
      <c r="P59" s="188" t="n">
        <f aca="false">P113</f>
        <v>0</v>
      </c>
      <c r="Q59" s="188" t="n">
        <f aca="false">Q113</f>
        <v>0</v>
      </c>
      <c r="R59" s="188" t="n">
        <f aca="false">R113</f>
        <v>0</v>
      </c>
      <c r="S59" s="188" t="n">
        <f aca="false">S113</f>
        <v>0</v>
      </c>
    </row>
    <row r="60" customFormat="false" ht="15.6" hidden="false" customHeight="false" outlineLevel="0" collapsed="false">
      <c r="A60" s="0"/>
      <c r="B60" s="0"/>
      <c r="G60" s="153" t="s">
        <v>100</v>
      </c>
      <c r="H60" s="188" t="n">
        <f aca="false">H118</f>
        <v>0</v>
      </c>
      <c r="I60" s="188" t="n">
        <f aca="false">I118</f>
        <v>0</v>
      </c>
      <c r="J60" s="188" t="n">
        <f aca="false">J118</f>
        <v>0</v>
      </c>
      <c r="K60" s="188" t="n">
        <f aca="false">K118</f>
        <v>0</v>
      </c>
      <c r="L60" s="188" t="n">
        <f aca="false">L118</f>
        <v>0</v>
      </c>
      <c r="M60" s="188" t="n">
        <f aca="false">M118</f>
        <v>0</v>
      </c>
      <c r="N60" s="188" t="n">
        <f aca="false">N118</f>
        <v>0</v>
      </c>
      <c r="O60" s="188" t="n">
        <f aca="false">O118</f>
        <v>0</v>
      </c>
      <c r="P60" s="188" t="n">
        <f aca="false">P118</f>
        <v>0</v>
      </c>
      <c r="Q60" s="188" t="n">
        <f aca="false">Q118</f>
        <v>0</v>
      </c>
      <c r="R60" s="188" t="n">
        <f aca="false">R118</f>
        <v>0</v>
      </c>
      <c r="S60" s="188" t="n">
        <f aca="false">S118</f>
        <v>0</v>
      </c>
    </row>
    <row r="61" customFormat="false" ht="15.6" hidden="false" customHeight="false" outlineLevel="0" collapsed="false">
      <c r="A61" s="0"/>
      <c r="B61" s="0"/>
      <c r="G61" s="153" t="s">
        <v>104</v>
      </c>
      <c r="H61" s="188" t="n">
        <f aca="false">H123</f>
        <v>0</v>
      </c>
      <c r="I61" s="188" t="n">
        <f aca="false">I123</f>
        <v>0</v>
      </c>
      <c r="J61" s="188" t="n">
        <f aca="false">J123</f>
        <v>0</v>
      </c>
      <c r="K61" s="188" t="n">
        <f aca="false">K123</f>
        <v>0</v>
      </c>
      <c r="L61" s="188" t="n">
        <f aca="false">L123</f>
        <v>0</v>
      </c>
      <c r="M61" s="188" t="n">
        <f aca="false">M123</f>
        <v>0</v>
      </c>
      <c r="N61" s="188" t="n">
        <f aca="false">N123</f>
        <v>0</v>
      </c>
      <c r="O61" s="188" t="n">
        <f aca="false">O123</f>
        <v>0</v>
      </c>
      <c r="P61" s="188" t="n">
        <f aca="false">P123</f>
        <v>0</v>
      </c>
      <c r="Q61" s="188" t="n">
        <f aca="false">Q123</f>
        <v>0</v>
      </c>
      <c r="R61" s="188" t="n">
        <f aca="false">R123</f>
        <v>0</v>
      </c>
      <c r="S61" s="188" t="n">
        <f aca="false">S123</f>
        <v>0</v>
      </c>
    </row>
    <row r="62" customFormat="false" ht="15.6" hidden="false" customHeight="false" outlineLevel="0" collapsed="false">
      <c r="A62" s="0"/>
      <c r="B62" s="0"/>
      <c r="G62" s="76"/>
      <c r="H62" s="0"/>
      <c r="I62" s="0"/>
      <c r="J62" s="0"/>
      <c r="K62" s="0"/>
      <c r="L62" s="0"/>
      <c r="M62" s="0"/>
      <c r="N62" s="0"/>
      <c r="O62" s="0"/>
      <c r="P62" s="0"/>
      <c r="Q62" s="0"/>
      <c r="R62" s="0"/>
      <c r="S62" s="0"/>
    </row>
    <row r="63" customFormat="false" ht="15.6" hidden="false" customHeight="false" outlineLevel="0" collapsed="false">
      <c r="A63" s="0"/>
      <c r="B63" s="0"/>
      <c r="G63" s="0"/>
      <c r="H63" s="0"/>
      <c r="I63" s="143"/>
      <c r="J63" s="143"/>
      <c r="K63" s="143"/>
      <c r="L63" s="143"/>
      <c r="M63" s="143"/>
      <c r="N63" s="143"/>
      <c r="O63" s="0"/>
      <c r="P63" s="0"/>
      <c r="Q63" s="0"/>
      <c r="R63" s="0"/>
      <c r="S63" s="0"/>
    </row>
    <row r="64" customFormat="false" ht="15.6" hidden="false" customHeight="false" outlineLevel="0" collapsed="false">
      <c r="A64" s="0"/>
      <c r="B64" s="0"/>
      <c r="G64" s="209"/>
      <c r="H64" s="210"/>
      <c r="I64" s="261"/>
      <c r="J64" s="261"/>
      <c r="K64" s="261"/>
      <c r="L64" s="261"/>
      <c r="M64" s="261"/>
      <c r="N64" s="261"/>
      <c r="O64" s="143"/>
      <c r="P64" s="0"/>
      <c r="Q64" s="0"/>
      <c r="R64" s="0"/>
      <c r="S64" s="0"/>
    </row>
    <row r="65" customFormat="false" ht="15.6" hidden="false" customHeight="false" outlineLevel="0" collapsed="false">
      <c r="A65" s="0"/>
      <c r="B65" s="0"/>
      <c r="G65" s="209"/>
      <c r="H65" s="210"/>
      <c r="I65" s="261"/>
      <c r="J65" s="261"/>
      <c r="K65" s="261"/>
      <c r="L65" s="261"/>
      <c r="M65" s="261"/>
      <c r="N65" s="261"/>
      <c r="O65" s="143"/>
      <c r="P65" s="0"/>
      <c r="Q65" s="0"/>
      <c r="R65" s="0"/>
      <c r="S65" s="0"/>
    </row>
    <row r="66" customFormat="false" ht="15.6" hidden="false" customHeight="false" outlineLevel="0" collapsed="false">
      <c r="A66" s="0"/>
      <c r="B66" s="0"/>
      <c r="G66" s="209"/>
      <c r="H66" s="210"/>
      <c r="I66" s="261"/>
      <c r="J66" s="261"/>
      <c r="K66" s="261"/>
      <c r="L66" s="261"/>
      <c r="M66" s="261"/>
      <c r="N66" s="261"/>
      <c r="O66" s="143"/>
      <c r="P66" s="0"/>
      <c r="Q66" s="0"/>
      <c r="R66" s="0"/>
      <c r="S66" s="0"/>
    </row>
    <row r="67" customFormat="false" ht="15.6" hidden="false" customHeight="false" outlineLevel="0" collapsed="false">
      <c r="A67" s="0"/>
      <c r="B67" s="0"/>
      <c r="G67" s="209"/>
      <c r="H67" s="210"/>
      <c r="I67" s="261"/>
      <c r="J67" s="261"/>
      <c r="K67" s="261"/>
      <c r="L67" s="261"/>
      <c r="M67" s="261"/>
      <c r="N67" s="261"/>
      <c r="O67" s="143"/>
      <c r="P67" s="0"/>
      <c r="Q67" s="0"/>
      <c r="R67" s="0"/>
      <c r="S67" s="0"/>
    </row>
    <row r="68" customFormat="false" ht="15.6" hidden="false" customHeight="false" outlineLevel="0" collapsed="false">
      <c r="A68" s="0"/>
      <c r="B68" s="0"/>
      <c r="G68" s="209"/>
      <c r="H68" s="210"/>
      <c r="I68" s="261"/>
      <c r="J68" s="261"/>
      <c r="K68" s="261"/>
      <c r="L68" s="261"/>
      <c r="M68" s="261"/>
      <c r="N68" s="261"/>
      <c r="O68" s="143"/>
      <c r="P68" s="0"/>
      <c r="Q68" s="0"/>
      <c r="R68" s="0"/>
      <c r="S68" s="0"/>
    </row>
    <row r="69" customFormat="false" ht="15.6" hidden="false" customHeight="false" outlineLevel="0" collapsed="false">
      <c r="A69" s="0"/>
      <c r="B69" s="0"/>
      <c r="G69" s="209"/>
      <c r="H69" s="210"/>
      <c r="I69" s="261"/>
      <c r="J69" s="261"/>
      <c r="K69" s="261"/>
      <c r="L69" s="261"/>
      <c r="M69" s="261"/>
      <c r="N69" s="261"/>
      <c r="O69" s="143"/>
      <c r="P69" s="0"/>
      <c r="Q69" s="0"/>
      <c r="R69" s="0"/>
      <c r="S69" s="0"/>
    </row>
    <row r="70" customFormat="false" ht="15.6" hidden="false" customHeight="false" outlineLevel="0" collapsed="false">
      <c r="A70" s="0"/>
      <c r="B70" s="0"/>
      <c r="G70" s="209"/>
      <c r="H70" s="210"/>
      <c r="I70" s="211"/>
      <c r="J70" s="211"/>
      <c r="K70" s="211"/>
      <c r="L70" s="211"/>
      <c r="M70" s="211"/>
      <c r="N70" s="211"/>
      <c r="O70" s="143"/>
      <c r="P70" s="0"/>
      <c r="Q70" s="0"/>
      <c r="R70" s="0"/>
      <c r="S70" s="0"/>
    </row>
    <row r="71" customFormat="false" ht="15.6" hidden="false" customHeight="false" outlineLevel="0" collapsed="false">
      <c r="A71" s="0"/>
      <c r="B71" s="0"/>
      <c r="G71" s="209"/>
      <c r="H71" s="210"/>
      <c r="I71" s="211"/>
      <c r="J71" s="211"/>
      <c r="K71" s="211"/>
      <c r="L71" s="211"/>
      <c r="M71" s="211"/>
      <c r="N71" s="211"/>
      <c r="O71" s="143"/>
      <c r="P71" s="0"/>
      <c r="Q71" s="0"/>
      <c r="R71" s="0"/>
      <c r="S71" s="0"/>
    </row>
    <row r="72" customFormat="false" ht="15.6" hidden="false" customHeight="false" outlineLevel="0" collapsed="false">
      <c r="A72" s="0"/>
      <c r="B72" s="0"/>
      <c r="G72" s="209"/>
      <c r="H72" s="210"/>
      <c r="I72" s="211"/>
      <c r="J72" s="211"/>
      <c r="K72" s="211"/>
      <c r="L72" s="211"/>
      <c r="M72" s="211"/>
      <c r="N72" s="211"/>
      <c r="O72" s="143"/>
      <c r="P72" s="0"/>
      <c r="Q72" s="0"/>
      <c r="R72" s="0"/>
      <c r="S72" s="0"/>
    </row>
    <row r="73" customFormat="false" ht="15.6" hidden="false" customHeight="false" outlineLevel="0" collapsed="false">
      <c r="A73" s="0"/>
      <c r="B73" s="0"/>
      <c r="G73" s="209"/>
      <c r="H73" s="210"/>
      <c r="I73" s="211"/>
      <c r="J73" s="211"/>
      <c r="K73" s="211"/>
      <c r="L73" s="211"/>
      <c r="M73" s="211"/>
      <c r="N73" s="211"/>
      <c r="O73" s="143"/>
      <c r="P73" s="0"/>
      <c r="Q73" s="0"/>
      <c r="R73" s="0"/>
      <c r="S73" s="0"/>
    </row>
    <row r="74" customFormat="false" ht="15.6" hidden="false" customHeight="false" outlineLevel="0" collapsed="false">
      <c r="A74" s="0"/>
      <c r="B74" s="0"/>
      <c r="G74" s="209"/>
      <c r="H74" s="210"/>
      <c r="I74" s="211"/>
      <c r="J74" s="211"/>
      <c r="K74" s="211"/>
      <c r="L74" s="211"/>
      <c r="M74" s="211"/>
      <c r="N74" s="211"/>
      <c r="O74" s="143"/>
      <c r="P74" s="0"/>
      <c r="Q74" s="0"/>
      <c r="R74" s="0"/>
      <c r="S74" s="0"/>
    </row>
    <row r="75" customFormat="false" ht="15.6" hidden="false" customHeight="false" outlineLevel="0" collapsed="false">
      <c r="A75" s="0"/>
      <c r="B75" s="0"/>
      <c r="G75" s="209"/>
      <c r="H75" s="210"/>
      <c r="I75" s="211"/>
      <c r="J75" s="211"/>
      <c r="K75" s="211"/>
      <c r="L75" s="211"/>
      <c r="M75" s="211"/>
      <c r="N75" s="211"/>
      <c r="O75" s="143"/>
      <c r="P75" s="0"/>
      <c r="Q75" s="0"/>
      <c r="R75" s="0"/>
      <c r="S75" s="0"/>
    </row>
    <row r="76" customFormat="false" ht="15.6" hidden="false" customHeight="false" outlineLevel="0" collapsed="false">
      <c r="A76" s="0"/>
      <c r="B76" s="0"/>
      <c r="G76" s="209"/>
      <c r="H76" s="210"/>
      <c r="I76" s="211"/>
      <c r="J76" s="211"/>
      <c r="K76" s="211"/>
      <c r="L76" s="211"/>
      <c r="M76" s="211"/>
      <c r="N76" s="211"/>
      <c r="O76" s="143"/>
      <c r="P76" s="0"/>
      <c r="Q76" s="0"/>
      <c r="R76" s="0"/>
      <c r="S76" s="0"/>
    </row>
    <row r="77" customFormat="false" ht="15.6" hidden="false" customHeight="false" outlineLevel="0" collapsed="false">
      <c r="A77" s="0"/>
      <c r="B77" s="0"/>
      <c r="G77" s="209"/>
      <c r="H77" s="210"/>
      <c r="I77" s="211"/>
      <c r="J77" s="211"/>
      <c r="K77" s="211"/>
      <c r="L77" s="211"/>
      <c r="M77" s="211"/>
      <c r="N77" s="211"/>
      <c r="O77" s="143"/>
      <c r="P77" s="0"/>
      <c r="Q77" s="0"/>
      <c r="R77" s="0"/>
      <c r="S77" s="0"/>
    </row>
    <row r="78" customFormat="false" ht="15.6" hidden="false" customHeight="false" outlineLevel="0" collapsed="false">
      <c r="A78" s="153"/>
      <c r="B78" s="142"/>
      <c r="G78" s="209"/>
      <c r="H78" s="210"/>
      <c r="I78" s="211"/>
      <c r="J78" s="211"/>
      <c r="K78" s="211"/>
      <c r="L78" s="211"/>
      <c r="M78" s="211"/>
      <c r="N78" s="211"/>
      <c r="O78" s="143"/>
      <c r="P78" s="0"/>
      <c r="Q78" s="0"/>
      <c r="R78" s="0"/>
      <c r="S78" s="0"/>
    </row>
    <row r="79" customFormat="false" ht="15.6" hidden="false" customHeight="false" outlineLevel="0" collapsed="false">
      <c r="A79" s="153"/>
      <c r="B79" s="142"/>
      <c r="G79" s="209"/>
      <c r="H79" s="210"/>
      <c r="I79" s="211"/>
      <c r="J79" s="211"/>
      <c r="K79" s="211"/>
      <c r="L79" s="211"/>
      <c r="M79" s="211"/>
      <c r="N79" s="211"/>
      <c r="O79" s="143"/>
      <c r="P79" s="0"/>
      <c r="Q79" s="0"/>
      <c r="R79" s="0"/>
      <c r="S79" s="0"/>
    </row>
    <row r="80" customFormat="false" ht="15.6" hidden="false" customHeight="false" outlineLevel="0" collapsed="false">
      <c r="A80" s="153"/>
      <c r="B80" s="142"/>
      <c r="G80" s="209"/>
      <c r="H80" s="210"/>
      <c r="I80" s="211"/>
      <c r="J80" s="211"/>
      <c r="K80" s="211"/>
      <c r="L80" s="211"/>
      <c r="M80" s="211"/>
      <c r="N80" s="211"/>
      <c r="O80" s="143"/>
      <c r="P80" s="0"/>
      <c r="Q80" s="0"/>
      <c r="R80" s="0"/>
      <c r="S80" s="0"/>
    </row>
    <row r="81" customFormat="false" ht="15.6" hidden="false" customHeight="false" outlineLevel="0" collapsed="false">
      <c r="A81" s="153"/>
      <c r="B81" s="142"/>
      <c r="G81" s="209"/>
      <c r="H81" s="210"/>
      <c r="I81" s="211"/>
      <c r="J81" s="211"/>
      <c r="K81" s="211"/>
      <c r="L81" s="211"/>
      <c r="M81" s="211"/>
      <c r="N81" s="211"/>
      <c r="O81" s="143"/>
      <c r="P81" s="0"/>
      <c r="Q81" s="0"/>
      <c r="R81" s="0"/>
      <c r="S81" s="0"/>
    </row>
    <row r="82" customFormat="false" ht="15.6" hidden="false" customHeight="false" outlineLevel="0" collapsed="false">
      <c r="A82" s="153"/>
      <c r="B82" s="142"/>
      <c r="G82" s="209"/>
      <c r="H82" s="210"/>
      <c r="I82" s="211"/>
      <c r="J82" s="211"/>
      <c r="K82" s="211"/>
      <c r="L82" s="211"/>
      <c r="M82" s="211"/>
      <c r="N82" s="211"/>
      <c r="O82" s="143"/>
      <c r="P82" s="0"/>
      <c r="Q82" s="0"/>
      <c r="R82" s="0"/>
      <c r="S82" s="0"/>
    </row>
    <row r="83" customFormat="false" ht="15.6" hidden="false" customHeight="false" outlineLevel="0" collapsed="false">
      <c r="A83" s="153"/>
      <c r="B83" s="142"/>
      <c r="G83" s="209"/>
      <c r="H83" s="210"/>
      <c r="I83" s="211"/>
      <c r="J83" s="211"/>
      <c r="K83" s="211"/>
      <c r="L83" s="211"/>
      <c r="M83" s="211"/>
      <c r="N83" s="211"/>
      <c r="O83" s="143"/>
      <c r="P83" s="0"/>
      <c r="Q83" s="0"/>
      <c r="R83" s="0"/>
      <c r="S83" s="0"/>
    </row>
    <row r="84" customFormat="false" ht="15.6" hidden="false" customHeight="false" outlineLevel="0" collapsed="false">
      <c r="A84" s="153"/>
      <c r="B84" s="142"/>
      <c r="G84" s="209"/>
      <c r="H84" s="210"/>
      <c r="I84" s="211"/>
      <c r="J84" s="211"/>
      <c r="K84" s="211"/>
      <c r="L84" s="211"/>
      <c r="M84" s="211"/>
      <c r="N84" s="211"/>
      <c r="O84" s="143"/>
      <c r="P84" s="0"/>
      <c r="Q84" s="0"/>
      <c r="R84" s="0"/>
      <c r="S84" s="0"/>
    </row>
    <row r="85" customFormat="false" ht="15.6" hidden="false" customHeight="false" outlineLevel="0" collapsed="false">
      <c r="A85" s="153"/>
      <c r="B85" s="142"/>
      <c r="G85" s="209"/>
      <c r="H85" s="210"/>
      <c r="I85" s="211"/>
      <c r="J85" s="211"/>
      <c r="K85" s="211"/>
      <c r="L85" s="211"/>
      <c r="M85" s="211"/>
      <c r="N85" s="211"/>
      <c r="O85" s="143"/>
      <c r="P85" s="0"/>
      <c r="Q85" s="0"/>
      <c r="R85" s="0"/>
      <c r="S85" s="0"/>
    </row>
    <row r="86" customFormat="false" ht="15.6" hidden="false" customHeight="false" outlineLevel="0" collapsed="false">
      <c r="A86" s="153"/>
      <c r="B86" s="142"/>
      <c r="G86" s="209"/>
      <c r="H86" s="210"/>
      <c r="I86" s="211"/>
      <c r="J86" s="211"/>
      <c r="K86" s="211"/>
      <c r="L86" s="211"/>
      <c r="M86" s="211"/>
      <c r="N86" s="211"/>
      <c r="O86" s="143"/>
      <c r="P86" s="0"/>
      <c r="Q86" s="0"/>
      <c r="R86" s="0"/>
      <c r="S86" s="0"/>
    </row>
    <row r="87" customFormat="false" ht="15.6" hidden="false" customHeight="false" outlineLevel="0" collapsed="false">
      <c r="A87" s="153"/>
      <c r="B87" s="142"/>
      <c r="G87" s="209"/>
      <c r="H87" s="210"/>
      <c r="I87" s="211"/>
      <c r="J87" s="211"/>
      <c r="K87" s="211"/>
      <c r="L87" s="211"/>
      <c r="M87" s="211"/>
      <c r="N87" s="211"/>
      <c r="O87" s="143"/>
      <c r="P87" s="0"/>
      <c r="Q87" s="0"/>
      <c r="R87" s="0"/>
      <c r="S87" s="0"/>
    </row>
    <row r="88" customFormat="false" ht="15.6" hidden="false" customHeight="false" outlineLevel="0" collapsed="false">
      <c r="A88" s="153"/>
      <c r="B88" s="142"/>
      <c r="G88" s="209"/>
      <c r="H88" s="210"/>
      <c r="I88" s="211"/>
      <c r="J88" s="211"/>
      <c r="K88" s="211"/>
      <c r="L88" s="211"/>
      <c r="M88" s="211"/>
      <c r="N88" s="211"/>
      <c r="O88" s="143"/>
      <c r="P88" s="0"/>
      <c r="Q88" s="0"/>
      <c r="R88" s="0"/>
      <c r="S88" s="0"/>
    </row>
    <row r="89" customFormat="false" ht="15.6" hidden="false" customHeight="false" outlineLevel="0" collapsed="false">
      <c r="A89" s="153"/>
      <c r="B89" s="142"/>
      <c r="G89" s="209"/>
      <c r="H89" s="210"/>
      <c r="I89" s="211"/>
      <c r="J89" s="211"/>
      <c r="K89" s="211"/>
      <c r="L89" s="211"/>
      <c r="M89" s="211"/>
      <c r="N89" s="211"/>
      <c r="O89" s="143"/>
      <c r="P89" s="0"/>
      <c r="Q89" s="0"/>
      <c r="R89" s="0"/>
      <c r="S89" s="0"/>
    </row>
    <row r="90" customFormat="false" ht="15.6" hidden="false" customHeight="false" outlineLevel="0" collapsed="false">
      <c r="A90" s="153"/>
      <c r="B90" s="142"/>
      <c r="G90" s="209"/>
      <c r="H90" s="210"/>
      <c r="I90" s="211"/>
      <c r="J90" s="211"/>
      <c r="K90" s="211"/>
      <c r="L90" s="211"/>
      <c r="M90" s="211"/>
      <c r="N90" s="211"/>
      <c r="O90" s="143"/>
      <c r="P90" s="0"/>
      <c r="Q90" s="0"/>
      <c r="R90" s="0"/>
      <c r="S90" s="0"/>
    </row>
    <row r="91" customFormat="false" ht="15.6" hidden="false" customHeight="false" outlineLevel="0" collapsed="false">
      <c r="A91" s="153"/>
      <c r="B91" s="142"/>
      <c r="G91" s="0"/>
      <c r="H91" s="0"/>
      <c r="I91" s="0"/>
      <c r="J91" s="0"/>
      <c r="K91" s="0"/>
      <c r="L91" s="0"/>
      <c r="M91" s="0"/>
      <c r="N91" s="0"/>
      <c r="O91" s="0"/>
      <c r="P91" s="0"/>
      <c r="Q91" s="0"/>
      <c r="R91" s="0"/>
      <c r="S91" s="0"/>
    </row>
    <row r="92" customFormat="false" ht="15.6" hidden="false" customHeight="false" outlineLevel="0" collapsed="false">
      <c r="A92" s="153"/>
      <c r="B92" s="142"/>
      <c r="G92" s="0"/>
      <c r="H92" s="0"/>
      <c r="I92" s="0"/>
      <c r="J92" s="0"/>
      <c r="K92" s="0"/>
      <c r="L92" s="0"/>
      <c r="M92" s="0"/>
      <c r="N92" s="0"/>
      <c r="O92" s="0"/>
      <c r="P92" s="0"/>
      <c r="Q92" s="0"/>
      <c r="R92" s="0"/>
      <c r="S92" s="0"/>
    </row>
    <row r="93" customFormat="false" ht="15.6" hidden="false" customHeight="false" outlineLevel="0" collapsed="false">
      <c r="A93" s="153"/>
      <c r="B93" s="142"/>
      <c r="G93" s="0"/>
      <c r="H93" s="0"/>
      <c r="I93" s="0"/>
      <c r="J93" s="0"/>
      <c r="K93" s="0"/>
      <c r="L93" s="0"/>
      <c r="M93" s="0"/>
      <c r="N93" s="0"/>
      <c r="O93" s="0"/>
      <c r="P93" s="0"/>
      <c r="Q93" s="0"/>
      <c r="R93" s="0"/>
      <c r="S93" s="0"/>
    </row>
    <row r="94" customFormat="false" ht="15.6" hidden="false" customHeight="false" outlineLevel="0" collapsed="false">
      <c r="A94" s="153"/>
      <c r="B94" s="142"/>
      <c r="G94" s="212" t="s">
        <v>289</v>
      </c>
      <c r="H94" s="0"/>
      <c r="I94" s="0"/>
      <c r="J94" s="0"/>
      <c r="K94" s="0"/>
      <c r="L94" s="0"/>
      <c r="M94" s="0"/>
      <c r="N94" s="0"/>
      <c r="O94" s="0"/>
      <c r="P94" s="0"/>
      <c r="Q94" s="0"/>
      <c r="R94" s="0"/>
      <c r="S94" s="0"/>
    </row>
    <row r="95" customFormat="false" ht="15.6" hidden="false" customHeight="false" outlineLevel="0" collapsed="false">
      <c r="A95" s="153"/>
      <c r="B95" s="142"/>
      <c r="G95" s="213"/>
      <c r="H95" s="165" t="s">
        <v>290</v>
      </c>
      <c r="I95" s="0"/>
      <c r="J95" s="0"/>
      <c r="K95" s="0"/>
      <c r="L95" s="0"/>
      <c r="M95" s="0"/>
      <c r="N95" s="0"/>
      <c r="O95" s="0"/>
      <c r="P95" s="0"/>
      <c r="Q95" s="0"/>
      <c r="R95" s="0"/>
      <c r="S95" s="0"/>
    </row>
    <row r="96" customFormat="false" ht="15.6" hidden="false" customHeight="false" outlineLevel="0" collapsed="false">
      <c r="A96" s="153"/>
      <c r="B96" s="142"/>
      <c r="G96" s="165" t="s">
        <v>291</v>
      </c>
      <c r="H96" s="77" t="n">
        <f aca="false">H48/ABS(H33+0.000001)</f>
        <v>9.99999980000001E-005</v>
      </c>
      <c r="I96" s="77" t="n">
        <f aca="false">I48/ABS(I33+0.000001)</f>
        <v>9.99999980000001E-005</v>
      </c>
      <c r="J96" s="77" t="n">
        <f aca="false">J48/ABS(J33+0.000001)</f>
        <v>0.000100000002</v>
      </c>
      <c r="K96" s="77" t="n">
        <f aca="false">K48/ABS(K33+0.000001)</f>
        <v>0.000100000002</v>
      </c>
      <c r="L96" s="77" t="n">
        <f aca="false">L48/ABS(L33+0.000001)</f>
        <v>0</v>
      </c>
      <c r="M96" s="77" t="n">
        <f aca="false">M48/ABS(M33+0.000001)</f>
        <v>0</v>
      </c>
      <c r="N96" s="77" t="n">
        <f aca="false">N48/ABS(N33+0.000001)</f>
        <v>0</v>
      </c>
      <c r="O96" s="77" t="n">
        <f aca="false">O48/ABS(O33+0.000001)</f>
        <v>0</v>
      </c>
      <c r="P96" s="77" t="n">
        <f aca="false">P48/ABS(P33+0.000001)</f>
        <v>0</v>
      </c>
      <c r="Q96" s="77" t="n">
        <f aca="false">Q48/ABS(Q33+0.000001)</f>
        <v>0</v>
      </c>
      <c r="R96" s="77" t="n">
        <f aca="false">R48/ABS(R33+0.000001)</f>
        <v>0</v>
      </c>
      <c r="S96" s="77" t="n">
        <f aca="false">S48/ABS(S33+0.000001)</f>
        <v>0</v>
      </c>
    </row>
    <row r="97" customFormat="false" ht="15.6" hidden="false" customHeight="false" outlineLevel="0" collapsed="false">
      <c r="A97" s="153"/>
      <c r="B97" s="142"/>
      <c r="G97" s="165" t="s">
        <v>291</v>
      </c>
      <c r="H97" s="77" t="n">
        <f aca="false">H49/ABS(H32+0.000001)</f>
        <v>5000</v>
      </c>
      <c r="I97" s="77" t="n">
        <f aca="false">I49/ABS(I32+0.000001)</f>
        <v>5000</v>
      </c>
      <c r="J97" s="77" t="n">
        <f aca="false">J49/ABS(J32+0.000001)</f>
        <v>5000</v>
      </c>
      <c r="K97" s="77" t="n">
        <f aca="false">K49/ABS(K32+0.000001)</f>
        <v>5000</v>
      </c>
      <c r="L97" s="77" t="n">
        <f aca="false">L49/ABS(L32+0.000001)</f>
        <v>0</v>
      </c>
      <c r="M97" s="77" t="n">
        <f aca="false">M49/ABS(M32+0.000001)</f>
        <v>0</v>
      </c>
      <c r="N97" s="77" t="n">
        <f aca="false">N49/ABS(N32+0.000001)</f>
        <v>0</v>
      </c>
      <c r="O97" s="77" t="n">
        <f aca="false">O49/ABS(O32+0.000001)</f>
        <v>0</v>
      </c>
      <c r="P97" s="77" t="n">
        <f aca="false">P49/ABS(P32+0.000001)</f>
        <v>0</v>
      </c>
      <c r="Q97" s="77" t="n">
        <f aca="false">Q49/ABS(Q32+0.000001)</f>
        <v>0</v>
      </c>
      <c r="R97" s="77" t="n">
        <f aca="false">R49/ABS(R32+0.000001)</f>
        <v>0</v>
      </c>
      <c r="S97" s="77" t="n">
        <f aca="false">S49/ABS(S32+0.000001)</f>
        <v>0</v>
      </c>
    </row>
    <row r="98" customFormat="false" ht="15.6" hidden="false" customHeight="false" outlineLevel="0" collapsed="false">
      <c r="A98" s="153"/>
      <c r="B98" s="142"/>
      <c r="G98" s="77" t="s">
        <v>292</v>
      </c>
      <c r="H98" s="161" t="n">
        <f aca="false">IF(MIN(H96,H97)&gt;1,0,MIN(H96,H97))</f>
        <v>9.99999980000001E-005</v>
      </c>
      <c r="I98" s="161" t="n">
        <f aca="false">IF(MIN(I96,I97)&gt;1,0,MIN(I96,I97))</f>
        <v>9.99999980000001E-005</v>
      </c>
      <c r="J98" s="161" t="n">
        <f aca="false">IF(MIN(J96,J97)&gt;1,0,MIN(J96,J97))</f>
        <v>0.000100000002</v>
      </c>
      <c r="K98" s="161" t="n">
        <f aca="false">IF(MIN(K96,K97)&gt;1,0,MIN(K96,K97))</f>
        <v>0.000100000002</v>
      </c>
      <c r="L98" s="161" t="n">
        <f aca="false">IF(MIN(L96,L97)&gt;1,0,MIN(L96,L97))</f>
        <v>0</v>
      </c>
      <c r="M98" s="161" t="n">
        <f aca="false">IF(MIN(M96,M97)&gt;1,0,MIN(M96,M97))</f>
        <v>0</v>
      </c>
      <c r="N98" s="161" t="n">
        <f aca="false">IF(MIN(N96,N97)&gt;1,0,MIN(N96,N97))</f>
        <v>0</v>
      </c>
      <c r="O98" s="161" t="n">
        <f aca="false">IF(MIN(O96,O97)&gt;1,0,MIN(O96,O97))</f>
        <v>0</v>
      </c>
      <c r="P98" s="161" t="n">
        <f aca="false">IF(MIN(P96,P97)&gt;1,0,MIN(P96,P97))</f>
        <v>0</v>
      </c>
      <c r="Q98" s="161" t="n">
        <f aca="false">IF(MIN(Q96,Q97)&gt;1,0,MIN(Q96,Q97))</f>
        <v>0</v>
      </c>
      <c r="R98" s="161" t="n">
        <f aca="false">IF(MIN(R96,R97)&gt;1,0,MIN(R96,R97))</f>
        <v>0</v>
      </c>
      <c r="S98" s="161" t="n">
        <f aca="false">IF(MIN(S96,S97)&gt;1,0,MIN(S96,S97))</f>
        <v>0</v>
      </c>
    </row>
    <row r="99" customFormat="false" ht="15.6" hidden="false" customHeight="false" outlineLevel="0" collapsed="false">
      <c r="A99" s="153"/>
      <c r="B99" s="142"/>
      <c r="G99" s="0"/>
      <c r="H99" s="165" t="s">
        <v>293</v>
      </c>
      <c r="I99" s="165"/>
      <c r="J99" s="165"/>
      <c r="K99" s="165"/>
      <c r="L99" s="165"/>
      <c r="M99" s="165"/>
      <c r="N99" s="165"/>
      <c r="O99" s="165"/>
      <c r="P99" s="165"/>
      <c r="Q99" s="165"/>
      <c r="R99" s="165"/>
      <c r="S99" s="165"/>
    </row>
    <row r="100" customFormat="false" ht="15.6" hidden="false" customHeight="false" outlineLevel="0" collapsed="false">
      <c r="A100" s="153"/>
      <c r="B100" s="142"/>
      <c r="G100" s="214" t="s">
        <v>291</v>
      </c>
      <c r="H100" s="131" t="n">
        <f aca="false">H49/ABS(H31+0.000001)</f>
        <v>9.99999980000001E-005</v>
      </c>
      <c r="I100" s="131" t="n">
        <f aca="false">I49/ABS(I31+0.000001)</f>
        <v>0.000100000002</v>
      </c>
      <c r="J100" s="131" t="n">
        <f aca="false">J49/ABS(J31+0.000001)</f>
        <v>0.000100000002</v>
      </c>
      <c r="K100" s="131" t="n">
        <f aca="false">K49/ABS(K31+0.000001)</f>
        <v>9.99999980000001E-005</v>
      </c>
      <c r="L100" s="131" t="n">
        <f aca="false">L49/ABS(L31+0.000001)</f>
        <v>0</v>
      </c>
      <c r="M100" s="131" t="n">
        <f aca="false">M49/ABS(M31+0.000001)</f>
        <v>0</v>
      </c>
      <c r="N100" s="131" t="n">
        <f aca="false">N49/ABS(N31+0.000001)</f>
        <v>0</v>
      </c>
      <c r="O100" s="131" t="n">
        <f aca="false">O49/ABS(O31+0.000001)</f>
        <v>0</v>
      </c>
      <c r="P100" s="131" t="n">
        <f aca="false">P49/ABS(P31+0.000001)</f>
        <v>0</v>
      </c>
      <c r="Q100" s="131" t="n">
        <f aca="false">Q49/ABS(Q31+0.000001)</f>
        <v>0</v>
      </c>
      <c r="R100" s="131" t="n">
        <f aca="false">R49/ABS(R31+0.000001)</f>
        <v>0</v>
      </c>
      <c r="S100" s="131" t="n">
        <f aca="false">S49/ABS(S31+0.000001)</f>
        <v>0</v>
      </c>
    </row>
    <row r="101" customFormat="false" ht="15.6" hidden="false" customHeight="false" outlineLevel="0" collapsed="false">
      <c r="A101" s="153"/>
      <c r="B101" s="142"/>
      <c r="G101" s="214" t="s">
        <v>291</v>
      </c>
      <c r="H101" s="215" t="n">
        <f aca="false">H47/ABS(H33+0.000001)</f>
        <v>9.99999980000001E-005</v>
      </c>
      <c r="I101" s="215" t="n">
        <f aca="false">I47/ABS(I33+0.000001)</f>
        <v>9.99999980000001E-005</v>
      </c>
      <c r="J101" s="215" t="n">
        <f aca="false">J47/ABS(J33+0.000001)</f>
        <v>0.000100000002</v>
      </c>
      <c r="K101" s="215" t="n">
        <f aca="false">K47/ABS(K33+0.000001)</f>
        <v>0.000100000002</v>
      </c>
      <c r="L101" s="215" t="n">
        <f aca="false">L47/ABS(L33+0.000001)</f>
        <v>0</v>
      </c>
      <c r="M101" s="215" t="n">
        <f aca="false">M47/ABS(M33+0.000001)</f>
        <v>0</v>
      </c>
      <c r="N101" s="215" t="n">
        <f aca="false">N47/ABS(N33+0.000001)</f>
        <v>0</v>
      </c>
      <c r="O101" s="215" t="n">
        <f aca="false">O47/ABS(O33+0.000001)</f>
        <v>0</v>
      </c>
      <c r="P101" s="215" t="n">
        <f aca="false">P47/ABS(P33+0.000001)</f>
        <v>0</v>
      </c>
      <c r="Q101" s="215" t="n">
        <f aca="false">Q47/ABS(Q33+0.000001)</f>
        <v>0</v>
      </c>
      <c r="R101" s="215" t="n">
        <f aca="false">R47/ABS(R33+0.000001)</f>
        <v>0</v>
      </c>
      <c r="S101" s="215" t="n">
        <f aca="false">S47/ABS(S33+0.000001)</f>
        <v>0</v>
      </c>
    </row>
    <row r="102" customFormat="false" ht="15.6" hidden="false" customHeight="false" outlineLevel="0" collapsed="false">
      <c r="A102" s="153"/>
      <c r="B102" s="142"/>
      <c r="G102" s="77" t="s">
        <v>292</v>
      </c>
      <c r="H102" s="161" t="n">
        <f aca="false">IF(MIN(H100,H101)&gt;1,0,MIN(H100,H101))</f>
        <v>9.99999980000001E-005</v>
      </c>
      <c r="I102" s="161" t="n">
        <f aca="false">IF(MIN(I100,I101)&gt;1,0,MIN(I100,I101))</f>
        <v>9.99999980000001E-005</v>
      </c>
      <c r="J102" s="161" t="n">
        <f aca="false">IF(MIN(J100,J101)&gt;1,0,MIN(J100,J101))</f>
        <v>0.000100000002</v>
      </c>
      <c r="K102" s="161" t="n">
        <f aca="false">IF(MIN(K100,K101)&gt;1,0,MIN(K100,K101))</f>
        <v>9.99999980000001E-005</v>
      </c>
      <c r="L102" s="161" t="n">
        <f aca="false">IF(MIN(L100,L101)&gt;1,0,MIN(L100,L101))</f>
        <v>0</v>
      </c>
      <c r="M102" s="161" t="n">
        <f aca="false">IF(MIN(M100,M101)&gt;1,0,MIN(M100,M101))</f>
        <v>0</v>
      </c>
      <c r="N102" s="161" t="n">
        <f aca="false">IF(MIN(N100,N101)&gt;1,0,MIN(N100,N101))</f>
        <v>0</v>
      </c>
      <c r="O102" s="161" t="n">
        <f aca="false">IF(MIN(O100,O101)&gt;1,0,MIN(O100,O101))</f>
        <v>0</v>
      </c>
      <c r="P102" s="161" t="n">
        <f aca="false">IF(MIN(P100,P101)&gt;1,0,MIN(P100,P101))</f>
        <v>0</v>
      </c>
      <c r="Q102" s="161" t="n">
        <f aca="false">IF(MIN(Q100,Q101)&gt;1,0,MIN(Q100,Q101))</f>
        <v>0</v>
      </c>
      <c r="R102" s="161" t="n">
        <f aca="false">IF(MIN(R100,R101)&gt;1,0,MIN(R100,R101))</f>
        <v>0</v>
      </c>
      <c r="S102" s="161" t="n">
        <f aca="false">IF(MIN(S100,S101)&gt;1,0,MIN(S100,S101))</f>
        <v>0</v>
      </c>
    </row>
    <row r="103" customFormat="false" ht="15.6" hidden="false" customHeight="false" outlineLevel="0" collapsed="false">
      <c r="A103" s="153"/>
      <c r="B103" s="142"/>
      <c r="G103" s="0"/>
      <c r="H103" s="77" t="s">
        <v>294</v>
      </c>
      <c r="I103" s="0"/>
      <c r="J103" s="0"/>
      <c r="K103" s="0"/>
      <c r="L103" s="0"/>
      <c r="M103" s="0"/>
      <c r="N103" s="0"/>
      <c r="O103" s="0"/>
      <c r="P103" s="0"/>
      <c r="Q103" s="0"/>
      <c r="R103" s="0"/>
      <c r="S103" s="0"/>
    </row>
    <row r="104" customFormat="false" ht="15.6" hidden="false" customHeight="false" outlineLevel="0" collapsed="false">
      <c r="A104" s="153"/>
      <c r="B104" s="142"/>
      <c r="G104" s="165" t="s">
        <v>291</v>
      </c>
      <c r="H104" s="77" t="n">
        <f aca="false">H48/ABS(H31+0.000001)</f>
        <v>9.99999980000001E-005</v>
      </c>
      <c r="I104" s="77" t="n">
        <f aca="false">I48/ABS(I31+0.000001)</f>
        <v>0.000100000002</v>
      </c>
      <c r="J104" s="77" t="n">
        <f aca="false">J48/ABS(J31+0.000001)</f>
        <v>0.000100000002</v>
      </c>
      <c r="K104" s="77" t="n">
        <f aca="false">K48/ABS(K31+0.000001)</f>
        <v>9.99999980000001E-005</v>
      </c>
      <c r="L104" s="77" t="n">
        <f aca="false">L48/ABS(L31+0.000001)</f>
        <v>0</v>
      </c>
      <c r="M104" s="77" t="n">
        <f aca="false">M48/ABS(M31+0.000001)</f>
        <v>0</v>
      </c>
      <c r="N104" s="77" t="n">
        <f aca="false">N48/ABS(N31+0.000001)</f>
        <v>0</v>
      </c>
      <c r="O104" s="77" t="n">
        <f aca="false">O48/ABS(O31+0.000001)</f>
        <v>0</v>
      </c>
      <c r="P104" s="77" t="n">
        <f aca="false">P48/ABS(P31+0.000001)</f>
        <v>0</v>
      </c>
      <c r="Q104" s="77" t="n">
        <f aca="false">Q48/ABS(Q31+0.000001)</f>
        <v>0</v>
      </c>
      <c r="R104" s="77" t="n">
        <f aca="false">R48/ABS(R31+0.000001)</f>
        <v>0</v>
      </c>
      <c r="S104" s="77" t="n">
        <f aca="false">S48/ABS(S31+0.000001)</f>
        <v>0</v>
      </c>
    </row>
    <row r="105" customFormat="false" ht="15.6" hidden="false" customHeight="false" outlineLevel="0" collapsed="false">
      <c r="A105" s="153"/>
      <c r="B105" s="142"/>
      <c r="G105" s="165" t="s">
        <v>291</v>
      </c>
      <c r="H105" s="77" t="n">
        <f aca="false">H47/ABS(H32+0.000001)</f>
        <v>5000</v>
      </c>
      <c r="I105" s="77" t="n">
        <f aca="false">I47/ABS(I32+0.000001)</f>
        <v>5000</v>
      </c>
      <c r="J105" s="77" t="n">
        <f aca="false">J47/ABS(J32+0.000001)</f>
        <v>5000</v>
      </c>
      <c r="K105" s="77" t="n">
        <f aca="false">K47/ABS(K32+0.000001)</f>
        <v>5000</v>
      </c>
      <c r="L105" s="77" t="n">
        <f aca="false">L47/ABS(L32+0.000001)</f>
        <v>0</v>
      </c>
      <c r="M105" s="77" t="n">
        <f aca="false">M47/ABS(M32+0.000001)</f>
        <v>0</v>
      </c>
      <c r="N105" s="77" t="n">
        <f aca="false">N47/ABS(N32+0.000001)</f>
        <v>0</v>
      </c>
      <c r="O105" s="77" t="n">
        <f aca="false">O47/ABS(O32+0.000001)</f>
        <v>0</v>
      </c>
      <c r="P105" s="77" t="n">
        <f aca="false">P47/ABS(P32+0.000001)</f>
        <v>0</v>
      </c>
      <c r="Q105" s="77" t="n">
        <f aca="false">Q47/ABS(Q32+0.000001)</f>
        <v>0</v>
      </c>
      <c r="R105" s="77" t="n">
        <f aca="false">R47/ABS(R32+0.000001)</f>
        <v>0</v>
      </c>
      <c r="S105" s="77" t="n">
        <f aca="false">S47/ABS(S32+0.000001)</f>
        <v>0</v>
      </c>
    </row>
    <row r="106" customFormat="false" ht="15.6" hidden="false" customHeight="false" outlineLevel="0" collapsed="false">
      <c r="A106" s="153"/>
      <c r="B106" s="142"/>
      <c r="G106" s="77" t="s">
        <v>292</v>
      </c>
      <c r="H106" s="161" t="n">
        <f aca="false">IF(MIN(H104,H105)&gt;1,0,MIN(H104,H105))</f>
        <v>9.99999980000001E-005</v>
      </c>
      <c r="I106" s="161" t="n">
        <f aca="false">IF(MIN(I104,I105)&gt;1,0,MIN(I104,I105))</f>
        <v>0.000100000002</v>
      </c>
      <c r="J106" s="161" t="n">
        <f aca="false">IF(MIN(J104,J105)&gt;1,0,MIN(J104,J105))</f>
        <v>0.000100000002</v>
      </c>
      <c r="K106" s="161" t="n">
        <f aca="false">IF(MIN(K104,K105)&gt;1,0,MIN(K104,K105))</f>
        <v>9.99999980000001E-005</v>
      </c>
      <c r="L106" s="161" t="n">
        <f aca="false">IF(MIN(L104,L105)&gt;1,0,MIN(L104,L105))</f>
        <v>0</v>
      </c>
      <c r="M106" s="161" t="n">
        <f aca="false">IF(MIN(M104,M105)&gt;1,0,MIN(M104,M105))</f>
        <v>0</v>
      </c>
      <c r="N106" s="161" t="n">
        <f aca="false">IF(MIN(N104,N105)&gt;1,0,MIN(N104,N105))</f>
        <v>0</v>
      </c>
      <c r="O106" s="161" t="n">
        <f aca="false">IF(MIN(O104,O105)&gt;1,0,MIN(O104,O105))</f>
        <v>0</v>
      </c>
      <c r="P106" s="161" t="n">
        <f aca="false">IF(MIN(P104,P105)&gt;1,0,MIN(P104,P105))</f>
        <v>0</v>
      </c>
      <c r="Q106" s="161" t="n">
        <f aca="false">IF(MIN(Q104,Q105)&gt;1,0,MIN(Q104,Q105))</f>
        <v>0</v>
      </c>
      <c r="R106" s="161" t="n">
        <f aca="false">IF(MIN(R104,R105)&gt;1,0,MIN(R104,R105))</f>
        <v>0</v>
      </c>
      <c r="S106" s="161" t="n">
        <f aca="false">IF(MIN(S104,S105)&gt;1,0,MIN(S104,S105))</f>
        <v>0</v>
      </c>
    </row>
    <row r="107" customFormat="false" ht="15.6" hidden="false" customHeight="false" outlineLevel="0" collapsed="false">
      <c r="A107" s="153"/>
      <c r="B107" s="142"/>
      <c r="G107" s="0"/>
      <c r="H107" s="0"/>
      <c r="I107" s="0"/>
      <c r="J107" s="0"/>
      <c r="K107" s="0"/>
      <c r="L107" s="0"/>
      <c r="M107" s="0"/>
      <c r="N107" s="0"/>
      <c r="O107" s="0"/>
      <c r="P107" s="0"/>
      <c r="Q107" s="0"/>
      <c r="R107" s="0"/>
      <c r="S107" s="0"/>
    </row>
    <row r="108" customFormat="false" ht="15.6" hidden="false" customHeight="false" outlineLevel="0" collapsed="false">
      <c r="G108" s="212" t="s">
        <v>295</v>
      </c>
      <c r="H108" s="212"/>
      <c r="I108" s="212"/>
      <c r="J108" s="212"/>
      <c r="K108" s="212"/>
      <c r="L108" s="212"/>
      <c r="M108" s="212"/>
      <c r="N108" s="212"/>
      <c r="O108" s="212"/>
      <c r="P108" s="212"/>
      <c r="Q108" s="0"/>
      <c r="R108" s="0"/>
      <c r="S108" s="0"/>
    </row>
    <row r="109" customFormat="false" ht="15.6" hidden="false" customHeight="false" outlineLevel="0" collapsed="false">
      <c r="G109" s="0"/>
      <c r="H109" s="153" t="s">
        <v>296</v>
      </c>
      <c r="I109" s="153"/>
      <c r="J109" s="153"/>
      <c r="K109" s="153"/>
      <c r="L109" s="153"/>
      <c r="M109" s="153"/>
      <c r="N109" s="153"/>
      <c r="O109" s="153"/>
      <c r="P109" s="153"/>
      <c r="Q109" s="153"/>
      <c r="R109" s="153"/>
      <c r="S109" s="153"/>
    </row>
    <row r="110" customFormat="false" ht="15.6" hidden="false" customHeight="false" outlineLevel="0" collapsed="false">
      <c r="G110" s="165" t="s">
        <v>291</v>
      </c>
      <c r="H110" s="161" t="n">
        <f aca="false">H56/(H33+0.000001)</f>
        <v>0</v>
      </c>
      <c r="I110" s="161" t="n">
        <f aca="false">I56/(I33+0.000001)</f>
        <v>0</v>
      </c>
      <c r="J110" s="161" t="n">
        <f aca="false">J56/(J33+0.000001)</f>
        <v>-0</v>
      </c>
      <c r="K110" s="161" t="n">
        <f aca="false">K56/(K33+0.000001)</f>
        <v>-0</v>
      </c>
      <c r="L110" s="161" t="n">
        <f aca="false">L56/(L33+0.000001)</f>
        <v>0</v>
      </c>
      <c r="M110" s="161" t="n">
        <f aca="false">M56/(M33+0.000001)</f>
        <v>0</v>
      </c>
      <c r="N110" s="161" t="n">
        <f aca="false">N56/(N33+0.000001)</f>
        <v>0</v>
      </c>
      <c r="O110" s="161" t="n">
        <f aca="false">O56/(O33+0.000001)</f>
        <v>0</v>
      </c>
      <c r="P110" s="161" t="n">
        <f aca="false">P56/(P33+0.000001)</f>
        <v>0</v>
      </c>
      <c r="Q110" s="161" t="n">
        <f aca="false">Q56/(Q33+0.000001)</f>
        <v>0</v>
      </c>
      <c r="R110" s="161" t="n">
        <f aca="false">R56/(R33+0.000001)</f>
        <v>0</v>
      </c>
      <c r="S110" s="161" t="n">
        <f aca="false">S56/(S33+0.000001)</f>
        <v>0</v>
      </c>
    </row>
    <row r="111" customFormat="false" ht="15.6" hidden="false" customHeight="false" outlineLevel="0" collapsed="false">
      <c r="G111" s="165" t="s">
        <v>291</v>
      </c>
      <c r="H111" s="216" t="n">
        <f aca="false">H57/(H32+0.000001)</f>
        <v>0</v>
      </c>
      <c r="I111" s="216" t="n">
        <f aca="false">I57/(I32+0.000001)</f>
        <v>0</v>
      </c>
      <c r="J111" s="216" t="n">
        <f aca="false">J57/(J32+0.000001)</f>
        <v>0</v>
      </c>
      <c r="K111" s="216" t="n">
        <f aca="false">K57/(K32+0.000001)</f>
        <v>0</v>
      </c>
      <c r="L111" s="216" t="n">
        <f aca="false">L57/(L32+0.000001)</f>
        <v>0</v>
      </c>
      <c r="M111" s="216" t="n">
        <f aca="false">M57/(M32+0.000001)</f>
        <v>0</v>
      </c>
      <c r="N111" s="216" t="n">
        <f aca="false">N57/(N32+0.000001)</f>
        <v>0</v>
      </c>
      <c r="O111" s="216" t="n">
        <f aca="false">O57/(O32+0.000001)</f>
        <v>0</v>
      </c>
      <c r="P111" s="216" t="n">
        <f aca="false">P57/(P32+0.000001)</f>
        <v>0</v>
      </c>
      <c r="Q111" s="216" t="n">
        <f aca="false">Q57/(Q32+0.000001)</f>
        <v>0</v>
      </c>
      <c r="R111" s="216" t="n">
        <f aca="false">R57/(R32+0.000001)</f>
        <v>0</v>
      </c>
      <c r="S111" s="216" t="n">
        <f aca="false">S57/(S32+0.000001)</f>
        <v>0</v>
      </c>
    </row>
    <row r="112" customFormat="false" ht="15.6" hidden="false" customHeight="false" outlineLevel="0" collapsed="false">
      <c r="G112" s="77" t="s">
        <v>297</v>
      </c>
      <c r="H112" s="217" t="n">
        <f aca="false">SIGN(H110+0.000000000001)*SIGN(H111+0.000000000001)</f>
        <v>1</v>
      </c>
      <c r="I112" s="217" t="n">
        <f aca="false">SIGN(I110+0.000000000001)*SIGN(I111+0.000000000001)</f>
        <v>1</v>
      </c>
      <c r="J112" s="217" t="n">
        <f aca="false">SIGN(J110+0.000000000001)*SIGN(J111+0.000000000001)</f>
        <v>1</v>
      </c>
      <c r="K112" s="217" t="n">
        <f aca="false">SIGN(K110+0.000000000001)*SIGN(K111+0.000000000001)</f>
        <v>1</v>
      </c>
      <c r="L112" s="217" t="n">
        <f aca="false">SIGN(L110+0.000000000001)*SIGN(L111+0.000000000001)</f>
        <v>1</v>
      </c>
      <c r="M112" s="217" t="n">
        <f aca="false">SIGN(M110+0.000000000001)*SIGN(M111+0.000000000001)</f>
        <v>1</v>
      </c>
      <c r="N112" s="217" t="n">
        <f aca="false">SIGN(N110+0.000000000001)*SIGN(N111+0.000000000001)</f>
        <v>1</v>
      </c>
      <c r="O112" s="217" t="n">
        <f aca="false">SIGN(O110+0.000000000001)*SIGN(O111+0.000000000001)</f>
        <v>1</v>
      </c>
      <c r="P112" s="217" t="n">
        <f aca="false">SIGN(P110+0.000000000001)*SIGN(P111+0.000000000001)</f>
        <v>1</v>
      </c>
      <c r="Q112" s="217" t="n">
        <f aca="false">SIGN(Q110+0.000000000001)*SIGN(Q111+0.000000000001)</f>
        <v>1</v>
      </c>
      <c r="R112" s="217" t="n">
        <f aca="false">SIGN(R110+0.000000000001)*SIGN(R111+0.000000000001)</f>
        <v>1</v>
      </c>
      <c r="S112" s="217" t="n">
        <f aca="false">SIGN(S110+0.000000000001)*SIGN(S111+0.000000000001)</f>
        <v>1</v>
      </c>
    </row>
    <row r="113" customFormat="false" ht="15.6" hidden="false" customHeight="false" outlineLevel="0" collapsed="false">
      <c r="G113" s="77" t="s">
        <v>292</v>
      </c>
      <c r="H113" s="161" t="n">
        <f aca="false">IF(H112*MIN(ABS(H110),ABS(H111))&gt;1,0,H112*MIN(ABS(H110),ABS(H111)))</f>
        <v>0</v>
      </c>
      <c r="I113" s="161" t="n">
        <f aca="false">IF(I112*MIN(ABS(I110),ABS(I111))&gt;1,0,I112*MIN(ABS(I110),ABS(I111)))</f>
        <v>0</v>
      </c>
      <c r="J113" s="161" t="n">
        <f aca="false">IF(J112*MIN(ABS(J110),ABS(J111))&gt;1,0,J112*MIN(ABS(J110),ABS(J111)))</f>
        <v>0</v>
      </c>
      <c r="K113" s="161" t="n">
        <f aca="false">IF(K112*MIN(ABS(K110),ABS(K111))&gt;1,0,K112*MIN(ABS(K110),ABS(K111)))</f>
        <v>0</v>
      </c>
      <c r="L113" s="161" t="n">
        <f aca="false">IF(L112*MIN(ABS(L110),ABS(L111))&gt;1,0,L112*MIN(ABS(L110),ABS(L111)))</f>
        <v>0</v>
      </c>
      <c r="M113" s="161" t="n">
        <f aca="false">IF(M112*MIN(ABS(M110),ABS(M111))&gt;1,0,M112*MIN(ABS(M110),ABS(M111)))</f>
        <v>0</v>
      </c>
      <c r="N113" s="161" t="n">
        <f aca="false">IF(N112*MIN(ABS(N110),ABS(N111))&gt;1,0,N112*MIN(ABS(N110),ABS(N111)))</f>
        <v>0</v>
      </c>
      <c r="O113" s="161" t="n">
        <f aca="false">IF(O112*MIN(ABS(O110),ABS(O111))&gt;1,0,O112*MIN(ABS(O110),ABS(O111)))</f>
        <v>0</v>
      </c>
      <c r="P113" s="161" t="n">
        <f aca="false">IF(P112*MIN(ABS(P110),ABS(P111))&gt;1,0,P112*MIN(ABS(P110),ABS(P111)))</f>
        <v>0</v>
      </c>
      <c r="Q113" s="161" t="n">
        <f aca="false">IF(Q112*MIN(ABS(Q110),ABS(Q111))&gt;1,0,Q112*MIN(ABS(Q110),ABS(Q111)))</f>
        <v>0</v>
      </c>
      <c r="R113" s="161" t="n">
        <f aca="false">IF(R112*MIN(ABS(R110),ABS(R111))&gt;1,0,R112*MIN(ABS(R110),ABS(R111)))</f>
        <v>0</v>
      </c>
      <c r="S113" s="161" t="n">
        <f aca="false">IF(S112*MIN(ABS(S110),ABS(S111))&gt;1,0,S112*MIN(ABS(S110),ABS(S111)))</f>
        <v>0</v>
      </c>
    </row>
    <row r="114" customFormat="false" ht="15.6" hidden="false" customHeight="false" outlineLevel="0" collapsed="false">
      <c r="G114" s="0"/>
      <c r="H114" s="153" t="s">
        <v>298</v>
      </c>
      <c r="I114" s="153"/>
      <c r="J114" s="153"/>
      <c r="K114" s="153"/>
      <c r="L114" s="153"/>
      <c r="M114" s="153"/>
      <c r="N114" s="153"/>
      <c r="O114" s="153"/>
      <c r="P114" s="153"/>
      <c r="Q114" s="153"/>
      <c r="R114" s="153"/>
      <c r="S114" s="153"/>
    </row>
    <row r="115" customFormat="false" ht="15.6" hidden="false" customHeight="false" outlineLevel="0" collapsed="false">
      <c r="G115" s="214" t="s">
        <v>291</v>
      </c>
      <c r="H115" s="131" t="n">
        <f aca="false">-H57/(H31+0.000001)</f>
        <v>-0</v>
      </c>
      <c r="I115" s="131" t="n">
        <f aca="false">-I57/(I31+0.000001)</f>
        <v>0</v>
      </c>
      <c r="J115" s="131" t="n">
        <f aca="false">-J57/(J31+0.000001)</f>
        <v>0</v>
      </c>
      <c r="K115" s="131" t="n">
        <f aca="false">-K57/(K31+0.000001)</f>
        <v>-0</v>
      </c>
      <c r="L115" s="131" t="n">
        <f aca="false">-L57/(L31+0.000001)</f>
        <v>-0</v>
      </c>
      <c r="M115" s="131" t="n">
        <f aca="false">-M57/(M31+0.000001)</f>
        <v>-0</v>
      </c>
      <c r="N115" s="131" t="n">
        <f aca="false">-N57/(N31+0.000001)</f>
        <v>-0</v>
      </c>
      <c r="O115" s="131" t="n">
        <f aca="false">-O57/(O31+0.000001)</f>
        <v>-0</v>
      </c>
      <c r="P115" s="131" t="n">
        <f aca="false">-P57/(P31+0.000001)</f>
        <v>-0</v>
      </c>
      <c r="Q115" s="131" t="n">
        <f aca="false">-Q57/(Q31+0.000001)</f>
        <v>-0</v>
      </c>
      <c r="R115" s="131" t="n">
        <f aca="false">-R57/(R31+0.000001)</f>
        <v>-0</v>
      </c>
      <c r="S115" s="131" t="n">
        <f aca="false">-S57/(S31+0.000001)</f>
        <v>-0</v>
      </c>
    </row>
    <row r="116" customFormat="false" ht="15.6" hidden="false" customHeight="false" outlineLevel="0" collapsed="false">
      <c r="G116" s="214" t="s">
        <v>291</v>
      </c>
      <c r="H116" s="131" t="n">
        <f aca="false">H55/(H33+0.000001)</f>
        <v>0</v>
      </c>
      <c r="I116" s="131" t="n">
        <f aca="false">I55/(I33+0.000001)</f>
        <v>0</v>
      </c>
      <c r="J116" s="131" t="n">
        <f aca="false">J55/(J33+0.000001)</f>
        <v>-0</v>
      </c>
      <c r="K116" s="131" t="n">
        <f aca="false">K55/(K33+0.000001)</f>
        <v>-0</v>
      </c>
      <c r="L116" s="131" t="n">
        <f aca="false">L55/(L33+0.000001)</f>
        <v>0</v>
      </c>
      <c r="M116" s="131" t="n">
        <f aca="false">M55/(M33+0.000001)</f>
        <v>0</v>
      </c>
      <c r="N116" s="131" t="n">
        <f aca="false">N55/(N33+0.000001)</f>
        <v>0</v>
      </c>
      <c r="O116" s="131" t="n">
        <f aca="false">O55/(O33+0.000001)</f>
        <v>0</v>
      </c>
      <c r="P116" s="131" t="n">
        <f aca="false">P55/(P33+0.000001)</f>
        <v>0</v>
      </c>
      <c r="Q116" s="131" t="n">
        <f aca="false">Q55/(Q33+0.000001)</f>
        <v>0</v>
      </c>
      <c r="R116" s="131" t="n">
        <f aca="false">R55/(R33+0.000001)</f>
        <v>0</v>
      </c>
      <c r="S116" s="131" t="n">
        <f aca="false">S55/(S33+0.000001)</f>
        <v>0</v>
      </c>
    </row>
    <row r="117" customFormat="false" ht="15.6" hidden="false" customHeight="false" outlineLevel="0" collapsed="false">
      <c r="G117" s="131" t="s">
        <v>297</v>
      </c>
      <c r="H117" s="218" t="n">
        <f aca="false">SIGN(H115+0.000000000001)*SIGN(H116+0.000000000001)</f>
        <v>1</v>
      </c>
      <c r="I117" s="218" t="n">
        <f aca="false">SIGN(I115+0.000000000001)*SIGN(I116+0.000000000001)</f>
        <v>1</v>
      </c>
      <c r="J117" s="218" t="n">
        <f aca="false">SIGN(J115+0.000000000001)*SIGN(J116+0.000000000001)</f>
        <v>1</v>
      </c>
      <c r="K117" s="218" t="n">
        <f aca="false">SIGN(K115+0.000000000001)*SIGN(K116+0.000000000001)</f>
        <v>1</v>
      </c>
      <c r="L117" s="218" t="n">
        <f aca="false">SIGN(L115+0.000000000001)*SIGN(L116+0.000000000001)</f>
        <v>1</v>
      </c>
      <c r="M117" s="218" t="n">
        <f aca="false">SIGN(M115+0.000000000001)*SIGN(M116+0.000000000001)</f>
        <v>1</v>
      </c>
      <c r="N117" s="218" t="n">
        <f aca="false">SIGN(N115+0.000000000001)*SIGN(N116+0.000000000001)</f>
        <v>1</v>
      </c>
      <c r="O117" s="218" t="n">
        <f aca="false">SIGN(O115+0.000000000001)*SIGN(O116+0.000000000001)</f>
        <v>1</v>
      </c>
      <c r="P117" s="218" t="n">
        <f aca="false">SIGN(P115+0.000000000001)*SIGN(P116+0.000000000001)</f>
        <v>1</v>
      </c>
      <c r="Q117" s="218" t="n">
        <f aca="false">SIGN(Q115+0.000000000001)*SIGN(Q116+0.000000000001)</f>
        <v>1</v>
      </c>
      <c r="R117" s="218" t="n">
        <f aca="false">SIGN(R115+0.000000000001)*SIGN(R116+0.000000000001)</f>
        <v>1</v>
      </c>
      <c r="S117" s="218" t="n">
        <f aca="false">SIGN(S115+0.000000000001)*SIGN(S116+0.000000000001)</f>
        <v>1</v>
      </c>
    </row>
    <row r="118" customFormat="false" ht="15.6" hidden="false" customHeight="false" outlineLevel="0" collapsed="false">
      <c r="G118" s="131" t="s">
        <v>292</v>
      </c>
      <c r="H118" s="219" t="n">
        <f aca="false">IF(H117*MIN(ABS(H115),ABS(H116))&gt;1,0,H117*MIN(ABS(H115),ABS(H116)))</f>
        <v>0</v>
      </c>
      <c r="I118" s="219" t="n">
        <f aca="false">IF(I117*MIN(ABS(I115),ABS(I116))&gt;1,0,I117*MIN(ABS(I115),ABS(I116)))</f>
        <v>0</v>
      </c>
      <c r="J118" s="219" t="n">
        <f aca="false">IF(J117*MIN(ABS(J115),ABS(J116))&gt;1,0,J117*MIN(ABS(J115),ABS(J116)))</f>
        <v>0</v>
      </c>
      <c r="K118" s="219" t="n">
        <f aca="false">IF(K117*MIN(ABS(K115),ABS(K116))&gt;1,0,K117*MIN(ABS(K115),ABS(K116)))</f>
        <v>0</v>
      </c>
      <c r="L118" s="219" t="n">
        <f aca="false">IF(L117*MIN(ABS(L115),ABS(L116))&gt;1,0,L117*MIN(ABS(L115),ABS(L116)))</f>
        <v>0</v>
      </c>
      <c r="M118" s="219" t="n">
        <f aca="false">IF(M117*MIN(ABS(M115),ABS(M116))&gt;1,0,M117*MIN(ABS(M115),ABS(M116)))</f>
        <v>0</v>
      </c>
      <c r="N118" s="219" t="n">
        <f aca="false">IF(N117*MIN(ABS(N115),ABS(N116))&gt;1,0,N117*MIN(ABS(N115),ABS(N116)))</f>
        <v>0</v>
      </c>
      <c r="O118" s="219" t="n">
        <f aca="false">IF(O117*MIN(ABS(O115),ABS(O116))&gt;1,0,O117*MIN(ABS(O115),ABS(O116)))</f>
        <v>0</v>
      </c>
      <c r="P118" s="219" t="n">
        <f aca="false">IF(P117*MIN(ABS(P115),ABS(P116))&gt;1,0,P117*MIN(ABS(P115),ABS(P116)))</f>
        <v>0</v>
      </c>
      <c r="Q118" s="219" t="n">
        <f aca="false">IF(Q117*MIN(ABS(Q115),ABS(Q116))&gt;1,0,Q117*MIN(ABS(Q115),ABS(Q116)))</f>
        <v>0</v>
      </c>
      <c r="R118" s="219" t="n">
        <f aca="false">IF(R117*MIN(ABS(R115),ABS(R116))&gt;1,0,R117*MIN(ABS(R115),ABS(R116)))</f>
        <v>0</v>
      </c>
      <c r="S118" s="219" t="n">
        <f aca="false">IF(S117*MIN(ABS(S115),ABS(S116))&gt;1,0,S117*MIN(ABS(S115),ABS(S116)))</f>
        <v>0</v>
      </c>
    </row>
    <row r="119" customFormat="false" ht="15.6" hidden="false" customHeight="false" outlineLevel="0" collapsed="false">
      <c r="G119" s="0"/>
      <c r="H119" s="153" t="s">
        <v>299</v>
      </c>
      <c r="I119" s="153"/>
      <c r="J119" s="153"/>
      <c r="K119" s="153"/>
      <c r="L119" s="153"/>
      <c r="M119" s="153"/>
      <c r="N119" s="153"/>
      <c r="O119" s="153"/>
      <c r="P119" s="153"/>
      <c r="Q119" s="153"/>
      <c r="R119" s="153"/>
      <c r="S119" s="153"/>
    </row>
    <row r="120" customFormat="false" ht="15.6" hidden="false" customHeight="false" outlineLevel="0" collapsed="false">
      <c r="G120" s="165" t="s">
        <v>291</v>
      </c>
      <c r="H120" s="161" t="n">
        <f aca="false">H56/(H31+0.000001)</f>
        <v>0</v>
      </c>
      <c r="I120" s="161" t="n">
        <f aca="false">I56/(I31+0.000001)</f>
        <v>-0</v>
      </c>
      <c r="J120" s="161" t="n">
        <f aca="false">J56/(J31+0.000001)</f>
        <v>-0</v>
      </c>
      <c r="K120" s="161" t="n">
        <f aca="false">K56/(K31+0.000001)</f>
        <v>0</v>
      </c>
      <c r="L120" s="161" t="n">
        <f aca="false">L56/(L31+0.000001)</f>
        <v>0</v>
      </c>
      <c r="M120" s="161" t="n">
        <f aca="false">M56/(M31+0.000001)</f>
        <v>0</v>
      </c>
      <c r="N120" s="161" t="n">
        <f aca="false">N56/(N31+0.000001)</f>
        <v>0</v>
      </c>
      <c r="O120" s="161" t="n">
        <f aca="false">O56/(O31+0.000001)</f>
        <v>0</v>
      </c>
      <c r="P120" s="161" t="n">
        <f aca="false">P56/(P31+0.000001)</f>
        <v>0</v>
      </c>
      <c r="Q120" s="161" t="n">
        <f aca="false">Q56/(Q31+0.000001)</f>
        <v>0</v>
      </c>
      <c r="R120" s="161" t="n">
        <f aca="false">R56/(R31+0.000001)</f>
        <v>0</v>
      </c>
      <c r="S120" s="161" t="n">
        <f aca="false">S56/(S31+0.000001)</f>
        <v>0</v>
      </c>
    </row>
    <row r="121" customFormat="false" ht="15.6" hidden="false" customHeight="false" outlineLevel="0" collapsed="false">
      <c r="G121" s="165" t="s">
        <v>291</v>
      </c>
      <c r="H121" s="77" t="n">
        <f aca="false">H55/(H32+0.000001)</f>
        <v>0</v>
      </c>
      <c r="I121" s="77" t="n">
        <f aca="false">I55/(I32+0.000001)</f>
        <v>0</v>
      </c>
      <c r="J121" s="77" t="n">
        <f aca="false">J55/(J32+0.000001)</f>
        <v>0</v>
      </c>
      <c r="K121" s="77" t="n">
        <f aca="false">K55/(K32+0.000001)</f>
        <v>0</v>
      </c>
      <c r="L121" s="77" t="n">
        <f aca="false">L55/(L32+0.000001)</f>
        <v>0</v>
      </c>
      <c r="M121" s="77" t="n">
        <f aca="false">M55/(M32+0.000001)</f>
        <v>0</v>
      </c>
      <c r="N121" s="77" t="n">
        <f aca="false">N55/(N32+0.000001)</f>
        <v>0</v>
      </c>
      <c r="O121" s="77" t="n">
        <f aca="false">O55/(O32+0.000001)</f>
        <v>0</v>
      </c>
      <c r="P121" s="77" t="n">
        <f aca="false">P55/(P32+0.000001)</f>
        <v>0</v>
      </c>
      <c r="Q121" s="77" t="n">
        <f aca="false">Q55/(Q32+0.000001)</f>
        <v>0</v>
      </c>
      <c r="R121" s="77" t="n">
        <f aca="false">R55/(R32+0.000001)</f>
        <v>0</v>
      </c>
      <c r="S121" s="77" t="n">
        <f aca="false">S55/(S32+0.000001)</f>
        <v>0</v>
      </c>
    </row>
    <row r="122" customFormat="false" ht="15.6" hidden="false" customHeight="false" outlineLevel="0" collapsed="false">
      <c r="G122" s="77" t="s">
        <v>297</v>
      </c>
      <c r="H122" s="217" t="n">
        <f aca="false">SIGN(H120+0.000000000001)*SIGN(H121+0.000000000001)</f>
        <v>1</v>
      </c>
      <c r="I122" s="217" t="n">
        <f aca="false">SIGN(I120+0.000000000001)*SIGN(I121+0.000000000001)</f>
        <v>1</v>
      </c>
      <c r="J122" s="217" t="n">
        <f aca="false">SIGN(J120+0.000000000001)*SIGN(J121+0.000000000001)</f>
        <v>1</v>
      </c>
      <c r="K122" s="217" t="n">
        <f aca="false">SIGN(K120+0.000000000001)*SIGN(K121+0.000000000001)</f>
        <v>1</v>
      </c>
      <c r="L122" s="217" t="n">
        <f aca="false">SIGN(L120+0.000000000001)*SIGN(L121+0.000000000001)</f>
        <v>1</v>
      </c>
      <c r="M122" s="217" t="n">
        <f aca="false">SIGN(M120+0.000000000001)*SIGN(M121+0.000000000001)</f>
        <v>1</v>
      </c>
      <c r="N122" s="217" t="n">
        <f aca="false">SIGN(N120+0.000000000001)*SIGN(N121+0.000000000001)</f>
        <v>1</v>
      </c>
      <c r="O122" s="217" t="n">
        <f aca="false">SIGN(O120+0.000000000001)*SIGN(O121+0.000000000001)</f>
        <v>1</v>
      </c>
      <c r="P122" s="217" t="n">
        <f aca="false">SIGN(P120+0.000000000001)*SIGN(P121+0.000000000001)</f>
        <v>1</v>
      </c>
      <c r="Q122" s="217" t="n">
        <f aca="false">SIGN(Q120+0.000000000001)*SIGN(Q121+0.000000000001)</f>
        <v>1</v>
      </c>
      <c r="R122" s="217" t="n">
        <f aca="false">SIGN(R120+0.000000000001)*SIGN(R121+0.000000000001)</f>
        <v>1</v>
      </c>
      <c r="S122" s="217" t="n">
        <f aca="false">SIGN(S120+0.000000000001)*SIGN(S121+0.000000000001)</f>
        <v>1</v>
      </c>
    </row>
    <row r="123" customFormat="false" ht="15.6" hidden="false" customHeight="false" outlineLevel="0" collapsed="false">
      <c r="G123" s="77" t="s">
        <v>292</v>
      </c>
      <c r="H123" s="161" t="n">
        <f aca="false">IF(H122*MIN(ABS(H120),ABS(H121))&gt;1,0,H122*MIN(ABS(H120),ABS(H121)))</f>
        <v>0</v>
      </c>
      <c r="I123" s="161" t="n">
        <f aca="false">IF(I122*MIN(ABS(I120),ABS(I121))&gt;1,0,I122*MIN(ABS(I120),ABS(I121)))</f>
        <v>0</v>
      </c>
      <c r="J123" s="161" t="n">
        <f aca="false">IF(J122*MIN(ABS(J120),ABS(J121))&gt;1,0,J122*MIN(ABS(J120),ABS(J121)))</f>
        <v>0</v>
      </c>
      <c r="K123" s="161" t="n">
        <f aca="false">IF(K122*MIN(ABS(K120),ABS(K121))&gt;1,0,K122*MIN(ABS(K120),ABS(K121)))</f>
        <v>0</v>
      </c>
      <c r="L123" s="161" t="n">
        <f aca="false">IF(L122*MIN(ABS(L120),ABS(L121))&gt;1,0,L122*MIN(ABS(L120),ABS(L121)))</f>
        <v>0</v>
      </c>
      <c r="M123" s="161" t="n">
        <f aca="false">IF(M122*MIN(ABS(M120),ABS(M121))&gt;1,0,M122*MIN(ABS(M120),ABS(M121)))</f>
        <v>0</v>
      </c>
      <c r="N123" s="161" t="n">
        <f aca="false">IF(N122*MIN(ABS(N120),ABS(N121))&gt;1,0,N122*MIN(ABS(N120),ABS(N121)))</f>
        <v>0</v>
      </c>
      <c r="O123" s="161" t="n">
        <f aca="false">IF(O122*MIN(ABS(O120),ABS(O121))&gt;1,0,O122*MIN(ABS(O120),ABS(O121)))</f>
        <v>0</v>
      </c>
      <c r="P123" s="161" t="n">
        <f aca="false">IF(P122*MIN(ABS(P120),ABS(P121))&gt;1,0,P122*MIN(ABS(P120),ABS(P121)))</f>
        <v>0</v>
      </c>
      <c r="Q123" s="161" t="n">
        <f aca="false">IF(Q122*MIN(ABS(Q120),ABS(Q121))&gt;1,0,Q122*MIN(ABS(Q120),ABS(Q121)))</f>
        <v>0</v>
      </c>
      <c r="R123" s="161" t="n">
        <f aca="false">IF(R122*MIN(ABS(R120),ABS(R121))&gt;1,0,R122*MIN(ABS(R120),ABS(R121)))</f>
        <v>0</v>
      </c>
      <c r="S123" s="161" t="n">
        <f aca="false">IF(S122*MIN(ABS(S120),ABS(S121))&gt;1,0,S122*MIN(ABS(S120),ABS(S121)))</f>
        <v>0</v>
      </c>
    </row>
  </sheetData>
  <mergeCells count="9">
    <mergeCell ref="E3:M3"/>
    <mergeCell ref="E4:M4"/>
    <mergeCell ref="F5:F10"/>
    <mergeCell ref="A22:M22"/>
    <mergeCell ref="H29:S29"/>
    <mergeCell ref="A32:C34"/>
    <mergeCell ref="H34:K34"/>
    <mergeCell ref="H38:K38"/>
    <mergeCell ref="H64:H69"/>
  </mergeCells>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drawing r:id="rId1"/>
</worksheet>
</file>

<file path=xl/worksheets/sheet10.xml><?xml version="1.0" encoding="utf-8"?>
<worksheet xmlns="http://schemas.openxmlformats.org/spreadsheetml/2006/main" xmlns:r="http://schemas.openxmlformats.org/officeDocument/2006/relationships">
  <sheetPr filterMode="false">
    <pageSetUpPr fitToPage="false"/>
  </sheetPr>
  <dimension ref="A1:T122"/>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7" activeCellId="0" sqref="A17"/>
    </sheetView>
  </sheetViews>
  <sheetFormatPr defaultRowHeight="15.6"/>
  <cols>
    <col collapsed="false" hidden="false" max="1" min="1" style="77" width="46.4481481481482"/>
    <col collapsed="false" hidden="false" max="2" min="2" style="77" width="22.7333333333333"/>
    <col collapsed="false" hidden="false" max="3" min="3" style="77" width="48.9962962962963"/>
    <col collapsed="false" hidden="false" max="4" min="4" style="77" width="12.2481481481481"/>
    <col collapsed="false" hidden="false" max="6" min="5" style="77" width="7.34814814814815"/>
    <col collapsed="false" hidden="false" max="7" min="7" style="77" width="27.1444444444444"/>
    <col collapsed="false" hidden="false" max="8" min="8" style="77" width="13.8185185185185"/>
    <col collapsed="false" hidden="false" max="11" min="9" style="77" width="11.2703703703704"/>
    <col collapsed="false" hidden="false" max="12" min="12" style="77" width="16.5592592592593"/>
    <col collapsed="false" hidden="false" max="1025" min="13" style="77" width="11.2703703703704"/>
  </cols>
  <sheetData>
    <row r="1" customFormat="false" ht="15.6" hidden="false" customHeight="false" outlineLevel="0" collapsed="false">
      <c r="A1" s="132" t="str">
        <f aca="false">'CSs and Loads'!A210</f>
        <v>CS 7</v>
      </c>
      <c r="B1" s="132" t="str">
        <f aca="false">'CSs and Loads'!A220</f>
        <v>Bed &amp; Frame</v>
      </c>
      <c r="C1" s="0"/>
      <c r="D1" s="0"/>
      <c r="E1" s="0"/>
      <c r="F1" s="0"/>
      <c r="G1" s="0"/>
      <c r="H1" s="0"/>
      <c r="I1" s="0"/>
      <c r="J1" s="0"/>
      <c r="K1" s="0"/>
      <c r="L1" s="0"/>
      <c r="M1" s="0"/>
      <c r="N1" s="0"/>
      <c r="O1" s="0"/>
      <c r="P1" s="0"/>
      <c r="Q1" s="0"/>
      <c r="R1" s="0"/>
      <c r="S1" s="0"/>
      <c r="T1" s="0"/>
    </row>
    <row r="2" customFormat="false" ht="16.2" hidden="false" customHeight="false" outlineLevel="0" collapsed="false">
      <c r="A2" s="134" t="s">
        <v>196</v>
      </c>
      <c r="B2" s="0"/>
      <c r="C2" s="0"/>
      <c r="D2" s="0"/>
      <c r="E2" s="136"/>
      <c r="F2" s="136"/>
      <c r="G2" s="136"/>
      <c r="H2" s="136"/>
      <c r="I2" s="191"/>
      <c r="J2" s="136"/>
      <c r="K2" s="136"/>
      <c r="L2" s="137"/>
      <c r="M2" s="137"/>
      <c r="N2" s="138"/>
      <c r="O2" s="0"/>
      <c r="P2" s="0"/>
      <c r="Q2" s="0"/>
      <c r="R2" s="0"/>
      <c r="S2" s="0"/>
      <c r="T2" s="0"/>
    </row>
    <row r="3" customFormat="false" ht="15.6" hidden="false" customHeight="false" outlineLevel="0" collapsed="false">
      <c r="A3" s="134" t="s">
        <v>197</v>
      </c>
      <c r="B3" s="0"/>
      <c r="C3" s="0"/>
      <c r="D3" s="220"/>
      <c r="E3" s="140" t="s">
        <v>198</v>
      </c>
      <c r="F3" s="140"/>
      <c r="G3" s="140"/>
      <c r="H3" s="140"/>
      <c r="I3" s="140"/>
      <c r="J3" s="140"/>
      <c r="K3" s="140"/>
      <c r="L3" s="140"/>
      <c r="M3" s="140"/>
      <c r="N3" s="141"/>
      <c r="O3" s="142"/>
      <c r="P3" s="142"/>
      <c r="Q3" s="142"/>
      <c r="R3" s="142"/>
      <c r="S3" s="0"/>
      <c r="T3" s="0"/>
    </row>
    <row r="4" customFormat="false" ht="15.6" hidden="false" customHeight="false" outlineLevel="0" collapsed="false">
      <c r="A4" s="134" t="s">
        <v>199</v>
      </c>
      <c r="B4" s="143" t="s">
        <v>341</v>
      </c>
      <c r="C4" s="134" t="s">
        <v>201</v>
      </c>
      <c r="D4" s="223"/>
      <c r="E4" s="146" t="s">
        <v>342</v>
      </c>
      <c r="F4" s="146"/>
      <c r="G4" s="146"/>
      <c r="H4" s="146"/>
      <c r="I4" s="146"/>
      <c r="J4" s="146"/>
      <c r="K4" s="146"/>
      <c r="L4" s="146"/>
      <c r="M4" s="146"/>
      <c r="N4" s="277"/>
      <c r="O4" s="0"/>
      <c r="P4" s="0"/>
      <c r="Q4" s="0"/>
      <c r="R4" s="0"/>
      <c r="S4" s="0"/>
      <c r="T4" s="0"/>
    </row>
    <row r="5" customFormat="false" ht="15.6" hidden="false" customHeight="false" outlineLevel="0" collapsed="false">
      <c r="A5" s="247" t="s">
        <v>203</v>
      </c>
      <c r="B5" s="143" t="s">
        <v>329</v>
      </c>
      <c r="C5" s="153" t="s">
        <v>205</v>
      </c>
      <c r="D5" s="223" t="n">
        <v>25</v>
      </c>
      <c r="E5" s="148" t="s">
        <v>206</v>
      </c>
      <c r="F5" s="149" t="s">
        <v>207</v>
      </c>
      <c r="G5" s="283" t="n">
        <f aca="false">(B12/4)/(B16*B7)</f>
        <v>5.7058085130663E-007</v>
      </c>
      <c r="H5" s="77" t="n">
        <v>0</v>
      </c>
      <c r="I5" s="77" t="n">
        <v>0</v>
      </c>
      <c r="J5" s="77" t="n">
        <v>0</v>
      </c>
      <c r="K5" s="77" t="n">
        <v>0</v>
      </c>
      <c r="L5" s="284" t="n">
        <f aca="false">-(B11/(3*B7*B18*B12))*(2*B11^2+B12^2-3*B11*B12)</f>
        <v>-9.5798251454259E-009</v>
      </c>
      <c r="M5" s="152" t="s">
        <v>208</v>
      </c>
      <c r="N5" s="141"/>
      <c r="O5" s="0"/>
      <c r="P5" s="0"/>
      <c r="Q5" s="0"/>
      <c r="R5" s="0"/>
      <c r="S5" s="0"/>
      <c r="T5" s="0"/>
    </row>
    <row r="6" customFormat="false" ht="15.6" hidden="false" customHeight="false" outlineLevel="0" collapsed="false">
      <c r="A6" s="247" t="s">
        <v>209</v>
      </c>
      <c r="B6" s="143" t="s">
        <v>330</v>
      </c>
      <c r="C6" s="153" t="s">
        <v>211</v>
      </c>
      <c r="D6" s="223" t="n">
        <f aca="false">1770*9.8</f>
        <v>17346</v>
      </c>
      <c r="E6" s="148" t="s">
        <v>212</v>
      </c>
      <c r="F6" s="149"/>
      <c r="G6" s="77" t="n">
        <v>0</v>
      </c>
      <c r="H6" s="284" t="n">
        <f aca="false">(B14/4)/(B16*B7)</f>
        <v>5.7058085130663E-007</v>
      </c>
      <c r="I6" s="77" t="n">
        <v>0</v>
      </c>
      <c r="J6" s="77" t="n">
        <v>0</v>
      </c>
      <c r="K6" s="270" t="n">
        <v>0</v>
      </c>
      <c r="L6" s="77" t="n">
        <v>0</v>
      </c>
      <c r="M6" s="152" t="s">
        <v>213</v>
      </c>
      <c r="N6" s="141"/>
      <c r="O6" s="0"/>
      <c r="P6" s="0"/>
      <c r="Q6" s="0"/>
      <c r="R6" s="0"/>
      <c r="S6" s="0"/>
      <c r="T6" s="0"/>
    </row>
    <row r="7" customFormat="false" ht="15.6" hidden="false" customHeight="false" outlineLevel="0" collapsed="false">
      <c r="A7" s="153" t="s">
        <v>214</v>
      </c>
      <c r="B7" s="134" t="n">
        <f aca="false">69000</f>
        <v>69000</v>
      </c>
      <c r="C7" s="153" t="s">
        <v>215</v>
      </c>
      <c r="D7" s="223" t="n">
        <f aca="false">647*1000</f>
        <v>647000</v>
      </c>
      <c r="E7" s="148" t="s">
        <v>216</v>
      </c>
      <c r="F7" s="149"/>
      <c r="G7" s="77" t="n">
        <v>0</v>
      </c>
      <c r="H7" s="77" t="n">
        <v>0</v>
      </c>
      <c r="I7" s="284" t="n">
        <f aca="false">(B11^2/(3*B7*B18*B12))*(B12^2-2*B11*B12+B11^2)</f>
        <v>1.03781439075447E-006</v>
      </c>
      <c r="J7" s="285" t="n">
        <f aca="false">I8</f>
        <v>3.12849718320623E-008</v>
      </c>
      <c r="K7" s="175"/>
      <c r="L7" s="77" t="n">
        <v>0</v>
      </c>
      <c r="M7" s="152" t="s">
        <v>217</v>
      </c>
      <c r="N7" s="141"/>
      <c r="O7" s="0"/>
      <c r="P7" s="0"/>
      <c r="Q7" s="0"/>
      <c r="R7" s="0"/>
      <c r="S7" s="0"/>
      <c r="T7" s="0"/>
    </row>
    <row r="8" customFormat="false" ht="15.6" hidden="false" customHeight="false" outlineLevel="0" collapsed="false">
      <c r="A8" s="153" t="s">
        <v>218</v>
      </c>
      <c r="B8" s="134" t="n">
        <v>0.334</v>
      </c>
      <c r="C8" s="153" t="s">
        <v>219</v>
      </c>
      <c r="D8" s="223" t="n">
        <v>3</v>
      </c>
      <c r="E8" s="148" t="s">
        <v>220</v>
      </c>
      <c r="F8" s="149"/>
      <c r="G8" s="77" t="n">
        <v>0</v>
      </c>
      <c r="H8" s="77" t="n">
        <v>0</v>
      </c>
      <c r="I8" s="285" t="n">
        <f aca="false">(B11/(B7*B17*B12))*(2*B11^2-3*B11*B12+B12^2)</f>
        <v>3.12849718320623E-008</v>
      </c>
      <c r="J8" s="284" t="n">
        <f aca="false">(1/(3*B7*B17*B12))*(2*B12^2+3*B11^2-3*B11*B12)</f>
        <v>2.35974253348675E-010</v>
      </c>
      <c r="K8" s="77" t="n">
        <v>0</v>
      </c>
      <c r="L8" s="77" t="n">
        <v>0</v>
      </c>
      <c r="M8" s="152" t="s">
        <v>221</v>
      </c>
      <c r="N8" s="141"/>
      <c r="O8" s="0"/>
      <c r="P8" s="0"/>
      <c r="Q8" s="0"/>
      <c r="R8" s="0"/>
      <c r="S8" s="0"/>
      <c r="T8" s="0"/>
    </row>
    <row r="9" customFormat="false" ht="15.6" hidden="false" customHeight="false" outlineLevel="0" collapsed="false">
      <c r="A9" s="153" t="s">
        <v>222</v>
      </c>
      <c r="B9" s="155" t="n">
        <f aca="false">B7/(2*(1+B8))</f>
        <v>25862.0689655172</v>
      </c>
      <c r="C9" s="153" t="s">
        <v>223</v>
      </c>
      <c r="D9" s="223" t="n">
        <v>0.01</v>
      </c>
      <c r="E9" s="148" t="s">
        <v>224</v>
      </c>
      <c r="F9" s="149"/>
      <c r="G9" s="77" t="n">
        <v>0</v>
      </c>
      <c r="H9" s="77" t="n">
        <v>0</v>
      </c>
      <c r="I9" s="77" t="n">
        <v>0</v>
      </c>
      <c r="J9" s="77" t="n">
        <v>0</v>
      </c>
      <c r="K9" s="284" t="n">
        <f aca="false">(1/(3*B7*B18*B12))*(2*B12^2+3*B11^2-3*B11*B12)</f>
        <v>2.16774248483035E-010</v>
      </c>
      <c r="L9" s="77" t="n">
        <v>0</v>
      </c>
      <c r="M9" s="152" t="s">
        <v>225</v>
      </c>
      <c r="N9" s="141"/>
      <c r="O9" s="0"/>
      <c r="P9" s="0"/>
      <c r="Q9" s="0"/>
      <c r="R9" s="0"/>
      <c r="S9" s="0"/>
      <c r="T9" s="0"/>
    </row>
    <row r="10" customFormat="false" ht="16.2" hidden="false" customHeight="false" outlineLevel="0" collapsed="false">
      <c r="A10" s="77" t="s">
        <v>303</v>
      </c>
      <c r="B10" s="134"/>
      <c r="C10" s="153" t="s">
        <v>227</v>
      </c>
      <c r="D10" s="262" t="n">
        <f aca="false">D6/(D8*D9)</f>
        <v>578200</v>
      </c>
      <c r="E10" s="157" t="s">
        <v>228</v>
      </c>
      <c r="F10" s="149"/>
      <c r="G10" s="286" t="n">
        <f aca="false">L5</f>
        <v>-9.5798251454259E-009</v>
      </c>
      <c r="H10" s="272" t="n">
        <v>0</v>
      </c>
      <c r="I10" s="272" t="n">
        <v>0</v>
      </c>
      <c r="J10" s="272" t="n">
        <v>0</v>
      </c>
      <c r="K10" s="272" t="n">
        <v>0</v>
      </c>
      <c r="L10" s="287" t="n">
        <v>0</v>
      </c>
      <c r="M10" s="160" t="s">
        <v>229</v>
      </c>
      <c r="N10" s="141"/>
      <c r="O10" s="0"/>
      <c r="P10" s="0"/>
      <c r="Q10" s="0"/>
      <c r="R10" s="0"/>
      <c r="S10" s="0"/>
      <c r="T10" s="0"/>
    </row>
    <row r="11" customFormat="false" ht="15.6" hidden="false" customHeight="false" outlineLevel="0" collapsed="false">
      <c r="A11" s="165" t="s">
        <v>230</v>
      </c>
      <c r="B11" s="208" t="n">
        <f aca="false">'CS_5 Bridge'!B11</f>
        <v>100</v>
      </c>
      <c r="C11" s="153" t="s">
        <v>231</v>
      </c>
      <c r="D11" s="134" t="n">
        <v>25</v>
      </c>
      <c r="E11" s="221"/>
      <c r="F11" s="221"/>
      <c r="G11" s="187"/>
      <c r="H11" s="187"/>
      <c r="I11" s="187"/>
      <c r="J11" s="187"/>
      <c r="K11" s="187"/>
      <c r="L11" s="229"/>
      <c r="M11" s="187"/>
      <c r="N11" s="0"/>
      <c r="O11" s="0"/>
      <c r="P11" s="0"/>
      <c r="Q11" s="0"/>
      <c r="R11" s="0"/>
      <c r="S11" s="0"/>
      <c r="T11" s="0"/>
    </row>
    <row r="12" customFormat="false" ht="15.6" hidden="false" customHeight="false" outlineLevel="0" collapsed="false">
      <c r="A12" s="153" t="s">
        <v>232</v>
      </c>
      <c r="B12" s="134" t="n">
        <f aca="false">B14</f>
        <v>1400</v>
      </c>
      <c r="C12" s="153" t="s">
        <v>233</v>
      </c>
      <c r="D12" s="155" t="n">
        <f aca="false">D7*D11^2/4</f>
        <v>101093750</v>
      </c>
      <c r="E12" s="134"/>
      <c r="F12" s="134"/>
      <c r="G12" s="0"/>
      <c r="H12" s="0"/>
      <c r="I12" s="0"/>
      <c r="J12" s="0"/>
      <c r="K12" s="0"/>
      <c r="L12" s="165"/>
      <c r="M12" s="0"/>
      <c r="N12" s="0"/>
      <c r="O12" s="0"/>
      <c r="P12" s="0"/>
      <c r="Q12" s="0"/>
      <c r="R12" s="0"/>
      <c r="S12" s="0"/>
      <c r="T12" s="0"/>
    </row>
    <row r="13" customFormat="false" ht="15.6" hidden="false" customHeight="false" outlineLevel="0" collapsed="false">
      <c r="A13" s="153" t="s">
        <v>331</v>
      </c>
      <c r="B13" s="134" t="n">
        <f aca="false">6*25.4</f>
        <v>152.4</v>
      </c>
      <c r="C13" s="153" t="s">
        <v>235</v>
      </c>
      <c r="D13" s="155" t="n">
        <f aca="false">D7*D11^2/12</f>
        <v>33697916.6666667</v>
      </c>
      <c r="E13" s="134"/>
      <c r="F13" s="134"/>
      <c r="G13" s="0"/>
      <c r="H13" s="0"/>
      <c r="I13" s="0"/>
      <c r="J13" s="0"/>
      <c r="K13" s="0"/>
      <c r="L13" s="165"/>
      <c r="M13" s="0"/>
      <c r="N13" s="0"/>
      <c r="O13" s="0"/>
      <c r="P13" s="0"/>
      <c r="Q13" s="0"/>
      <c r="R13" s="0"/>
      <c r="S13" s="0"/>
      <c r="T13" s="0"/>
    </row>
    <row r="14" customFormat="false" ht="15.6" hidden="false" customHeight="false" outlineLevel="0" collapsed="false">
      <c r="A14" s="153" t="s">
        <v>338</v>
      </c>
      <c r="B14" s="134" t="n">
        <v>1400</v>
      </c>
      <c r="C14" s="153" t="s">
        <v>237</v>
      </c>
      <c r="D14" s="155" t="n">
        <f aca="false">D13</f>
        <v>33697916.6666667</v>
      </c>
      <c r="E14" s="134"/>
      <c r="F14" s="134"/>
      <c r="G14" s="0"/>
      <c r="H14" s="0"/>
      <c r="I14" s="0"/>
      <c r="J14" s="0"/>
      <c r="K14" s="0"/>
      <c r="L14" s="165"/>
      <c r="M14" s="0"/>
      <c r="N14" s="0"/>
      <c r="O14" s="0"/>
      <c r="P14" s="0"/>
      <c r="Q14" s="0"/>
      <c r="R14" s="0"/>
      <c r="S14" s="0"/>
      <c r="T14" s="0"/>
    </row>
    <row r="15" customFormat="false" ht="15.6" hidden="false" customHeight="false" outlineLevel="0" collapsed="false">
      <c r="A15" s="153" t="s">
        <v>304</v>
      </c>
      <c r="B15" s="134" t="n">
        <f aca="false">0.125*25.4</f>
        <v>3.175</v>
      </c>
      <c r="C15" s="247" t="s">
        <v>239</v>
      </c>
      <c r="D15" s="134"/>
      <c r="E15" s="134"/>
      <c r="F15" s="134"/>
      <c r="G15" s="0"/>
      <c r="H15" s="0"/>
      <c r="I15" s="0"/>
      <c r="J15" s="0"/>
      <c r="K15" s="0"/>
      <c r="L15" s="165"/>
      <c r="M15" s="0"/>
      <c r="N15" s="0"/>
      <c r="O15" s="0"/>
      <c r="P15" s="0"/>
      <c r="Q15" s="0"/>
      <c r="R15" s="0"/>
      <c r="S15" s="0"/>
      <c r="T15" s="0"/>
    </row>
    <row r="16" customFormat="false" ht="15.6" hidden="false" customHeight="false" outlineLevel="0" collapsed="false">
      <c r="A16" s="153" t="s">
        <v>240</v>
      </c>
      <c r="B16" s="155" t="n">
        <f aca="false">2*B15*B14</f>
        <v>8890</v>
      </c>
      <c r="C16" s="214" t="s">
        <v>241</v>
      </c>
      <c r="D16" s="134"/>
      <c r="E16" s="134"/>
      <c r="F16" s="134"/>
      <c r="G16" s="0"/>
      <c r="H16" s="0"/>
      <c r="I16" s="0"/>
      <c r="J16" s="0"/>
      <c r="K16" s="0"/>
      <c r="L16" s="165"/>
      <c r="M16" s="0"/>
      <c r="N16" s="0"/>
      <c r="O16" s="0"/>
      <c r="P16" s="0"/>
      <c r="Q16" s="0"/>
      <c r="R16" s="0"/>
      <c r="S16" s="0"/>
      <c r="T16" s="0"/>
    </row>
    <row r="17" customFormat="false" ht="15.6" hidden="false" customHeight="false" outlineLevel="0" collapsed="false">
      <c r="A17" s="153" t="s">
        <v>242</v>
      </c>
      <c r="B17" s="175" t="n">
        <f aca="false">2*(B15*B14)*(B13/2)^2</f>
        <v>51619251.6</v>
      </c>
      <c r="C17" s="242" t="s">
        <v>243</v>
      </c>
      <c r="D17" s="134" t="n">
        <v>18</v>
      </c>
      <c r="E17" s="134"/>
      <c r="F17" s="134"/>
      <c r="G17" s="0"/>
      <c r="H17" s="0"/>
      <c r="I17" s="0"/>
      <c r="J17" s="0"/>
      <c r="K17" s="0"/>
      <c r="L17" s="165"/>
      <c r="M17" s="0"/>
      <c r="N17" s="0"/>
      <c r="O17" s="0"/>
      <c r="P17" s="0"/>
      <c r="Q17" s="0"/>
      <c r="R17" s="0"/>
      <c r="S17" s="0"/>
      <c r="T17" s="0"/>
    </row>
    <row r="18" customFormat="false" ht="15.6" hidden="false" customHeight="false" outlineLevel="0" collapsed="false">
      <c r="A18" s="153" t="s">
        <v>244</v>
      </c>
      <c r="B18" s="175" t="n">
        <f aca="false">2*(B15*(10*B13))*(B13/2)^2</f>
        <v>56191242.456</v>
      </c>
      <c r="C18" s="242" t="s">
        <v>232</v>
      </c>
      <c r="D18" s="134" t="n">
        <v>2500</v>
      </c>
      <c r="E18" s="134"/>
      <c r="F18" s="134"/>
      <c r="G18" s="0"/>
      <c r="H18" s="0"/>
      <c r="I18" s="0"/>
      <c r="J18" s="0"/>
      <c r="K18" s="0"/>
      <c r="L18" s="165"/>
      <c r="M18" s="0"/>
      <c r="N18" s="0"/>
      <c r="O18" s="0"/>
      <c r="P18" s="0"/>
      <c r="Q18" s="0"/>
      <c r="R18" s="0"/>
      <c r="S18" s="0"/>
      <c r="T18" s="0"/>
    </row>
    <row r="19" customFormat="false" ht="15.6" hidden="false" customHeight="false" outlineLevel="0" collapsed="false">
      <c r="A19" s="153" t="s">
        <v>245</v>
      </c>
      <c r="B19" s="175" t="n">
        <f aca="false">2*B15*B15*(B13-B15)^2*(B14-B15)^2/(B13*B15+B14*B15-2*B15^2)</f>
        <v>178450333.508799</v>
      </c>
      <c r="C19" s="153" t="s">
        <v>246</v>
      </c>
      <c r="D19" s="264" t="n">
        <v>200000</v>
      </c>
      <c r="E19" s="134"/>
      <c r="F19" s="134"/>
      <c r="G19" s="0"/>
      <c r="H19" s="0"/>
      <c r="I19" s="0"/>
      <c r="J19" s="0"/>
      <c r="K19" s="0"/>
      <c r="L19" s="165"/>
      <c r="M19" s="0"/>
      <c r="N19" s="0"/>
      <c r="O19" s="0"/>
      <c r="P19" s="0"/>
      <c r="Q19" s="0"/>
      <c r="R19" s="0"/>
      <c r="S19" s="0"/>
      <c r="T19" s="0"/>
    </row>
    <row r="20" customFormat="false" ht="15.6" hidden="false" customHeight="false" outlineLevel="0" collapsed="false">
      <c r="A20" s="153" t="s">
        <v>247</v>
      </c>
      <c r="B20" s="155" t="n">
        <f aca="false">B18/B16</f>
        <v>6320.72468571428</v>
      </c>
      <c r="C20" s="242" t="s">
        <v>248</v>
      </c>
      <c r="D20" s="175" t="n">
        <f aca="false">PI()*D17^2/4*D19/D18</f>
        <v>20357.5203952619</v>
      </c>
      <c r="E20" s="134"/>
      <c r="F20" s="134"/>
      <c r="G20" s="0"/>
      <c r="H20" s="0"/>
      <c r="I20" s="0"/>
      <c r="J20" s="0"/>
      <c r="K20" s="0"/>
      <c r="L20" s="165"/>
      <c r="M20" s="0"/>
      <c r="N20" s="0"/>
      <c r="O20" s="0"/>
      <c r="P20" s="0"/>
      <c r="Q20" s="0"/>
      <c r="R20" s="0"/>
      <c r="S20" s="0"/>
      <c r="T20" s="0"/>
    </row>
    <row r="21" customFormat="false" ht="16.2" hidden="false" customHeight="false" outlineLevel="0" collapsed="false">
      <c r="A21" s="178" t="s">
        <v>320</v>
      </c>
      <c r="B21" s="179" t="n">
        <f aca="false">3*B7*B18/B12^3</f>
        <v>4238.91661384548</v>
      </c>
      <c r="C21" s="178" t="s">
        <v>251</v>
      </c>
      <c r="D21" s="259" t="n">
        <v>3</v>
      </c>
      <c r="E21" s="259"/>
      <c r="F21" s="259"/>
      <c r="G21" s="136"/>
      <c r="H21" s="136"/>
      <c r="I21" s="136"/>
      <c r="J21" s="136"/>
      <c r="K21" s="136"/>
      <c r="L21" s="288"/>
      <c r="M21" s="136"/>
      <c r="N21" s="0"/>
      <c r="O21" s="0"/>
      <c r="P21" s="0"/>
      <c r="Q21" s="0"/>
      <c r="R21" s="0"/>
      <c r="S21" s="0"/>
      <c r="T21" s="0"/>
    </row>
    <row r="22" customFormat="false" ht="15" hidden="false" customHeight="true" outlineLevel="0" collapsed="false">
      <c r="A22" s="289" t="s">
        <v>343</v>
      </c>
      <c r="B22" s="289"/>
      <c r="C22" s="289"/>
      <c r="D22" s="289"/>
      <c r="E22" s="289"/>
      <c r="F22" s="289"/>
      <c r="G22" s="289"/>
      <c r="H22" s="289"/>
      <c r="I22" s="289"/>
      <c r="J22" s="289"/>
      <c r="K22" s="289"/>
      <c r="L22" s="289"/>
      <c r="M22" s="289"/>
      <c r="N22" s="290"/>
      <c r="O22" s="0"/>
      <c r="P22" s="0"/>
      <c r="Q22" s="0"/>
      <c r="R22" s="0"/>
      <c r="S22" s="0"/>
      <c r="T22" s="0"/>
    </row>
    <row r="23" customFormat="false" ht="31.2" hidden="false" customHeight="false" outlineLevel="0" collapsed="false">
      <c r="A23" s="184" t="s">
        <v>253</v>
      </c>
      <c r="B23" s="185"/>
      <c r="C23" s="186" t="s">
        <v>254</v>
      </c>
      <c r="D23" s="187"/>
      <c r="E23" s="187"/>
      <c r="F23" s="187"/>
      <c r="G23" s="187"/>
      <c r="H23" s="187"/>
      <c r="I23" s="187"/>
      <c r="J23" s="187"/>
      <c r="K23" s="187"/>
      <c r="L23" s="187"/>
      <c r="M23" s="187"/>
      <c r="N23" s="0"/>
      <c r="O23" s="142"/>
      <c r="P23" s="142"/>
      <c r="Q23" s="142"/>
      <c r="R23" s="142"/>
      <c r="S23" s="0"/>
      <c r="T23" s="0"/>
    </row>
    <row r="24" customFormat="false" ht="15.6" hidden="false" customHeight="false" outlineLevel="0" collapsed="false">
      <c r="A24" s="153" t="s">
        <v>255</v>
      </c>
      <c r="B24" s="25"/>
      <c r="C24" s="131"/>
      <c r="D24" s="0"/>
      <c r="E24" s="0"/>
      <c r="F24" s="0"/>
      <c r="G24" s="0"/>
      <c r="H24" s="0"/>
      <c r="I24" s="0"/>
      <c r="J24" s="0"/>
      <c r="K24" s="0"/>
      <c r="L24" s="0"/>
      <c r="M24" s="0"/>
      <c r="N24" s="0"/>
      <c r="O24" s="142"/>
      <c r="P24" s="142"/>
      <c r="Q24" s="142"/>
      <c r="R24" s="142"/>
      <c r="S24" s="0"/>
      <c r="T24" s="0"/>
    </row>
    <row r="25" customFormat="false" ht="15.6" hidden="false" customHeight="false" outlineLevel="0" collapsed="false">
      <c r="A25" s="87" t="s">
        <v>113</v>
      </c>
      <c r="B25" s="188" t="n">
        <f aca="false">SUM(H34:S34)+C25</f>
        <v>400000000</v>
      </c>
      <c r="C25" s="189" t="n">
        <v>0</v>
      </c>
      <c r="D25" s="0"/>
      <c r="E25" s="0"/>
      <c r="F25" s="0"/>
      <c r="G25" s="191" t="s">
        <v>256</v>
      </c>
      <c r="H25" s="0"/>
      <c r="I25" s="0"/>
      <c r="J25" s="0"/>
      <c r="K25" s="0"/>
      <c r="L25" s="0"/>
      <c r="M25" s="0"/>
      <c r="N25" s="0"/>
      <c r="O25" s="142"/>
      <c r="P25" s="142"/>
      <c r="Q25" s="142"/>
      <c r="R25" s="142"/>
      <c r="S25" s="0"/>
      <c r="T25" s="0"/>
    </row>
    <row r="26" customFormat="false" ht="15.6" hidden="false" customHeight="false" outlineLevel="0" collapsed="false">
      <c r="A26" s="87" t="s">
        <v>116</v>
      </c>
      <c r="B26" s="188" t="n">
        <f aca="false">SUM(H35:S35)+C26</f>
        <v>400000000</v>
      </c>
      <c r="C26" s="189" t="n">
        <v>0</v>
      </c>
      <c r="D26" s="0"/>
      <c r="E26" s="0"/>
      <c r="F26" s="0"/>
      <c r="G26" s="134" t="s">
        <v>257</v>
      </c>
      <c r="H26" s="0"/>
      <c r="I26" s="0"/>
      <c r="J26" s="0"/>
      <c r="K26" s="0"/>
      <c r="L26" s="0"/>
      <c r="M26" s="0"/>
      <c r="N26" s="0"/>
      <c r="O26" s="142"/>
      <c r="P26" s="142"/>
      <c r="Q26" s="142"/>
      <c r="R26" s="142"/>
      <c r="S26" s="0"/>
      <c r="T26" s="0"/>
    </row>
    <row r="27" customFormat="false" ht="15.6" hidden="false" customHeight="false" outlineLevel="0" collapsed="false">
      <c r="A27" s="87" t="s">
        <v>118</v>
      </c>
      <c r="B27" s="188" t="n">
        <f aca="false">SUM(H36:S36)+C27</f>
        <v>400000000</v>
      </c>
      <c r="C27" s="189" t="n">
        <v>0</v>
      </c>
      <c r="D27" s="87"/>
      <c r="E27" s="87"/>
      <c r="F27" s="87"/>
      <c r="G27" s="194" t="s">
        <v>259</v>
      </c>
      <c r="H27" s="195" t="n">
        <v>4</v>
      </c>
      <c r="I27" s="0"/>
      <c r="J27" s="0"/>
      <c r="K27" s="0"/>
      <c r="L27" s="0"/>
      <c r="M27" s="0"/>
      <c r="N27" s="0"/>
      <c r="O27" s="142"/>
      <c r="P27" s="142"/>
      <c r="Q27" s="142"/>
      <c r="R27" s="142"/>
      <c r="S27" s="0"/>
      <c r="T27" s="0"/>
    </row>
    <row r="28" customFormat="false" ht="15.6" hidden="false" customHeight="false" outlineLevel="0" collapsed="false">
      <c r="A28" s="153" t="s">
        <v>258</v>
      </c>
      <c r="B28" s="25"/>
      <c r="C28" s="192"/>
      <c r="D28" s="87"/>
      <c r="E28" s="87"/>
      <c r="F28" s="87"/>
      <c r="G28" s="0"/>
      <c r="H28" s="76" t="s">
        <v>260</v>
      </c>
      <c r="I28" s="76"/>
      <c r="J28" s="76"/>
      <c r="K28" s="76"/>
      <c r="L28" s="76"/>
      <c r="M28" s="76"/>
      <c r="N28" s="76"/>
      <c r="O28" s="76"/>
      <c r="P28" s="76"/>
      <c r="Q28" s="76"/>
      <c r="R28" s="76"/>
      <c r="S28" s="76"/>
      <c r="T28" s="0"/>
    </row>
    <row r="29" customFormat="false" ht="15.6" hidden="false" customHeight="false" outlineLevel="0" collapsed="false">
      <c r="A29" s="87" t="s">
        <v>120</v>
      </c>
      <c r="B29" s="188" t="n">
        <f aca="false">SUM(H38:S38)+SUM(H42:S42)+C29</f>
        <v>4000404375000</v>
      </c>
      <c r="C29" s="189" t="n">
        <v>0</v>
      </c>
      <c r="D29" s="87"/>
      <c r="E29" s="87"/>
      <c r="F29" s="87"/>
      <c r="G29" s="134" t="s">
        <v>261</v>
      </c>
      <c r="H29" s="85" t="n">
        <v>1</v>
      </c>
      <c r="I29" s="85" t="n">
        <f aca="false">H29+1</f>
        <v>2</v>
      </c>
      <c r="J29" s="85" t="n">
        <f aca="false">I29+1</f>
        <v>3</v>
      </c>
      <c r="K29" s="85" t="n">
        <f aca="false">J29+1</f>
        <v>4</v>
      </c>
      <c r="L29" s="85" t="n">
        <f aca="false">K29+1</f>
        <v>5</v>
      </c>
      <c r="M29" s="85" t="n">
        <f aca="false">L29+1</f>
        <v>6</v>
      </c>
      <c r="N29" s="85" t="n">
        <f aca="false">M29+1</f>
        <v>7</v>
      </c>
      <c r="O29" s="85" t="n">
        <f aca="false">N29+1</f>
        <v>8</v>
      </c>
      <c r="P29" s="85" t="n">
        <f aca="false">O29+1</f>
        <v>9</v>
      </c>
      <c r="Q29" s="85" t="n">
        <f aca="false">P29+1</f>
        <v>10</v>
      </c>
      <c r="R29" s="85" t="n">
        <f aca="false">Q29+1</f>
        <v>11</v>
      </c>
      <c r="S29" s="85" t="n">
        <f aca="false">R29+1</f>
        <v>12</v>
      </c>
      <c r="T29" s="0"/>
    </row>
    <row r="30" customFormat="false" ht="15.6" hidden="false" customHeight="false" outlineLevel="0" collapsed="false">
      <c r="A30" s="87" t="s">
        <v>123</v>
      </c>
      <c r="B30" s="188" t="n">
        <f aca="false">SUM(H39:S39)+SUM(H43:S43)+C30</f>
        <v>4000134791666.67</v>
      </c>
      <c r="C30" s="189" t="n">
        <v>0</v>
      </c>
      <c r="D30" s="87"/>
      <c r="E30" s="87"/>
      <c r="F30" s="87"/>
      <c r="G30" s="153" t="s">
        <v>262</v>
      </c>
      <c r="H30" s="195" t="n">
        <v>100</v>
      </c>
      <c r="I30" s="195" t="n">
        <v>-100</v>
      </c>
      <c r="J30" s="195" t="n">
        <v>-100</v>
      </c>
      <c r="K30" s="195" t="n">
        <v>100</v>
      </c>
      <c r="L30" s="195" t="n">
        <v>0</v>
      </c>
      <c r="M30" s="195" t="n">
        <v>0</v>
      </c>
      <c r="N30" s="195" t="n">
        <v>0</v>
      </c>
      <c r="O30" s="195" t="n">
        <v>0</v>
      </c>
      <c r="P30" s="195" t="n">
        <v>0</v>
      </c>
      <c r="Q30" s="195" t="n">
        <v>0</v>
      </c>
      <c r="R30" s="195" t="n">
        <v>0</v>
      </c>
      <c r="S30" s="195" t="n">
        <v>0</v>
      </c>
      <c r="T30" s="0"/>
    </row>
    <row r="31" customFormat="false" ht="15.6" hidden="false" customHeight="false" outlineLevel="0" collapsed="false">
      <c r="A31" s="87" t="s">
        <v>125</v>
      </c>
      <c r="B31" s="188" t="n">
        <f aca="false">SUM(H40:S40)+SUM(H44:S44)+C31</f>
        <v>8000134791666.67</v>
      </c>
      <c r="C31" s="189" t="n">
        <v>0</v>
      </c>
      <c r="D31" s="87"/>
      <c r="E31" s="87"/>
      <c r="F31" s="87"/>
      <c r="G31" s="153" t="s">
        <v>265</v>
      </c>
      <c r="H31" s="195" t="n">
        <v>100</v>
      </c>
      <c r="I31" s="195" t="n">
        <v>100</v>
      </c>
      <c r="J31" s="195" t="n">
        <v>-100</v>
      </c>
      <c r="K31" s="195" t="n">
        <v>-100</v>
      </c>
      <c r="L31" s="195" t="n">
        <v>0</v>
      </c>
      <c r="M31" s="195" t="n">
        <v>0</v>
      </c>
      <c r="N31" s="195" t="n">
        <v>0</v>
      </c>
      <c r="O31" s="195" t="n">
        <v>0</v>
      </c>
      <c r="P31" s="195" t="n">
        <v>0</v>
      </c>
      <c r="Q31" s="195" t="n">
        <v>0</v>
      </c>
      <c r="R31" s="195" t="n">
        <v>0</v>
      </c>
      <c r="S31" s="195" t="n">
        <v>0</v>
      </c>
      <c r="T31" s="0"/>
    </row>
    <row r="32" customFormat="false" ht="15.6" hidden="false" customHeight="true" outlineLevel="0" collapsed="false">
      <c r="A32" s="207" t="s">
        <v>264</v>
      </c>
      <c r="B32" s="207"/>
      <c r="C32" s="207"/>
      <c r="D32" s="87"/>
      <c r="E32" s="87"/>
      <c r="F32" s="87"/>
      <c r="G32" s="153" t="s">
        <v>267</v>
      </c>
      <c r="H32" s="195" t="n">
        <v>0</v>
      </c>
      <c r="I32" s="195" t="n">
        <v>0</v>
      </c>
      <c r="J32" s="195" t="n">
        <v>0</v>
      </c>
      <c r="K32" s="195" t="n">
        <v>0</v>
      </c>
      <c r="L32" s="195" t="n">
        <v>0</v>
      </c>
      <c r="M32" s="195" t="n">
        <v>0</v>
      </c>
      <c r="N32" s="195" t="n">
        <v>0</v>
      </c>
      <c r="O32" s="195" t="n">
        <v>0</v>
      </c>
      <c r="P32" s="195" t="n">
        <v>0</v>
      </c>
      <c r="Q32" s="195" t="n">
        <v>0</v>
      </c>
      <c r="R32" s="195" t="n">
        <v>0</v>
      </c>
      <c r="S32" s="195" t="n">
        <v>0</v>
      </c>
      <c r="T32" s="0"/>
    </row>
    <row r="33" customFormat="false" ht="15.6" hidden="false" customHeight="false" outlineLevel="0" collapsed="false">
      <c r="A33" s="207"/>
      <c r="B33" s="207"/>
      <c r="C33" s="207"/>
      <c r="D33" s="0"/>
      <c r="E33" s="0"/>
      <c r="F33" s="0"/>
      <c r="G33" s="134" t="s">
        <v>270</v>
      </c>
      <c r="H33" s="238"/>
      <c r="I33" s="238"/>
      <c r="J33" s="238"/>
      <c r="K33" s="238"/>
      <c r="L33" s="0"/>
      <c r="M33" s="0"/>
      <c r="N33" s="0"/>
      <c r="O33" s="0"/>
      <c r="P33" s="0"/>
      <c r="Q33" s="0"/>
      <c r="R33" s="0"/>
      <c r="S33" s="0"/>
      <c r="T33" s="0"/>
    </row>
    <row r="34" customFormat="false" ht="15.6" hidden="false" customHeight="false" outlineLevel="0" collapsed="false">
      <c r="A34" s="207"/>
      <c r="B34" s="207"/>
      <c r="C34" s="207"/>
      <c r="D34" s="87"/>
      <c r="E34" s="87"/>
      <c r="F34" s="87"/>
      <c r="G34" s="153" t="s">
        <v>113</v>
      </c>
      <c r="H34" s="204" t="n">
        <v>100000000</v>
      </c>
      <c r="I34" s="204" t="n">
        <v>100000000</v>
      </c>
      <c r="J34" s="204" t="n">
        <v>100000000</v>
      </c>
      <c r="K34" s="204" t="n">
        <v>100000000</v>
      </c>
      <c r="L34" s="195" t="n">
        <v>0</v>
      </c>
      <c r="M34" s="195" t="n">
        <v>0</v>
      </c>
      <c r="N34" s="195" t="n">
        <v>0</v>
      </c>
      <c r="O34" s="195" t="n">
        <v>0</v>
      </c>
      <c r="P34" s="195" t="n">
        <v>0</v>
      </c>
      <c r="Q34" s="195" t="n">
        <v>0</v>
      </c>
      <c r="R34" s="195" t="n">
        <v>0</v>
      </c>
      <c r="S34" s="195" t="n">
        <v>0</v>
      </c>
      <c r="T34" s="0"/>
    </row>
    <row r="35" customFormat="false" ht="15.6" hidden="false" customHeight="false" outlineLevel="0" collapsed="false">
      <c r="A35" s="201" t="s">
        <v>271</v>
      </c>
      <c r="B35" s="195"/>
      <c r="C35" s="195"/>
      <c r="D35" s="87"/>
      <c r="E35" s="87"/>
      <c r="F35" s="87"/>
      <c r="G35" s="153" t="s">
        <v>116</v>
      </c>
      <c r="H35" s="204" t="n">
        <v>100000000</v>
      </c>
      <c r="I35" s="204" t="n">
        <v>100000000</v>
      </c>
      <c r="J35" s="204" t="n">
        <v>100000000</v>
      </c>
      <c r="K35" s="204" t="n">
        <v>100000000</v>
      </c>
      <c r="L35" s="195" t="n">
        <v>0</v>
      </c>
      <c r="M35" s="195" t="n">
        <v>0</v>
      </c>
      <c r="N35" s="195" t="n">
        <v>0</v>
      </c>
      <c r="O35" s="195" t="n">
        <v>0</v>
      </c>
      <c r="P35" s="195" t="n">
        <v>0</v>
      </c>
      <c r="Q35" s="195" t="n">
        <v>0</v>
      </c>
      <c r="R35" s="195" t="n">
        <v>0</v>
      </c>
      <c r="S35" s="195" t="n">
        <v>0</v>
      </c>
      <c r="T35" s="0"/>
    </row>
    <row r="36" customFormat="false" ht="15.6" hidden="false" customHeight="false" outlineLevel="0" collapsed="false">
      <c r="A36" s="77" t="s">
        <v>28</v>
      </c>
      <c r="B36" s="0"/>
      <c r="C36" s="0"/>
      <c r="D36" s="87"/>
      <c r="E36" s="87"/>
      <c r="F36" s="87"/>
      <c r="G36" s="153" t="s">
        <v>118</v>
      </c>
      <c r="H36" s="204" t="n">
        <v>100000000</v>
      </c>
      <c r="I36" s="204" t="n">
        <v>100000000</v>
      </c>
      <c r="J36" s="204" t="n">
        <v>100000000</v>
      </c>
      <c r="K36" s="204" t="n">
        <v>100000000</v>
      </c>
      <c r="L36" s="195" t="n">
        <v>0</v>
      </c>
      <c r="M36" s="195" t="n">
        <v>0</v>
      </c>
      <c r="N36" s="195" t="n">
        <v>0</v>
      </c>
      <c r="O36" s="195" t="n">
        <v>0</v>
      </c>
      <c r="P36" s="195" t="n">
        <v>0</v>
      </c>
      <c r="Q36" s="195" t="n">
        <v>0</v>
      </c>
      <c r="R36" s="195" t="n">
        <v>0</v>
      </c>
      <c r="S36" s="195" t="n">
        <v>0</v>
      </c>
      <c r="T36" s="0"/>
    </row>
    <row r="37" customFormat="false" ht="15.6" hidden="false" customHeight="false" outlineLevel="0" collapsed="false">
      <c r="A37" s="153" t="s">
        <v>273</v>
      </c>
      <c r="B37" s="195" t="n">
        <v>0</v>
      </c>
      <c r="C37" s="0"/>
      <c r="D37" s="87"/>
      <c r="E37" s="87"/>
      <c r="F37" s="87"/>
      <c r="G37" s="134" t="s">
        <v>275</v>
      </c>
      <c r="H37" s="238"/>
      <c r="I37" s="238"/>
      <c r="J37" s="238"/>
      <c r="K37" s="238"/>
      <c r="L37" s="0"/>
      <c r="M37" s="0"/>
      <c r="N37" s="0"/>
      <c r="O37" s="0"/>
      <c r="P37" s="0"/>
      <c r="Q37" s="0"/>
      <c r="R37" s="0"/>
      <c r="S37" s="0"/>
      <c r="T37" s="0"/>
    </row>
    <row r="38" customFormat="false" ht="15.6" hidden="false" customHeight="false" outlineLevel="0" collapsed="false">
      <c r="A38" s="153" t="s">
        <v>274</v>
      </c>
      <c r="B38" s="195" t="n">
        <v>0</v>
      </c>
      <c r="C38" s="0"/>
      <c r="D38" s="87"/>
      <c r="E38" s="87"/>
      <c r="F38" s="87"/>
      <c r="G38" s="153" t="s">
        <v>120</v>
      </c>
      <c r="H38" s="202" t="n">
        <f aca="false">D12</f>
        <v>101093750</v>
      </c>
      <c r="I38" s="202" t="n">
        <f aca="false">H38</f>
        <v>101093750</v>
      </c>
      <c r="J38" s="202" t="n">
        <f aca="false">I38</f>
        <v>101093750</v>
      </c>
      <c r="K38" s="202" t="n">
        <f aca="false">J38</f>
        <v>101093750</v>
      </c>
      <c r="L38" s="195" t="n">
        <v>0</v>
      </c>
      <c r="M38" s="195" t="n">
        <v>0</v>
      </c>
      <c r="N38" s="195" t="n">
        <v>0</v>
      </c>
      <c r="O38" s="195" t="n">
        <v>0</v>
      </c>
      <c r="P38" s="195" t="n">
        <v>0</v>
      </c>
      <c r="Q38" s="195" t="n">
        <v>0</v>
      </c>
      <c r="R38" s="195" t="n">
        <v>0</v>
      </c>
      <c r="S38" s="195" t="n">
        <v>0</v>
      </c>
      <c r="T38" s="0"/>
    </row>
    <row r="39" customFormat="false" ht="15.6" hidden="false" customHeight="false" outlineLevel="0" collapsed="false">
      <c r="A39" s="153" t="s">
        <v>276</v>
      </c>
      <c r="B39" s="195" t="n">
        <v>0</v>
      </c>
      <c r="C39" s="0"/>
      <c r="D39" s="87"/>
      <c r="E39" s="87"/>
      <c r="F39" s="87"/>
      <c r="G39" s="153" t="s">
        <v>123</v>
      </c>
      <c r="H39" s="202" t="n">
        <f aca="false">D14</f>
        <v>33697916.6666667</v>
      </c>
      <c r="I39" s="202" t="n">
        <f aca="false">H39</f>
        <v>33697916.6666667</v>
      </c>
      <c r="J39" s="202" t="n">
        <f aca="false">I39</f>
        <v>33697916.6666667</v>
      </c>
      <c r="K39" s="202" t="n">
        <f aca="false">J39</f>
        <v>33697916.6666667</v>
      </c>
      <c r="L39" s="195" t="n">
        <v>0</v>
      </c>
      <c r="M39" s="195" t="n">
        <v>0</v>
      </c>
      <c r="N39" s="195" t="n">
        <v>0</v>
      </c>
      <c r="O39" s="195" t="n">
        <v>0</v>
      </c>
      <c r="P39" s="195" t="n">
        <v>0</v>
      </c>
      <c r="Q39" s="195" t="n">
        <v>0</v>
      </c>
      <c r="R39" s="195" t="n">
        <v>0</v>
      </c>
      <c r="S39" s="195" t="n">
        <v>0</v>
      </c>
      <c r="T39" s="0"/>
    </row>
    <row r="40" customFormat="false" ht="15.6" hidden="false" customHeight="false" outlineLevel="0" collapsed="false">
      <c r="A40" s="165" t="s">
        <v>29</v>
      </c>
      <c r="B40" s="0"/>
      <c r="C40" s="0"/>
      <c r="D40" s="0"/>
      <c r="E40" s="0"/>
      <c r="F40" s="0"/>
      <c r="G40" s="153" t="s">
        <v>125</v>
      </c>
      <c r="H40" s="202" t="n">
        <f aca="false">D13</f>
        <v>33697916.6666667</v>
      </c>
      <c r="I40" s="202" t="n">
        <f aca="false">H40</f>
        <v>33697916.6666667</v>
      </c>
      <c r="J40" s="202" t="n">
        <f aca="false">I40</f>
        <v>33697916.6666667</v>
      </c>
      <c r="K40" s="202" t="n">
        <f aca="false">J40</f>
        <v>33697916.6666667</v>
      </c>
      <c r="L40" s="195" t="n">
        <v>0</v>
      </c>
      <c r="M40" s="195" t="n">
        <v>0</v>
      </c>
      <c r="N40" s="195" t="n">
        <v>0</v>
      </c>
      <c r="O40" s="195" t="n">
        <v>0</v>
      </c>
      <c r="P40" s="195" t="n">
        <v>0</v>
      </c>
      <c r="Q40" s="195" t="n">
        <v>0</v>
      </c>
      <c r="R40" s="195" t="n">
        <v>0</v>
      </c>
      <c r="S40" s="195" t="n">
        <v>0</v>
      </c>
      <c r="T40" s="0"/>
    </row>
    <row r="41" customFormat="false" ht="15.6" hidden="false" customHeight="false" outlineLevel="0" collapsed="false">
      <c r="A41" s="153" t="s">
        <v>273</v>
      </c>
      <c r="B41" s="195" t="n">
        <v>0</v>
      </c>
      <c r="C41" s="0"/>
      <c r="D41" s="205"/>
      <c r="E41" s="205"/>
      <c r="F41" s="205"/>
      <c r="G41" s="134" t="s">
        <v>277</v>
      </c>
      <c r="H41" s="0"/>
      <c r="I41" s="0"/>
      <c r="J41" s="0"/>
      <c r="K41" s="0"/>
      <c r="L41" s="0"/>
      <c r="M41" s="0"/>
      <c r="N41" s="0"/>
      <c r="O41" s="0"/>
      <c r="P41" s="0"/>
      <c r="Q41" s="0"/>
      <c r="R41" s="0"/>
      <c r="S41" s="0"/>
      <c r="T41" s="0"/>
    </row>
    <row r="42" customFormat="false" ht="15.6" hidden="false" customHeight="false" outlineLevel="0" collapsed="false">
      <c r="A42" s="153" t="s">
        <v>274</v>
      </c>
      <c r="B42" s="195" t="n">
        <v>0</v>
      </c>
      <c r="C42" s="0"/>
      <c r="D42" s="131"/>
      <c r="E42" s="131"/>
      <c r="F42" s="131"/>
      <c r="G42" s="153" t="s">
        <v>120</v>
      </c>
      <c r="H42" s="188" t="n">
        <f aca="false">H35*H32^2+H36*H31^2</f>
        <v>1000000000000</v>
      </c>
      <c r="I42" s="188" t="n">
        <f aca="false">I35*I32^2+I36*I31^2</f>
        <v>1000000000000</v>
      </c>
      <c r="J42" s="188" t="n">
        <f aca="false">J35*J32^2+J36*J31^2</f>
        <v>1000000000000</v>
      </c>
      <c r="K42" s="188" t="n">
        <f aca="false">K35*K32^2+K36*K31^2</f>
        <v>1000000000000</v>
      </c>
      <c r="L42" s="24" t="n">
        <f aca="false">L35*L32^2+L36*L31^2</f>
        <v>0</v>
      </c>
      <c r="M42" s="24" t="n">
        <f aca="false">M35*M32^2+M36*M31^2</f>
        <v>0</v>
      </c>
      <c r="N42" s="24" t="n">
        <f aca="false">N35*N32^2+N36*N31^2</f>
        <v>0</v>
      </c>
      <c r="O42" s="24" t="n">
        <f aca="false">O35*O32^2+O36*O31^2</f>
        <v>0</v>
      </c>
      <c r="P42" s="24" t="n">
        <f aca="false">P35*P32^2+P36*P31^2</f>
        <v>0</v>
      </c>
      <c r="Q42" s="24" t="n">
        <f aca="false">Q35*Q32^2+Q36*Q31^2</f>
        <v>0</v>
      </c>
      <c r="R42" s="24" t="n">
        <f aca="false">R35*R32^2+R36*R31^2</f>
        <v>0</v>
      </c>
      <c r="S42" s="24" t="n">
        <f aca="false">S35*S32^2+S36*S31^2</f>
        <v>0</v>
      </c>
      <c r="T42" s="0"/>
    </row>
    <row r="43" customFormat="false" ht="15.6" hidden="false" customHeight="false" outlineLevel="0" collapsed="false">
      <c r="A43" s="153" t="s">
        <v>276</v>
      </c>
      <c r="B43" s="195" t="n">
        <v>0</v>
      </c>
      <c r="C43" s="0"/>
      <c r="D43" s="189"/>
      <c r="E43" s="189"/>
      <c r="F43" s="189"/>
      <c r="G43" s="153" t="s">
        <v>123</v>
      </c>
      <c r="H43" s="188" t="n">
        <f aca="false">H34*H32^2+H36*H30^2</f>
        <v>1000000000000</v>
      </c>
      <c r="I43" s="188" t="n">
        <f aca="false">I34*I32^2+I36*I30^2</f>
        <v>1000000000000</v>
      </c>
      <c r="J43" s="188" t="n">
        <f aca="false">J34*J32^2+J36*J30^2</f>
        <v>1000000000000</v>
      </c>
      <c r="K43" s="188" t="n">
        <f aca="false">K34*K32^2+K36*K30^2</f>
        <v>1000000000000</v>
      </c>
      <c r="L43" s="24" t="n">
        <f aca="false">L34*L32^2+L36*L30^2</f>
        <v>0</v>
      </c>
      <c r="M43" s="24" t="n">
        <f aca="false">M34*M32^2+M36*M30^2</f>
        <v>0</v>
      </c>
      <c r="N43" s="24" t="n">
        <f aca="false">N34*N32^2+N36*N30^2</f>
        <v>0</v>
      </c>
      <c r="O43" s="24" t="n">
        <f aca="false">O34*O32^2+O36*O30^2</f>
        <v>0</v>
      </c>
      <c r="P43" s="24" t="n">
        <f aca="false">P34*P32^2+P36*P30^2</f>
        <v>0</v>
      </c>
      <c r="Q43" s="24" t="n">
        <f aca="false">Q34*Q32^2+Q36*Q30^2</f>
        <v>0</v>
      </c>
      <c r="R43" s="24" t="n">
        <f aca="false">R34*R32^2+R36*R30^2</f>
        <v>0</v>
      </c>
      <c r="S43" s="24" t="n">
        <f aca="false">S34*S32^2+S36*S30^2</f>
        <v>0</v>
      </c>
      <c r="T43" s="0"/>
    </row>
    <row r="44" customFormat="false" ht="15.6" hidden="false" customHeight="false" outlineLevel="0" collapsed="false">
      <c r="A44" s="76" t="s">
        <v>278</v>
      </c>
      <c r="B44" s="0"/>
      <c r="C44" s="87"/>
      <c r="D44" s="189"/>
      <c r="E44" s="189"/>
      <c r="F44" s="189"/>
      <c r="G44" s="153" t="s">
        <v>125</v>
      </c>
      <c r="H44" s="188" t="n">
        <f aca="false">H34*H31^2+H35*H30^2</f>
        <v>2000000000000</v>
      </c>
      <c r="I44" s="188" t="n">
        <f aca="false">I34*I31^2+I35*I30^2</f>
        <v>2000000000000</v>
      </c>
      <c r="J44" s="188" t="n">
        <f aca="false">J34*J31^2+J35*J30^2</f>
        <v>2000000000000</v>
      </c>
      <c r="K44" s="188" t="n">
        <f aca="false">K34*K31^2+K35*K30^2</f>
        <v>2000000000000</v>
      </c>
      <c r="L44" s="24" t="n">
        <f aca="false">L34*L31^2+L35*L30^2</f>
        <v>0</v>
      </c>
      <c r="M44" s="24" t="n">
        <f aca="false">M34*M31^2+M35*M30^2</f>
        <v>0</v>
      </c>
      <c r="N44" s="24" t="n">
        <f aca="false">N34*N31^2+N35*N30^2</f>
        <v>0</v>
      </c>
      <c r="O44" s="24" t="n">
        <f aca="false">O34*O31^2+O35*O30^2</f>
        <v>0</v>
      </c>
      <c r="P44" s="24" t="n">
        <f aca="false">P34*P31^2+P35*P30^2</f>
        <v>0</v>
      </c>
      <c r="Q44" s="24" t="n">
        <f aca="false">Q34*Q31^2+Q35*Q30^2</f>
        <v>0</v>
      </c>
      <c r="R44" s="24" t="n">
        <f aca="false">R34*R31^2+R35*R30^2</f>
        <v>0</v>
      </c>
      <c r="S44" s="24" t="n">
        <f aca="false">S34*S31^2+S35*S30^2</f>
        <v>0</v>
      </c>
      <c r="T44" s="0"/>
    </row>
    <row r="45" customFormat="false" ht="15.6" hidden="false" customHeight="false" outlineLevel="0" collapsed="false">
      <c r="A45" s="153" t="s">
        <v>279</v>
      </c>
      <c r="B45" s="24" t="n">
        <f aca="false">SQRT((H46^2+I46^2+J46^2+K46^2+L46^2+M46^2+N46^2+O46^2+P46^2+Q46^2+R46^2+S46^2)/H$27)</f>
        <v>0.005</v>
      </c>
      <c r="C45" s="87"/>
      <c r="D45" s="189"/>
      <c r="E45" s="189"/>
      <c r="F45" s="189"/>
      <c r="G45" s="134" t="s">
        <v>281</v>
      </c>
      <c r="H45" s="0"/>
      <c r="I45" s="0"/>
      <c r="J45" s="0"/>
      <c r="K45" s="0"/>
      <c r="L45" s="0"/>
      <c r="M45" s="0"/>
      <c r="N45" s="0"/>
      <c r="O45" s="0"/>
      <c r="P45" s="0"/>
      <c r="Q45" s="0"/>
      <c r="R45" s="0"/>
      <c r="S45" s="0"/>
      <c r="T45" s="0"/>
    </row>
    <row r="46" customFormat="false" ht="15.6" hidden="false" customHeight="false" outlineLevel="0" collapsed="false">
      <c r="A46" s="153" t="s">
        <v>280</v>
      </c>
      <c r="B46" s="24" t="n">
        <f aca="false">SQRT((H47^2+I47^2+J47^2+K47^2+L47^2+M47^2+N47^2+O47^2+P47^2+Q47^2+R47^2+S47^2)/H$27)</f>
        <v>0.005</v>
      </c>
      <c r="C46" s="87"/>
      <c r="D46" s="192"/>
      <c r="E46" s="192"/>
      <c r="F46" s="192"/>
      <c r="G46" s="153" t="s">
        <v>279</v>
      </c>
      <c r="H46" s="195" t="n">
        <f aca="false">0.005</f>
        <v>0.005</v>
      </c>
      <c r="I46" s="195" t="n">
        <f aca="false">0.005</f>
        <v>0.005</v>
      </c>
      <c r="J46" s="195" t="n">
        <f aca="false">0.005</f>
        <v>0.005</v>
      </c>
      <c r="K46" s="195" t="n">
        <f aca="false">0.005</f>
        <v>0.005</v>
      </c>
      <c r="L46" s="195" t="n">
        <v>0</v>
      </c>
      <c r="M46" s="195" t="n">
        <v>0</v>
      </c>
      <c r="N46" s="195" t="n">
        <v>0</v>
      </c>
      <c r="O46" s="195" t="n">
        <v>0</v>
      </c>
      <c r="P46" s="195" t="n">
        <v>0</v>
      </c>
      <c r="Q46" s="195" t="n">
        <v>0</v>
      </c>
      <c r="R46" s="195" t="n">
        <v>0</v>
      </c>
      <c r="S46" s="195" t="n">
        <v>0</v>
      </c>
      <c r="T46" s="0"/>
    </row>
    <row r="47" customFormat="false" ht="15.6" hidden="false" customHeight="false" outlineLevel="0" collapsed="false">
      <c r="A47" s="153" t="s">
        <v>282</v>
      </c>
      <c r="B47" s="24" t="n">
        <f aca="false">SQRT((H48^2+I48^2+J48^2+K48^2+L48^2+M48^2+N48^2+O48^2+P48^2+Q48^2+R48^2+S48^2)/H$27)</f>
        <v>0.005</v>
      </c>
      <c r="C47" s="87"/>
      <c r="D47" s="189"/>
      <c r="E47" s="189"/>
      <c r="F47" s="189"/>
      <c r="G47" s="153" t="s">
        <v>280</v>
      </c>
      <c r="H47" s="195" t="n">
        <f aca="false">0.005</f>
        <v>0.005</v>
      </c>
      <c r="I47" s="195" t="n">
        <f aca="false">0.005</f>
        <v>0.005</v>
      </c>
      <c r="J47" s="195" t="n">
        <f aca="false">0.005</f>
        <v>0.005</v>
      </c>
      <c r="K47" s="195" t="n">
        <f aca="false">0.005</f>
        <v>0.005</v>
      </c>
      <c r="L47" s="195" t="n">
        <v>0</v>
      </c>
      <c r="M47" s="195" t="n">
        <v>0</v>
      </c>
      <c r="N47" s="195" t="n">
        <v>0</v>
      </c>
      <c r="O47" s="195" t="n">
        <v>0</v>
      </c>
      <c r="P47" s="195" t="n">
        <v>0</v>
      </c>
      <c r="Q47" s="195" t="n">
        <v>0</v>
      </c>
      <c r="R47" s="195" t="n">
        <v>0</v>
      </c>
      <c r="S47" s="195" t="n">
        <v>0</v>
      </c>
      <c r="T47" s="0"/>
    </row>
    <row r="48" customFormat="false" ht="15.6" hidden="false" customHeight="false" outlineLevel="0" collapsed="false">
      <c r="A48" s="153" t="s">
        <v>97</v>
      </c>
      <c r="B48" s="24" t="n">
        <f aca="false">SQRT((H50^2+I50^2+J50^2+K50^2+L50^2+M50^2+N50^2+O50^2+P50^2+Q50^2+R50^2+S50^2+B37^2)/H$27)</f>
        <v>5E-005</v>
      </c>
      <c r="C48" s="87"/>
      <c r="D48" s="189"/>
      <c r="E48" s="189"/>
      <c r="F48" s="189"/>
      <c r="G48" s="153" t="s">
        <v>282</v>
      </c>
      <c r="H48" s="195" t="n">
        <f aca="false">0.005</f>
        <v>0.005</v>
      </c>
      <c r="I48" s="195" t="n">
        <f aca="false">0.005</f>
        <v>0.005</v>
      </c>
      <c r="J48" s="195" t="n">
        <f aca="false">0.005</f>
        <v>0.005</v>
      </c>
      <c r="K48" s="195" t="n">
        <f aca="false">0.005</f>
        <v>0.005</v>
      </c>
      <c r="L48" s="195" t="n">
        <v>0</v>
      </c>
      <c r="M48" s="195" t="n">
        <v>0</v>
      </c>
      <c r="N48" s="195" t="n">
        <v>0</v>
      </c>
      <c r="O48" s="195" t="n">
        <v>0</v>
      </c>
      <c r="P48" s="195" t="n">
        <v>0</v>
      </c>
      <c r="Q48" s="195" t="n">
        <v>0</v>
      </c>
      <c r="R48" s="195" t="n">
        <v>0</v>
      </c>
      <c r="S48" s="195" t="n">
        <v>0</v>
      </c>
      <c r="T48" s="0"/>
    </row>
    <row r="49" customFormat="false" ht="15.6" hidden="false" customHeight="false" outlineLevel="0" collapsed="false">
      <c r="A49" s="153" t="s">
        <v>100</v>
      </c>
      <c r="B49" s="24" t="n">
        <f aca="false">SQRT((H51^2+I51^2+J51^2+K51^2+L51^2+M51^2+N51^2+O51^2+P51^2+Q51^2+R51^2+S51^2+B38^2)/H$27)</f>
        <v>5E-005</v>
      </c>
      <c r="C49" s="0"/>
      <c r="D49" s="189"/>
      <c r="E49" s="189"/>
      <c r="F49" s="189"/>
      <c r="G49" s="134" t="s">
        <v>283</v>
      </c>
      <c r="H49" s="0"/>
      <c r="I49" s="0"/>
      <c r="J49" s="0"/>
      <c r="K49" s="0"/>
      <c r="L49" s="0"/>
      <c r="M49" s="0"/>
      <c r="N49" s="0"/>
      <c r="O49" s="0"/>
      <c r="P49" s="0"/>
      <c r="Q49" s="0"/>
      <c r="R49" s="0"/>
      <c r="S49" s="0"/>
      <c r="T49" s="0"/>
    </row>
    <row r="50" customFormat="false" ht="15.6" hidden="false" customHeight="false" outlineLevel="0" collapsed="false">
      <c r="A50" s="153" t="s">
        <v>104</v>
      </c>
      <c r="B50" s="24" t="n">
        <f aca="false">SQRT((H52^2+I52^2+J52^2+K52^2+L52^2+M52^2+N52^2+O52^2+P52^2+Q52^2+R52^2+S52^2+B39^2)/H$27)</f>
        <v>4.999999975E-005</v>
      </c>
      <c r="C50" s="87"/>
      <c r="D50" s="207"/>
      <c r="E50" s="207"/>
      <c r="F50" s="207"/>
      <c r="G50" s="153" t="s">
        <v>97</v>
      </c>
      <c r="H50" s="188" t="n">
        <f aca="false">H97</f>
        <v>4.99999995E-005</v>
      </c>
      <c r="I50" s="188" t="n">
        <f aca="false">I97</f>
        <v>4.99999995E-005</v>
      </c>
      <c r="J50" s="188" t="n">
        <f aca="false">J97</f>
        <v>5.00000005E-005</v>
      </c>
      <c r="K50" s="188" t="n">
        <f aca="false">K97</f>
        <v>5.00000005E-005</v>
      </c>
      <c r="L50" s="188" t="n">
        <f aca="false">L97</f>
        <v>0</v>
      </c>
      <c r="M50" s="188" t="n">
        <f aca="false">M97</f>
        <v>0</v>
      </c>
      <c r="N50" s="188" t="n">
        <f aca="false">N97</f>
        <v>0</v>
      </c>
      <c r="O50" s="188" t="n">
        <f aca="false">O97</f>
        <v>0</v>
      </c>
      <c r="P50" s="188" t="n">
        <f aca="false">P97</f>
        <v>0</v>
      </c>
      <c r="Q50" s="188" t="n">
        <f aca="false">Q97</f>
        <v>0</v>
      </c>
      <c r="R50" s="188" t="n">
        <f aca="false">R97</f>
        <v>0</v>
      </c>
      <c r="S50" s="188" t="n">
        <f aca="false">S97</f>
        <v>0</v>
      </c>
      <c r="T50" s="0"/>
    </row>
    <row r="51" customFormat="false" ht="46.8" hidden="false" customHeight="false" outlineLevel="0" collapsed="false">
      <c r="A51" s="206" t="s">
        <v>284</v>
      </c>
      <c r="B51" s="25"/>
      <c r="C51" s="87"/>
      <c r="D51" s="207"/>
      <c r="E51" s="207"/>
      <c r="F51" s="207"/>
      <c r="G51" s="153" t="s">
        <v>100</v>
      </c>
      <c r="H51" s="188" t="n">
        <f aca="false">H101</f>
        <v>4.99999995E-005</v>
      </c>
      <c r="I51" s="188" t="n">
        <f aca="false">I101</f>
        <v>5.00000005E-005</v>
      </c>
      <c r="J51" s="188" t="n">
        <f aca="false">J101</f>
        <v>5.00000005E-005</v>
      </c>
      <c r="K51" s="188" t="n">
        <f aca="false">K101</f>
        <v>4.99999995E-005</v>
      </c>
      <c r="L51" s="188" t="n">
        <f aca="false">L101</f>
        <v>0</v>
      </c>
      <c r="M51" s="188" t="n">
        <f aca="false">M101</f>
        <v>0</v>
      </c>
      <c r="N51" s="188" t="n">
        <f aca="false">N101</f>
        <v>0</v>
      </c>
      <c r="O51" s="188" t="n">
        <f aca="false">O101</f>
        <v>0</v>
      </c>
      <c r="P51" s="188" t="n">
        <f aca="false">P101</f>
        <v>0</v>
      </c>
      <c r="Q51" s="188" t="n">
        <f aca="false">Q101</f>
        <v>0</v>
      </c>
      <c r="R51" s="188" t="n">
        <f aca="false">R101</f>
        <v>0</v>
      </c>
      <c r="S51" s="188" t="n">
        <f aca="false">S101</f>
        <v>0</v>
      </c>
      <c r="T51" s="208"/>
    </row>
    <row r="52" customFormat="false" ht="15.6" hidden="false" customHeight="false" outlineLevel="0" collapsed="false">
      <c r="A52" s="153" t="s">
        <v>279</v>
      </c>
      <c r="B52" s="24" t="n">
        <f aca="false">SQRT((H54^2+I54^2+J54^2+K54^2+L54^2+M54^2+N54^2+O54^2+P54^2+Q54^2+R54^2+S54^2)/H$27)</f>
        <v>0</v>
      </c>
      <c r="C52" s="87"/>
      <c r="D52" s="207"/>
      <c r="E52" s="207"/>
      <c r="F52" s="207"/>
      <c r="G52" s="153" t="s">
        <v>104</v>
      </c>
      <c r="H52" s="188" t="n">
        <f aca="false">H105</f>
        <v>4.99999995E-005</v>
      </c>
      <c r="I52" s="188" t="n">
        <f aca="false">I105</f>
        <v>4.99999995E-005</v>
      </c>
      <c r="J52" s="188" t="n">
        <f aca="false">J105</f>
        <v>5.00000005E-005</v>
      </c>
      <c r="K52" s="188" t="n">
        <f aca="false">K105</f>
        <v>4.99999995E-005</v>
      </c>
      <c r="L52" s="188" t="n">
        <f aca="false">L105</f>
        <v>0</v>
      </c>
      <c r="M52" s="188" t="n">
        <f aca="false">M105</f>
        <v>0</v>
      </c>
      <c r="N52" s="188" t="n">
        <f aca="false">N105</f>
        <v>0</v>
      </c>
      <c r="O52" s="188" t="n">
        <f aca="false">O105</f>
        <v>0</v>
      </c>
      <c r="P52" s="188" t="n">
        <f aca="false">P105</f>
        <v>0</v>
      </c>
      <c r="Q52" s="188" t="n">
        <f aca="false">Q105</f>
        <v>0</v>
      </c>
      <c r="R52" s="188" t="n">
        <f aca="false">R105</f>
        <v>0</v>
      </c>
      <c r="S52" s="188" t="n">
        <f aca="false">S105</f>
        <v>0</v>
      </c>
    </row>
    <row r="53" customFormat="false" ht="15.6" hidden="false" customHeight="false" outlineLevel="0" collapsed="false">
      <c r="A53" s="153" t="s">
        <v>280</v>
      </c>
      <c r="B53" s="24" t="n">
        <f aca="false">SQRT((H55^2+I55^2+J55^2+K55^2+L55^2+M55^2+N55^2+O55^2+P55^2+Q55^2+R55^2+S55^2)/H$27)</f>
        <v>0</v>
      </c>
      <c r="C53" s="87"/>
      <c r="D53" s="195"/>
      <c r="E53" s="195"/>
      <c r="F53" s="195"/>
      <c r="G53" s="134" t="s">
        <v>285</v>
      </c>
      <c r="H53" s="0"/>
      <c r="I53" s="0"/>
      <c r="J53" s="0"/>
      <c r="K53" s="0"/>
      <c r="L53" s="0"/>
      <c r="M53" s="0"/>
      <c r="N53" s="0"/>
      <c r="O53" s="0"/>
      <c r="P53" s="0"/>
      <c r="Q53" s="0"/>
      <c r="R53" s="0"/>
      <c r="S53" s="0"/>
    </row>
    <row r="54" customFormat="false" ht="15.6" hidden="false" customHeight="false" outlineLevel="0" collapsed="false">
      <c r="A54" s="153" t="s">
        <v>282</v>
      </c>
      <c r="B54" s="24" t="n">
        <f aca="false">SQRT((H56^2+I56^2+J56^2+K56^2+L56^2+M56^2+N56^2+O56^2+P56^2+Q56^2+R56^2+S56^2)/H$27)</f>
        <v>0</v>
      </c>
      <c r="C54" s="87"/>
      <c r="G54" s="153" t="s">
        <v>279</v>
      </c>
      <c r="H54" s="195" t="n">
        <v>0</v>
      </c>
      <c r="I54" s="195" t="n">
        <v>0</v>
      </c>
      <c r="J54" s="195" t="n">
        <v>0</v>
      </c>
      <c r="K54" s="195" t="n">
        <v>0</v>
      </c>
      <c r="L54" s="195" t="n">
        <v>0</v>
      </c>
      <c r="M54" s="195" t="n">
        <v>0</v>
      </c>
      <c r="N54" s="195" t="n">
        <v>0</v>
      </c>
      <c r="O54" s="195" t="n">
        <v>0</v>
      </c>
      <c r="P54" s="195" t="n">
        <v>0</v>
      </c>
      <c r="Q54" s="195" t="n">
        <v>0</v>
      </c>
      <c r="R54" s="195" t="n">
        <v>0</v>
      </c>
      <c r="S54" s="195" t="n">
        <v>0</v>
      </c>
    </row>
    <row r="55" customFormat="false" ht="15.6" hidden="false" customHeight="false" outlineLevel="0" collapsed="false">
      <c r="A55" s="153" t="s">
        <v>97</v>
      </c>
      <c r="B55" s="24" t="n">
        <f aca="false">SQRT((H58^2+I58^2+J58^2+K58^2+L58^2+M58^2+N58^2+O58^2+P58^2+Q58^2+R58^2+S58^2+B41^2)/H$27)</f>
        <v>0</v>
      </c>
      <c r="C55" s="87"/>
      <c r="G55" s="153" t="s">
        <v>280</v>
      </c>
      <c r="H55" s="195" t="n">
        <v>0</v>
      </c>
      <c r="I55" s="195" t="n">
        <v>0</v>
      </c>
      <c r="J55" s="195" t="n">
        <v>0</v>
      </c>
      <c r="K55" s="195" t="n">
        <v>0</v>
      </c>
      <c r="L55" s="195" t="n">
        <v>0</v>
      </c>
      <c r="M55" s="195" t="n">
        <v>0</v>
      </c>
      <c r="N55" s="195" t="n">
        <v>0</v>
      </c>
      <c r="O55" s="195" t="n">
        <v>0</v>
      </c>
      <c r="P55" s="195" t="n">
        <v>0</v>
      </c>
      <c r="Q55" s="195" t="n">
        <v>0</v>
      </c>
      <c r="R55" s="195" t="n">
        <v>0</v>
      </c>
      <c r="S55" s="195" t="n">
        <v>0</v>
      </c>
    </row>
    <row r="56" customFormat="false" ht="15.6" hidden="false" customHeight="false" outlineLevel="0" collapsed="false">
      <c r="A56" s="153" t="s">
        <v>100</v>
      </c>
      <c r="B56" s="24" t="n">
        <f aca="false">SQRT((H59^2+I59^2+J59^2+K59^2+L59^2+M59^2+N59^2+O59^2+P59^2+Q59^2+R59^2+S59^2+B42^2)/H$27)</f>
        <v>0</v>
      </c>
      <c r="G56" s="153" t="s">
        <v>282</v>
      </c>
      <c r="H56" s="195" t="n">
        <v>0</v>
      </c>
      <c r="I56" s="195" t="n">
        <v>0</v>
      </c>
      <c r="J56" s="195" t="n">
        <v>0</v>
      </c>
      <c r="K56" s="195" t="n">
        <v>0</v>
      </c>
      <c r="L56" s="195" t="n">
        <v>0</v>
      </c>
      <c r="M56" s="195" t="n">
        <v>0</v>
      </c>
      <c r="N56" s="195" t="n">
        <v>0</v>
      </c>
      <c r="O56" s="195" t="n">
        <v>0</v>
      </c>
      <c r="P56" s="195" t="n">
        <v>0</v>
      </c>
      <c r="Q56" s="195" t="n">
        <v>0</v>
      </c>
      <c r="R56" s="195" t="n">
        <v>0</v>
      </c>
      <c r="S56" s="195" t="n">
        <v>0</v>
      </c>
    </row>
    <row r="57" customFormat="false" ht="15.6" hidden="false" customHeight="false" outlineLevel="0" collapsed="false">
      <c r="A57" s="153" t="s">
        <v>104</v>
      </c>
      <c r="B57" s="24" t="n">
        <f aca="false">SQRT((H60^2+I60^2+J60^2+K60^2+L60^2+M60^2+N60^2+O60^2+P60^2+Q60^2+R60^2+S60^2+B43^2)/H$27)</f>
        <v>0</v>
      </c>
      <c r="G57" s="134" t="s">
        <v>286</v>
      </c>
      <c r="H57" s="0"/>
      <c r="I57" s="0"/>
      <c r="J57" s="0"/>
      <c r="K57" s="0"/>
      <c r="L57" s="0"/>
      <c r="M57" s="0"/>
      <c r="N57" s="0"/>
      <c r="O57" s="0"/>
      <c r="P57" s="0"/>
      <c r="Q57" s="0"/>
      <c r="R57" s="0"/>
      <c r="S57" s="0"/>
    </row>
    <row r="58" customFormat="false" ht="15.6" hidden="false" customHeight="false" outlineLevel="0" collapsed="false">
      <c r="A58" s="0"/>
      <c r="B58" s="0"/>
      <c r="G58" s="153" t="s">
        <v>97</v>
      </c>
      <c r="H58" s="188" t="n">
        <f aca="false">H112</f>
        <v>0</v>
      </c>
      <c r="I58" s="188" t="n">
        <f aca="false">I112</f>
        <v>0</v>
      </c>
      <c r="J58" s="188" t="n">
        <f aca="false">J112</f>
        <v>0</v>
      </c>
      <c r="K58" s="188" t="n">
        <f aca="false">K112</f>
        <v>0</v>
      </c>
      <c r="L58" s="188" t="n">
        <f aca="false">L112</f>
        <v>0</v>
      </c>
      <c r="M58" s="188" t="n">
        <f aca="false">M112</f>
        <v>0</v>
      </c>
      <c r="N58" s="188" t="n">
        <f aca="false">N112</f>
        <v>0</v>
      </c>
      <c r="O58" s="188" t="n">
        <f aca="false">O112</f>
        <v>0</v>
      </c>
      <c r="P58" s="188" t="n">
        <f aca="false">P112</f>
        <v>0</v>
      </c>
      <c r="Q58" s="188" t="n">
        <f aca="false">Q112</f>
        <v>0</v>
      </c>
      <c r="R58" s="188" t="n">
        <f aca="false">R112</f>
        <v>0</v>
      </c>
      <c r="S58" s="188" t="n">
        <f aca="false">S112</f>
        <v>0</v>
      </c>
    </row>
    <row r="59" customFormat="false" ht="15.6" hidden="false" customHeight="false" outlineLevel="0" collapsed="false">
      <c r="A59" s="0"/>
      <c r="B59" s="0"/>
      <c r="G59" s="153" t="s">
        <v>100</v>
      </c>
      <c r="H59" s="188" t="n">
        <f aca="false">H117</f>
        <v>0</v>
      </c>
      <c r="I59" s="188" t="n">
        <f aca="false">I117</f>
        <v>0</v>
      </c>
      <c r="J59" s="188" t="n">
        <f aca="false">J117</f>
        <v>0</v>
      </c>
      <c r="K59" s="188" t="n">
        <f aca="false">K117</f>
        <v>0</v>
      </c>
      <c r="L59" s="188" t="n">
        <f aca="false">L117</f>
        <v>0</v>
      </c>
      <c r="M59" s="188" t="n">
        <f aca="false">M117</f>
        <v>0</v>
      </c>
      <c r="N59" s="188" t="n">
        <f aca="false">N117</f>
        <v>0</v>
      </c>
      <c r="O59" s="188" t="n">
        <f aca="false">O117</f>
        <v>0</v>
      </c>
      <c r="P59" s="188" t="n">
        <f aca="false">P117</f>
        <v>0</v>
      </c>
      <c r="Q59" s="188" t="n">
        <f aca="false">Q117</f>
        <v>0</v>
      </c>
      <c r="R59" s="188" t="n">
        <f aca="false">R117</f>
        <v>0</v>
      </c>
      <c r="S59" s="188" t="n">
        <f aca="false">S117</f>
        <v>0</v>
      </c>
    </row>
    <row r="60" customFormat="false" ht="15.6" hidden="false" customHeight="false" outlineLevel="0" collapsed="false">
      <c r="A60" s="0"/>
      <c r="B60" s="0"/>
      <c r="G60" s="153" t="s">
        <v>104</v>
      </c>
      <c r="H60" s="188" t="n">
        <f aca="false">H122</f>
        <v>0</v>
      </c>
      <c r="I60" s="188" t="n">
        <f aca="false">I122</f>
        <v>0</v>
      </c>
      <c r="J60" s="188" t="n">
        <f aca="false">J122</f>
        <v>0</v>
      </c>
      <c r="K60" s="188" t="n">
        <f aca="false">K122</f>
        <v>0</v>
      </c>
      <c r="L60" s="188" t="n">
        <f aca="false">L122</f>
        <v>0</v>
      </c>
      <c r="M60" s="188" t="n">
        <f aca="false">M122</f>
        <v>0</v>
      </c>
      <c r="N60" s="188" t="n">
        <f aca="false">N122</f>
        <v>0</v>
      </c>
      <c r="O60" s="188" t="n">
        <f aca="false">O122</f>
        <v>0</v>
      </c>
      <c r="P60" s="188" t="n">
        <f aca="false">P122</f>
        <v>0</v>
      </c>
      <c r="Q60" s="188" t="n">
        <f aca="false">Q122</f>
        <v>0</v>
      </c>
      <c r="R60" s="188" t="n">
        <f aca="false">R122</f>
        <v>0</v>
      </c>
      <c r="S60" s="188" t="n">
        <f aca="false">S122</f>
        <v>0</v>
      </c>
    </row>
    <row r="61" customFormat="false" ht="15.6" hidden="false" customHeight="false" outlineLevel="0" collapsed="false">
      <c r="A61" s="0"/>
      <c r="B61" s="0"/>
      <c r="G61" s="76"/>
      <c r="H61" s="0"/>
      <c r="I61" s="0"/>
      <c r="J61" s="0"/>
      <c r="K61" s="0"/>
      <c r="L61" s="0"/>
      <c r="M61" s="0"/>
      <c r="N61" s="0"/>
      <c r="O61" s="0"/>
      <c r="P61" s="0"/>
      <c r="Q61" s="0"/>
      <c r="R61" s="0"/>
      <c r="S61" s="0"/>
    </row>
    <row r="62" customFormat="false" ht="15.6" hidden="false" customHeight="false" outlineLevel="0" collapsed="false">
      <c r="A62" s="0"/>
      <c r="B62" s="0"/>
      <c r="G62" s="0"/>
      <c r="H62" s="0"/>
      <c r="I62" s="143"/>
      <c r="J62" s="143"/>
      <c r="K62" s="143"/>
      <c r="L62" s="143"/>
      <c r="M62" s="143"/>
      <c r="N62" s="143"/>
      <c r="O62" s="0"/>
      <c r="P62" s="0"/>
      <c r="Q62" s="0"/>
      <c r="R62" s="0"/>
      <c r="S62" s="0"/>
    </row>
    <row r="63" customFormat="false" ht="15.6" hidden="false" customHeight="false" outlineLevel="0" collapsed="false">
      <c r="A63" s="0"/>
      <c r="B63" s="0"/>
      <c r="G63" s="209"/>
      <c r="H63" s="210"/>
      <c r="I63" s="261"/>
      <c r="J63" s="261"/>
      <c r="K63" s="261"/>
      <c r="L63" s="261"/>
      <c r="M63" s="261"/>
      <c r="N63" s="261"/>
      <c r="O63" s="143"/>
      <c r="P63" s="0"/>
      <c r="Q63" s="0"/>
      <c r="R63" s="0"/>
      <c r="S63" s="0"/>
    </row>
    <row r="64" customFormat="false" ht="15.6" hidden="false" customHeight="false" outlineLevel="0" collapsed="false">
      <c r="A64" s="0"/>
      <c r="B64" s="0"/>
      <c r="G64" s="209"/>
      <c r="H64" s="210"/>
      <c r="I64" s="261"/>
      <c r="J64" s="261"/>
      <c r="K64" s="261"/>
      <c r="L64" s="261"/>
      <c r="M64" s="261"/>
      <c r="N64" s="261"/>
      <c r="O64" s="143"/>
      <c r="P64" s="0"/>
      <c r="Q64" s="0"/>
      <c r="R64" s="0"/>
      <c r="S64" s="0"/>
    </row>
    <row r="65" customFormat="false" ht="15.6" hidden="false" customHeight="false" outlineLevel="0" collapsed="false">
      <c r="A65" s="0"/>
      <c r="B65" s="0"/>
      <c r="G65" s="209"/>
      <c r="H65" s="210"/>
      <c r="I65" s="261"/>
      <c r="J65" s="261"/>
      <c r="K65" s="261"/>
      <c r="L65" s="261"/>
      <c r="M65" s="261"/>
      <c r="N65" s="261"/>
      <c r="O65" s="143"/>
      <c r="P65" s="0"/>
      <c r="Q65" s="0"/>
      <c r="R65" s="0"/>
      <c r="S65" s="0"/>
    </row>
    <row r="66" customFormat="false" ht="15.6" hidden="false" customHeight="false" outlineLevel="0" collapsed="false">
      <c r="A66" s="0"/>
      <c r="B66" s="0"/>
      <c r="G66" s="209"/>
      <c r="H66" s="210"/>
      <c r="I66" s="261"/>
      <c r="J66" s="261"/>
      <c r="K66" s="261"/>
      <c r="L66" s="261"/>
      <c r="M66" s="261"/>
      <c r="N66" s="261"/>
      <c r="O66" s="143"/>
      <c r="P66" s="0"/>
      <c r="Q66" s="0"/>
      <c r="R66" s="0"/>
      <c r="S66" s="0"/>
    </row>
    <row r="67" customFormat="false" ht="15.6" hidden="false" customHeight="false" outlineLevel="0" collapsed="false">
      <c r="A67" s="0"/>
      <c r="B67" s="0"/>
      <c r="G67" s="209"/>
      <c r="H67" s="210"/>
      <c r="I67" s="261"/>
      <c r="J67" s="261"/>
      <c r="K67" s="261"/>
      <c r="L67" s="261"/>
      <c r="M67" s="261"/>
      <c r="N67" s="261"/>
      <c r="O67" s="143"/>
      <c r="P67" s="0"/>
      <c r="Q67" s="0"/>
      <c r="R67" s="0"/>
      <c r="S67" s="0"/>
    </row>
    <row r="68" customFormat="false" ht="15.6" hidden="false" customHeight="false" outlineLevel="0" collapsed="false">
      <c r="A68" s="0"/>
      <c r="B68" s="0"/>
      <c r="G68" s="209"/>
      <c r="H68" s="210"/>
      <c r="I68" s="261"/>
      <c r="J68" s="261"/>
      <c r="K68" s="261"/>
      <c r="L68" s="261"/>
      <c r="M68" s="261"/>
      <c r="N68" s="261"/>
      <c r="O68" s="143"/>
      <c r="P68" s="0"/>
      <c r="Q68" s="0"/>
      <c r="R68" s="0"/>
      <c r="S68" s="0"/>
    </row>
    <row r="69" customFormat="false" ht="15.6" hidden="false" customHeight="false" outlineLevel="0" collapsed="false">
      <c r="A69" s="0"/>
      <c r="B69" s="0"/>
      <c r="G69" s="209"/>
      <c r="H69" s="210"/>
      <c r="I69" s="211"/>
      <c r="J69" s="211"/>
      <c r="K69" s="211"/>
      <c r="L69" s="211"/>
      <c r="M69" s="211"/>
      <c r="N69" s="211"/>
      <c r="O69" s="143"/>
      <c r="P69" s="0"/>
      <c r="Q69" s="0"/>
      <c r="R69" s="0"/>
      <c r="S69" s="0"/>
    </row>
    <row r="70" customFormat="false" ht="15.6" hidden="false" customHeight="false" outlineLevel="0" collapsed="false">
      <c r="A70" s="0"/>
      <c r="B70" s="0"/>
      <c r="G70" s="209"/>
      <c r="H70" s="210"/>
      <c r="I70" s="211"/>
      <c r="J70" s="211"/>
      <c r="K70" s="211"/>
      <c r="L70" s="211"/>
      <c r="M70" s="211"/>
      <c r="N70" s="211"/>
      <c r="O70" s="143"/>
      <c r="P70" s="0"/>
      <c r="Q70" s="0"/>
      <c r="R70" s="0"/>
      <c r="S70" s="0"/>
    </row>
    <row r="71" customFormat="false" ht="15.6" hidden="false" customHeight="false" outlineLevel="0" collapsed="false">
      <c r="A71" s="0"/>
      <c r="B71" s="0"/>
      <c r="G71" s="209"/>
      <c r="H71" s="210"/>
      <c r="I71" s="211"/>
      <c r="J71" s="211"/>
      <c r="K71" s="211"/>
      <c r="L71" s="211"/>
      <c r="M71" s="211"/>
      <c r="N71" s="211"/>
      <c r="O71" s="143"/>
      <c r="P71" s="0"/>
      <c r="Q71" s="0"/>
      <c r="R71" s="0"/>
      <c r="S71" s="0"/>
    </row>
    <row r="72" customFormat="false" ht="15.6" hidden="false" customHeight="false" outlineLevel="0" collapsed="false">
      <c r="A72" s="0"/>
      <c r="B72" s="0"/>
      <c r="G72" s="209"/>
      <c r="H72" s="210"/>
      <c r="I72" s="211"/>
      <c r="J72" s="211"/>
      <c r="K72" s="211"/>
      <c r="L72" s="211"/>
      <c r="M72" s="211"/>
      <c r="N72" s="211"/>
      <c r="O72" s="143"/>
      <c r="P72" s="0"/>
      <c r="Q72" s="0"/>
      <c r="R72" s="0"/>
      <c r="S72" s="0"/>
    </row>
    <row r="73" customFormat="false" ht="15.6" hidden="false" customHeight="false" outlineLevel="0" collapsed="false">
      <c r="A73" s="0"/>
      <c r="B73" s="0"/>
      <c r="G73" s="209"/>
      <c r="H73" s="210"/>
      <c r="I73" s="211"/>
      <c r="J73" s="211"/>
      <c r="K73" s="211"/>
      <c r="L73" s="211"/>
      <c r="M73" s="211"/>
      <c r="N73" s="211"/>
      <c r="O73" s="143"/>
      <c r="P73" s="0"/>
      <c r="Q73" s="0"/>
      <c r="R73" s="0"/>
      <c r="S73" s="0"/>
    </row>
    <row r="74" customFormat="false" ht="15.6" hidden="false" customHeight="false" outlineLevel="0" collapsed="false">
      <c r="A74" s="0"/>
      <c r="B74" s="0"/>
      <c r="G74" s="209"/>
      <c r="H74" s="210"/>
      <c r="I74" s="211"/>
      <c r="J74" s="211"/>
      <c r="K74" s="211"/>
      <c r="L74" s="211"/>
      <c r="M74" s="211"/>
      <c r="N74" s="211"/>
      <c r="O74" s="143"/>
      <c r="P74" s="0"/>
      <c r="Q74" s="0"/>
      <c r="R74" s="0"/>
      <c r="S74" s="0"/>
    </row>
    <row r="75" customFormat="false" ht="15.6" hidden="false" customHeight="false" outlineLevel="0" collapsed="false">
      <c r="A75" s="0"/>
      <c r="B75" s="0"/>
      <c r="G75" s="209"/>
      <c r="H75" s="210"/>
      <c r="I75" s="211"/>
      <c r="J75" s="211"/>
      <c r="K75" s="211"/>
      <c r="L75" s="211"/>
      <c r="M75" s="211"/>
      <c r="N75" s="211"/>
      <c r="O75" s="143"/>
      <c r="P75" s="0"/>
      <c r="Q75" s="0"/>
      <c r="R75" s="0"/>
      <c r="S75" s="0"/>
    </row>
    <row r="76" customFormat="false" ht="15.6" hidden="false" customHeight="false" outlineLevel="0" collapsed="false">
      <c r="A76" s="0"/>
      <c r="B76" s="0"/>
      <c r="G76" s="209"/>
      <c r="H76" s="210"/>
      <c r="I76" s="211"/>
      <c r="J76" s="211"/>
      <c r="K76" s="211"/>
      <c r="L76" s="211"/>
      <c r="M76" s="211"/>
      <c r="N76" s="211"/>
      <c r="O76" s="143"/>
      <c r="P76" s="0"/>
      <c r="Q76" s="0"/>
      <c r="R76" s="0"/>
      <c r="S76" s="0"/>
    </row>
    <row r="77" customFormat="false" ht="15.6" hidden="false" customHeight="false" outlineLevel="0" collapsed="false">
      <c r="A77" s="0"/>
      <c r="B77" s="0"/>
      <c r="G77" s="209"/>
      <c r="H77" s="210"/>
      <c r="I77" s="211"/>
      <c r="J77" s="211"/>
      <c r="K77" s="211"/>
      <c r="L77" s="211"/>
      <c r="M77" s="211"/>
      <c r="N77" s="211"/>
      <c r="O77" s="143"/>
      <c r="P77" s="0"/>
      <c r="Q77" s="0"/>
      <c r="R77" s="0"/>
      <c r="S77" s="0"/>
    </row>
    <row r="78" customFormat="false" ht="15.6" hidden="false" customHeight="false" outlineLevel="0" collapsed="false">
      <c r="A78" s="153"/>
      <c r="B78" s="142"/>
      <c r="G78" s="209"/>
      <c r="H78" s="210"/>
      <c r="I78" s="211"/>
      <c r="J78" s="211"/>
      <c r="K78" s="211"/>
      <c r="L78" s="211"/>
      <c r="M78" s="211"/>
      <c r="N78" s="211"/>
      <c r="O78" s="143"/>
      <c r="P78" s="0"/>
      <c r="Q78" s="0"/>
      <c r="R78" s="0"/>
      <c r="S78" s="0"/>
    </row>
    <row r="79" customFormat="false" ht="15.6" hidden="false" customHeight="false" outlineLevel="0" collapsed="false">
      <c r="A79" s="153"/>
      <c r="B79" s="142"/>
      <c r="G79" s="209"/>
      <c r="H79" s="210"/>
      <c r="I79" s="211"/>
      <c r="J79" s="211"/>
      <c r="K79" s="211"/>
      <c r="L79" s="211"/>
      <c r="M79" s="211"/>
      <c r="N79" s="211"/>
      <c r="O79" s="143"/>
      <c r="P79" s="0"/>
      <c r="Q79" s="0"/>
      <c r="R79" s="0"/>
      <c r="S79" s="0"/>
    </row>
    <row r="80" customFormat="false" ht="15.6" hidden="false" customHeight="false" outlineLevel="0" collapsed="false">
      <c r="A80" s="153"/>
      <c r="B80" s="142"/>
      <c r="G80" s="209"/>
      <c r="H80" s="210"/>
      <c r="I80" s="211"/>
      <c r="J80" s="211"/>
      <c r="K80" s="211"/>
      <c r="L80" s="211"/>
      <c r="M80" s="211"/>
      <c r="N80" s="211"/>
      <c r="O80" s="143"/>
      <c r="P80" s="0"/>
      <c r="Q80" s="0"/>
      <c r="R80" s="0"/>
      <c r="S80" s="0"/>
    </row>
    <row r="81" customFormat="false" ht="15.6" hidden="false" customHeight="false" outlineLevel="0" collapsed="false">
      <c r="A81" s="153"/>
      <c r="B81" s="142"/>
      <c r="G81" s="209"/>
      <c r="H81" s="210"/>
      <c r="I81" s="211"/>
      <c r="J81" s="211"/>
      <c r="K81" s="211"/>
      <c r="L81" s="211"/>
      <c r="M81" s="211"/>
      <c r="N81" s="211"/>
      <c r="O81" s="143"/>
      <c r="P81" s="0"/>
      <c r="Q81" s="0"/>
      <c r="R81" s="0"/>
      <c r="S81" s="0"/>
    </row>
    <row r="82" customFormat="false" ht="15.6" hidden="false" customHeight="false" outlineLevel="0" collapsed="false">
      <c r="A82" s="153"/>
      <c r="B82" s="142"/>
      <c r="G82" s="209"/>
      <c r="H82" s="210"/>
      <c r="I82" s="211"/>
      <c r="J82" s="211"/>
      <c r="K82" s="211"/>
      <c r="L82" s="211"/>
      <c r="M82" s="211"/>
      <c r="N82" s="211"/>
      <c r="O82" s="143"/>
      <c r="P82" s="0"/>
      <c r="Q82" s="0"/>
      <c r="R82" s="0"/>
      <c r="S82" s="0"/>
    </row>
    <row r="83" customFormat="false" ht="15.6" hidden="false" customHeight="false" outlineLevel="0" collapsed="false">
      <c r="A83" s="153"/>
      <c r="B83" s="142"/>
      <c r="G83" s="209"/>
      <c r="H83" s="210"/>
      <c r="I83" s="211"/>
      <c r="J83" s="211"/>
      <c r="K83" s="211"/>
      <c r="L83" s="211"/>
      <c r="M83" s="211"/>
      <c r="N83" s="211"/>
      <c r="O83" s="143"/>
      <c r="P83" s="0"/>
      <c r="Q83" s="0"/>
      <c r="R83" s="0"/>
      <c r="S83" s="0"/>
    </row>
    <row r="84" customFormat="false" ht="15.6" hidden="false" customHeight="false" outlineLevel="0" collapsed="false">
      <c r="A84" s="153"/>
      <c r="B84" s="142"/>
      <c r="G84" s="209"/>
      <c r="H84" s="210"/>
      <c r="I84" s="211"/>
      <c r="J84" s="211"/>
      <c r="K84" s="211"/>
      <c r="L84" s="211"/>
      <c r="M84" s="211"/>
      <c r="N84" s="211"/>
      <c r="O84" s="143"/>
      <c r="P84" s="0"/>
      <c r="Q84" s="0"/>
      <c r="R84" s="0"/>
      <c r="S84" s="0"/>
    </row>
    <row r="85" customFormat="false" ht="15.6" hidden="false" customHeight="false" outlineLevel="0" collapsed="false">
      <c r="A85" s="153"/>
      <c r="B85" s="142"/>
      <c r="G85" s="209"/>
      <c r="H85" s="210"/>
      <c r="I85" s="211"/>
      <c r="J85" s="211"/>
      <c r="K85" s="211"/>
      <c r="L85" s="211"/>
      <c r="M85" s="211"/>
      <c r="N85" s="211"/>
      <c r="O85" s="143"/>
      <c r="P85" s="0"/>
      <c r="Q85" s="0"/>
      <c r="R85" s="0"/>
      <c r="S85" s="0"/>
    </row>
    <row r="86" customFormat="false" ht="15.6" hidden="false" customHeight="false" outlineLevel="0" collapsed="false">
      <c r="A86" s="153"/>
      <c r="B86" s="142"/>
      <c r="G86" s="209"/>
      <c r="H86" s="210"/>
      <c r="I86" s="211"/>
      <c r="J86" s="211"/>
      <c r="K86" s="211"/>
      <c r="L86" s="211"/>
      <c r="M86" s="211"/>
      <c r="N86" s="211"/>
      <c r="O86" s="143"/>
      <c r="P86" s="0"/>
      <c r="Q86" s="0"/>
      <c r="R86" s="0"/>
      <c r="S86" s="0"/>
    </row>
    <row r="87" customFormat="false" ht="15.6" hidden="false" customHeight="false" outlineLevel="0" collapsed="false">
      <c r="A87" s="153"/>
      <c r="B87" s="142"/>
      <c r="G87" s="209"/>
      <c r="H87" s="210"/>
      <c r="I87" s="211"/>
      <c r="J87" s="211"/>
      <c r="K87" s="211"/>
      <c r="L87" s="211"/>
      <c r="M87" s="211"/>
      <c r="N87" s="211"/>
      <c r="O87" s="143"/>
      <c r="P87" s="0"/>
      <c r="Q87" s="0"/>
      <c r="R87" s="0"/>
      <c r="S87" s="0"/>
    </row>
    <row r="88" customFormat="false" ht="15.6" hidden="false" customHeight="false" outlineLevel="0" collapsed="false">
      <c r="A88" s="153"/>
      <c r="B88" s="142"/>
      <c r="G88" s="209"/>
      <c r="H88" s="210"/>
      <c r="I88" s="211"/>
      <c r="J88" s="211"/>
      <c r="K88" s="211"/>
      <c r="L88" s="211"/>
      <c r="M88" s="211"/>
      <c r="N88" s="211"/>
      <c r="O88" s="143"/>
      <c r="P88" s="0"/>
      <c r="Q88" s="0"/>
      <c r="R88" s="0"/>
      <c r="S88" s="0"/>
    </row>
    <row r="89" customFormat="false" ht="15.6" hidden="false" customHeight="false" outlineLevel="0" collapsed="false">
      <c r="A89" s="153"/>
      <c r="B89" s="142"/>
      <c r="G89" s="209"/>
      <c r="H89" s="210"/>
      <c r="I89" s="211"/>
      <c r="J89" s="211"/>
      <c r="K89" s="211"/>
      <c r="L89" s="211"/>
      <c r="M89" s="211"/>
      <c r="N89" s="211"/>
      <c r="O89" s="143"/>
      <c r="P89" s="0"/>
      <c r="Q89" s="0"/>
      <c r="R89" s="0"/>
      <c r="S89" s="0"/>
    </row>
    <row r="90" customFormat="false" ht="15.6" hidden="false" customHeight="false" outlineLevel="0" collapsed="false">
      <c r="A90" s="153"/>
      <c r="B90" s="142"/>
      <c r="G90" s="0"/>
      <c r="H90" s="0"/>
      <c r="I90" s="0"/>
      <c r="J90" s="0"/>
      <c r="K90" s="0"/>
      <c r="L90" s="0"/>
      <c r="M90" s="0"/>
      <c r="N90" s="0"/>
      <c r="O90" s="0"/>
      <c r="P90" s="0"/>
      <c r="Q90" s="0"/>
      <c r="R90" s="0"/>
      <c r="S90" s="0"/>
    </row>
    <row r="91" customFormat="false" ht="15.6" hidden="false" customHeight="false" outlineLevel="0" collapsed="false">
      <c r="A91" s="153"/>
      <c r="B91" s="142"/>
      <c r="G91" s="0"/>
      <c r="H91" s="0"/>
      <c r="I91" s="0"/>
      <c r="J91" s="0"/>
      <c r="K91" s="0"/>
      <c r="L91" s="0"/>
      <c r="M91" s="0"/>
      <c r="N91" s="0"/>
      <c r="O91" s="0"/>
      <c r="P91" s="0"/>
      <c r="Q91" s="0"/>
      <c r="R91" s="0"/>
      <c r="S91" s="0"/>
    </row>
    <row r="92" customFormat="false" ht="15.6" hidden="false" customHeight="false" outlineLevel="0" collapsed="false">
      <c r="A92" s="153"/>
      <c r="B92" s="142"/>
      <c r="G92" s="0"/>
      <c r="H92" s="0"/>
      <c r="I92" s="0"/>
      <c r="J92" s="0"/>
      <c r="K92" s="0"/>
      <c r="L92" s="0"/>
      <c r="M92" s="0"/>
      <c r="N92" s="0"/>
      <c r="O92" s="0"/>
      <c r="P92" s="0"/>
      <c r="Q92" s="0"/>
      <c r="R92" s="0"/>
      <c r="S92" s="0"/>
    </row>
    <row r="93" customFormat="false" ht="15.6" hidden="false" customHeight="false" outlineLevel="0" collapsed="false">
      <c r="A93" s="153"/>
      <c r="B93" s="142"/>
      <c r="G93" s="212" t="s">
        <v>289</v>
      </c>
      <c r="H93" s="0"/>
      <c r="I93" s="0"/>
      <c r="J93" s="0"/>
      <c r="K93" s="0"/>
      <c r="L93" s="0"/>
      <c r="M93" s="0"/>
      <c r="N93" s="0"/>
      <c r="O93" s="0"/>
      <c r="P93" s="0"/>
      <c r="Q93" s="0"/>
      <c r="R93" s="0"/>
      <c r="S93" s="0"/>
    </row>
    <row r="94" customFormat="false" ht="15.6" hidden="false" customHeight="false" outlineLevel="0" collapsed="false">
      <c r="A94" s="153"/>
      <c r="B94" s="142"/>
      <c r="G94" s="213"/>
      <c r="H94" s="165" t="s">
        <v>290</v>
      </c>
      <c r="I94" s="0"/>
      <c r="J94" s="0"/>
      <c r="K94" s="0"/>
      <c r="L94" s="0"/>
      <c r="M94" s="0"/>
      <c r="N94" s="0"/>
      <c r="O94" s="0"/>
      <c r="P94" s="0"/>
      <c r="Q94" s="0"/>
      <c r="R94" s="0"/>
      <c r="S94" s="0"/>
    </row>
    <row r="95" customFormat="false" ht="15.6" hidden="false" customHeight="false" outlineLevel="0" collapsed="false">
      <c r="A95" s="153"/>
      <c r="B95" s="142"/>
      <c r="G95" s="165" t="s">
        <v>291</v>
      </c>
      <c r="H95" s="77" t="n">
        <f aca="false">H47/ABS(H32+0.000001)</f>
        <v>5000</v>
      </c>
      <c r="I95" s="77" t="n">
        <f aca="false">I47/ABS(I32+0.000001)</f>
        <v>5000</v>
      </c>
      <c r="J95" s="77" t="n">
        <f aca="false">J47/ABS(J32+0.000001)</f>
        <v>5000</v>
      </c>
      <c r="K95" s="77" t="n">
        <f aca="false">K47/ABS(K32+0.000001)</f>
        <v>5000</v>
      </c>
      <c r="L95" s="77" t="n">
        <f aca="false">L47/ABS(L32+0.000001)</f>
        <v>0</v>
      </c>
      <c r="M95" s="77" t="n">
        <f aca="false">M47/ABS(M32+0.000001)</f>
        <v>0</v>
      </c>
      <c r="N95" s="77" t="n">
        <f aca="false">N47/ABS(N32+0.000001)</f>
        <v>0</v>
      </c>
      <c r="O95" s="77" t="n">
        <f aca="false">O47/ABS(O32+0.000001)</f>
        <v>0</v>
      </c>
      <c r="P95" s="77" t="n">
        <f aca="false">P47/ABS(P32+0.000001)</f>
        <v>0</v>
      </c>
      <c r="Q95" s="77" t="n">
        <f aca="false">Q47/ABS(Q32+0.000001)</f>
        <v>0</v>
      </c>
      <c r="R95" s="77" t="n">
        <f aca="false">R47/ABS(R32+0.000001)</f>
        <v>0</v>
      </c>
      <c r="S95" s="77" t="n">
        <f aca="false">S47/ABS(S32+0.000001)</f>
        <v>0</v>
      </c>
    </row>
    <row r="96" customFormat="false" ht="15.6" hidden="false" customHeight="false" outlineLevel="0" collapsed="false">
      <c r="A96" s="153"/>
      <c r="B96" s="142"/>
      <c r="G96" s="165" t="s">
        <v>291</v>
      </c>
      <c r="H96" s="77" t="n">
        <f aca="false">H48/ABS(H31+0.000001)</f>
        <v>4.99999995E-005</v>
      </c>
      <c r="I96" s="77" t="n">
        <f aca="false">I48/ABS(I31+0.000001)</f>
        <v>4.99999995E-005</v>
      </c>
      <c r="J96" s="77" t="n">
        <f aca="false">J48/ABS(J31+0.000001)</f>
        <v>5.00000005E-005</v>
      </c>
      <c r="K96" s="77" t="n">
        <f aca="false">K48/ABS(K31+0.000001)</f>
        <v>5.00000005E-005</v>
      </c>
      <c r="L96" s="77" t="n">
        <f aca="false">L48/ABS(L31+0.000001)</f>
        <v>0</v>
      </c>
      <c r="M96" s="77" t="n">
        <f aca="false">M48/ABS(M31+0.000001)</f>
        <v>0</v>
      </c>
      <c r="N96" s="77" t="n">
        <f aca="false">N48/ABS(N31+0.000001)</f>
        <v>0</v>
      </c>
      <c r="O96" s="77" t="n">
        <f aca="false">O48/ABS(O31+0.000001)</f>
        <v>0</v>
      </c>
      <c r="P96" s="77" t="n">
        <f aca="false">P48/ABS(P31+0.000001)</f>
        <v>0</v>
      </c>
      <c r="Q96" s="77" t="n">
        <f aca="false">Q48/ABS(Q31+0.000001)</f>
        <v>0</v>
      </c>
      <c r="R96" s="77" t="n">
        <f aca="false">R48/ABS(R31+0.000001)</f>
        <v>0</v>
      </c>
      <c r="S96" s="77" t="n">
        <f aca="false">S48/ABS(S31+0.000001)</f>
        <v>0</v>
      </c>
    </row>
    <row r="97" customFormat="false" ht="15.6" hidden="false" customHeight="false" outlineLevel="0" collapsed="false">
      <c r="A97" s="153"/>
      <c r="B97" s="142"/>
      <c r="G97" s="77" t="s">
        <v>292</v>
      </c>
      <c r="H97" s="161" t="n">
        <f aca="false">IF(MIN(H95,H96)&gt;1,0,MIN(H95,H96))</f>
        <v>4.99999995E-005</v>
      </c>
      <c r="I97" s="161" t="n">
        <f aca="false">IF(MIN(I95,I96)&gt;1,0,MIN(I95,I96))</f>
        <v>4.99999995E-005</v>
      </c>
      <c r="J97" s="161" t="n">
        <f aca="false">IF(MIN(J95,J96)&gt;1,0,MIN(J95,J96))</f>
        <v>5.00000005E-005</v>
      </c>
      <c r="K97" s="161" t="n">
        <f aca="false">IF(MIN(K95,K96)&gt;1,0,MIN(K95,K96))</f>
        <v>5.00000005E-005</v>
      </c>
      <c r="L97" s="161" t="n">
        <f aca="false">IF(MIN(L95,L96)&gt;1,0,MIN(L95,L96))</f>
        <v>0</v>
      </c>
      <c r="M97" s="161" t="n">
        <f aca="false">IF(MIN(M95,M96)&gt;1,0,MIN(M95,M96))</f>
        <v>0</v>
      </c>
      <c r="N97" s="161" t="n">
        <f aca="false">IF(MIN(N95,N96)&gt;1,0,MIN(N95,N96))</f>
        <v>0</v>
      </c>
      <c r="O97" s="161" t="n">
        <f aca="false">IF(MIN(O95,O96)&gt;1,0,MIN(O95,O96))</f>
        <v>0</v>
      </c>
      <c r="P97" s="161" t="n">
        <f aca="false">IF(MIN(P95,P96)&gt;1,0,MIN(P95,P96))</f>
        <v>0</v>
      </c>
      <c r="Q97" s="161" t="n">
        <f aca="false">IF(MIN(Q95,Q96)&gt;1,0,MIN(Q95,Q96))</f>
        <v>0</v>
      </c>
      <c r="R97" s="161" t="n">
        <f aca="false">IF(MIN(R95,R96)&gt;1,0,MIN(R95,R96))</f>
        <v>0</v>
      </c>
      <c r="S97" s="161" t="n">
        <f aca="false">IF(MIN(S95,S96)&gt;1,0,MIN(S95,S96))</f>
        <v>0</v>
      </c>
    </row>
    <row r="98" customFormat="false" ht="15.6" hidden="false" customHeight="false" outlineLevel="0" collapsed="false">
      <c r="A98" s="153"/>
      <c r="B98" s="142"/>
      <c r="G98" s="0"/>
      <c r="H98" s="165" t="s">
        <v>293</v>
      </c>
      <c r="I98" s="165"/>
      <c r="J98" s="165"/>
      <c r="K98" s="165"/>
      <c r="L98" s="165"/>
      <c r="M98" s="165"/>
      <c r="N98" s="165"/>
      <c r="O98" s="165"/>
      <c r="P98" s="165"/>
      <c r="Q98" s="165"/>
      <c r="R98" s="165"/>
      <c r="S98" s="165"/>
    </row>
    <row r="99" customFormat="false" ht="15.6" hidden="false" customHeight="false" outlineLevel="0" collapsed="false">
      <c r="A99" s="153"/>
      <c r="B99" s="142"/>
      <c r="G99" s="214" t="s">
        <v>291</v>
      </c>
      <c r="H99" s="131" t="n">
        <f aca="false">H48/ABS(H30+0.000001)</f>
        <v>4.99999995E-005</v>
      </c>
      <c r="I99" s="131" t="n">
        <f aca="false">I48/ABS(I30+0.000001)</f>
        <v>5.00000005E-005</v>
      </c>
      <c r="J99" s="131" t="n">
        <f aca="false">J48/ABS(J30+0.000001)</f>
        <v>5.00000005E-005</v>
      </c>
      <c r="K99" s="131" t="n">
        <f aca="false">K48/ABS(K30+0.000001)</f>
        <v>4.99999995E-005</v>
      </c>
      <c r="L99" s="131" t="n">
        <f aca="false">L48/ABS(L30+0.000001)</f>
        <v>0</v>
      </c>
      <c r="M99" s="131" t="n">
        <f aca="false">M48/ABS(M30+0.000001)</f>
        <v>0</v>
      </c>
      <c r="N99" s="131" t="n">
        <f aca="false">N48/ABS(N30+0.000001)</f>
        <v>0</v>
      </c>
      <c r="O99" s="131" t="n">
        <f aca="false">O48/ABS(O30+0.000001)</f>
        <v>0</v>
      </c>
      <c r="P99" s="131" t="n">
        <f aca="false">P48/ABS(P30+0.000001)</f>
        <v>0</v>
      </c>
      <c r="Q99" s="131" t="n">
        <f aca="false">Q48/ABS(Q30+0.000001)</f>
        <v>0</v>
      </c>
      <c r="R99" s="131" t="n">
        <f aca="false">R48/ABS(R30+0.000001)</f>
        <v>0</v>
      </c>
      <c r="S99" s="131" t="n">
        <f aca="false">S48/ABS(S30+0.000001)</f>
        <v>0</v>
      </c>
    </row>
    <row r="100" customFormat="false" ht="15.6" hidden="false" customHeight="false" outlineLevel="0" collapsed="false">
      <c r="A100" s="153"/>
      <c r="B100" s="142"/>
      <c r="G100" s="214" t="s">
        <v>291</v>
      </c>
      <c r="H100" s="215" t="n">
        <f aca="false">H46/ABS(H32+0.000001)</f>
        <v>5000</v>
      </c>
      <c r="I100" s="215" t="n">
        <f aca="false">I46/ABS(I32+0.000001)</f>
        <v>5000</v>
      </c>
      <c r="J100" s="215" t="n">
        <f aca="false">J46/ABS(J32+0.000001)</f>
        <v>5000</v>
      </c>
      <c r="K100" s="215" t="n">
        <f aca="false">K46/ABS(K32+0.000001)</f>
        <v>5000</v>
      </c>
      <c r="L100" s="215" t="n">
        <f aca="false">L46/ABS(L32+0.000001)</f>
        <v>0</v>
      </c>
      <c r="M100" s="215" t="n">
        <f aca="false">M46/ABS(M32+0.000001)</f>
        <v>0</v>
      </c>
      <c r="N100" s="215" t="n">
        <f aca="false">N46/ABS(N32+0.000001)</f>
        <v>0</v>
      </c>
      <c r="O100" s="215" t="n">
        <f aca="false">O46/ABS(O32+0.000001)</f>
        <v>0</v>
      </c>
      <c r="P100" s="215" t="n">
        <f aca="false">P46/ABS(P32+0.000001)</f>
        <v>0</v>
      </c>
      <c r="Q100" s="215" t="n">
        <f aca="false">Q46/ABS(Q32+0.000001)</f>
        <v>0</v>
      </c>
      <c r="R100" s="215" t="n">
        <f aca="false">R46/ABS(R32+0.000001)</f>
        <v>0</v>
      </c>
      <c r="S100" s="215" t="n">
        <f aca="false">S46/ABS(S32+0.000001)</f>
        <v>0</v>
      </c>
    </row>
    <row r="101" customFormat="false" ht="15.6" hidden="false" customHeight="false" outlineLevel="0" collapsed="false">
      <c r="A101" s="153"/>
      <c r="B101" s="142"/>
      <c r="G101" s="77" t="s">
        <v>292</v>
      </c>
      <c r="H101" s="161" t="n">
        <f aca="false">IF(MIN(H99,H100)&gt;1,0,MIN(H99,H100))</f>
        <v>4.99999995E-005</v>
      </c>
      <c r="I101" s="161" t="n">
        <f aca="false">IF(MIN(I99,I100)&gt;1,0,MIN(I99,I100))</f>
        <v>5.00000005E-005</v>
      </c>
      <c r="J101" s="161" t="n">
        <f aca="false">IF(MIN(J99,J100)&gt;1,0,MIN(J99,J100))</f>
        <v>5.00000005E-005</v>
      </c>
      <c r="K101" s="161" t="n">
        <f aca="false">IF(MIN(K99,K100)&gt;1,0,MIN(K99,K100))</f>
        <v>4.99999995E-005</v>
      </c>
      <c r="L101" s="161" t="n">
        <f aca="false">IF(MIN(L99,L100)&gt;1,0,MIN(L99,L100))</f>
        <v>0</v>
      </c>
      <c r="M101" s="161" t="n">
        <f aca="false">IF(MIN(M99,M100)&gt;1,0,MIN(M99,M100))</f>
        <v>0</v>
      </c>
      <c r="N101" s="161" t="n">
        <f aca="false">IF(MIN(N99,N100)&gt;1,0,MIN(N99,N100))</f>
        <v>0</v>
      </c>
      <c r="O101" s="161" t="n">
        <f aca="false">IF(MIN(O99,O100)&gt;1,0,MIN(O99,O100))</f>
        <v>0</v>
      </c>
      <c r="P101" s="161" t="n">
        <f aca="false">IF(MIN(P99,P100)&gt;1,0,MIN(P99,P100))</f>
        <v>0</v>
      </c>
      <c r="Q101" s="161" t="n">
        <f aca="false">IF(MIN(Q99,Q100)&gt;1,0,MIN(Q99,Q100))</f>
        <v>0</v>
      </c>
      <c r="R101" s="161" t="n">
        <f aca="false">IF(MIN(R99,R100)&gt;1,0,MIN(R99,R100))</f>
        <v>0</v>
      </c>
      <c r="S101" s="161" t="n">
        <f aca="false">IF(MIN(S99,S100)&gt;1,0,MIN(S99,S100))</f>
        <v>0</v>
      </c>
    </row>
    <row r="102" customFormat="false" ht="15.6" hidden="false" customHeight="false" outlineLevel="0" collapsed="false">
      <c r="A102" s="153"/>
      <c r="B102" s="142"/>
      <c r="G102" s="0"/>
      <c r="H102" s="77" t="s">
        <v>294</v>
      </c>
      <c r="I102" s="0"/>
      <c r="J102" s="0"/>
      <c r="K102" s="0"/>
      <c r="L102" s="0"/>
      <c r="M102" s="0"/>
      <c r="N102" s="0"/>
      <c r="O102" s="0"/>
      <c r="P102" s="0"/>
      <c r="Q102" s="0"/>
      <c r="R102" s="0"/>
      <c r="S102" s="0"/>
    </row>
    <row r="103" customFormat="false" ht="15.6" hidden="false" customHeight="false" outlineLevel="0" collapsed="false">
      <c r="A103" s="153"/>
      <c r="B103" s="142"/>
      <c r="G103" s="165" t="s">
        <v>291</v>
      </c>
      <c r="H103" s="77" t="n">
        <f aca="false">H47/ABS(H30+0.000001)</f>
        <v>4.99999995E-005</v>
      </c>
      <c r="I103" s="77" t="n">
        <f aca="false">I47/ABS(I30+0.000001)</f>
        <v>5.00000005E-005</v>
      </c>
      <c r="J103" s="77" t="n">
        <f aca="false">J47/ABS(J30+0.000001)</f>
        <v>5.00000005E-005</v>
      </c>
      <c r="K103" s="77" t="n">
        <f aca="false">K47/ABS(K30+0.000001)</f>
        <v>4.99999995E-005</v>
      </c>
      <c r="L103" s="77" t="n">
        <f aca="false">L47/ABS(L30+0.000001)</f>
        <v>0</v>
      </c>
      <c r="M103" s="77" t="n">
        <f aca="false">M47/ABS(M30+0.000001)</f>
        <v>0</v>
      </c>
      <c r="N103" s="77" t="n">
        <f aca="false">N47/ABS(N30+0.000001)</f>
        <v>0</v>
      </c>
      <c r="O103" s="77" t="n">
        <f aca="false">O47/ABS(O30+0.000001)</f>
        <v>0</v>
      </c>
      <c r="P103" s="77" t="n">
        <f aca="false">P47/ABS(P30+0.000001)</f>
        <v>0</v>
      </c>
      <c r="Q103" s="77" t="n">
        <f aca="false">Q47/ABS(Q30+0.000001)</f>
        <v>0</v>
      </c>
      <c r="R103" s="77" t="n">
        <f aca="false">R47/ABS(R30+0.000001)</f>
        <v>0</v>
      </c>
      <c r="S103" s="77" t="n">
        <f aca="false">S47/ABS(S30+0.000001)</f>
        <v>0</v>
      </c>
    </row>
    <row r="104" customFormat="false" ht="15.6" hidden="false" customHeight="false" outlineLevel="0" collapsed="false">
      <c r="A104" s="153"/>
      <c r="B104" s="142"/>
      <c r="G104" s="165" t="s">
        <v>291</v>
      </c>
      <c r="H104" s="77" t="n">
        <f aca="false">H46/ABS(H31+0.000001)</f>
        <v>4.99999995E-005</v>
      </c>
      <c r="I104" s="77" t="n">
        <f aca="false">I46/ABS(I31+0.000001)</f>
        <v>4.99999995E-005</v>
      </c>
      <c r="J104" s="77" t="n">
        <f aca="false">J46/ABS(J31+0.000001)</f>
        <v>5.00000005E-005</v>
      </c>
      <c r="K104" s="77" t="n">
        <f aca="false">K46/ABS(K31+0.000001)</f>
        <v>5.00000005E-005</v>
      </c>
      <c r="L104" s="77" t="n">
        <f aca="false">L46/ABS(L31+0.000001)</f>
        <v>0</v>
      </c>
      <c r="M104" s="77" t="n">
        <f aca="false">M46/ABS(M31+0.000001)</f>
        <v>0</v>
      </c>
      <c r="N104" s="77" t="n">
        <f aca="false">N46/ABS(N31+0.000001)</f>
        <v>0</v>
      </c>
      <c r="O104" s="77" t="n">
        <f aca="false">O46/ABS(O31+0.000001)</f>
        <v>0</v>
      </c>
      <c r="P104" s="77" t="n">
        <f aca="false">P46/ABS(P31+0.000001)</f>
        <v>0</v>
      </c>
      <c r="Q104" s="77" t="n">
        <f aca="false">Q46/ABS(Q31+0.000001)</f>
        <v>0</v>
      </c>
      <c r="R104" s="77" t="n">
        <f aca="false">R46/ABS(R31+0.000001)</f>
        <v>0</v>
      </c>
      <c r="S104" s="77" t="n">
        <f aca="false">S46/ABS(S31+0.000001)</f>
        <v>0</v>
      </c>
    </row>
    <row r="105" customFormat="false" ht="15.6" hidden="false" customHeight="false" outlineLevel="0" collapsed="false">
      <c r="A105" s="153"/>
      <c r="B105" s="142"/>
      <c r="G105" s="77" t="s">
        <v>292</v>
      </c>
      <c r="H105" s="161" t="n">
        <f aca="false">IF(MIN(H103,H104)&gt;1,0,MIN(H103,H104))</f>
        <v>4.99999995E-005</v>
      </c>
      <c r="I105" s="161" t="n">
        <f aca="false">IF(MIN(I103,I104)&gt;1,0,MIN(I103,I104))</f>
        <v>4.99999995E-005</v>
      </c>
      <c r="J105" s="161" t="n">
        <f aca="false">IF(MIN(J103,J104)&gt;1,0,MIN(J103,J104))</f>
        <v>5.00000005E-005</v>
      </c>
      <c r="K105" s="161" t="n">
        <f aca="false">IF(MIN(K103,K104)&gt;1,0,MIN(K103,K104))</f>
        <v>4.99999995E-005</v>
      </c>
      <c r="L105" s="161" t="n">
        <f aca="false">IF(MIN(L103,L104)&gt;1,0,MIN(L103,L104))</f>
        <v>0</v>
      </c>
      <c r="M105" s="161" t="n">
        <f aca="false">IF(MIN(M103,M104)&gt;1,0,MIN(M103,M104))</f>
        <v>0</v>
      </c>
      <c r="N105" s="161" t="n">
        <f aca="false">IF(MIN(N103,N104)&gt;1,0,MIN(N103,N104))</f>
        <v>0</v>
      </c>
      <c r="O105" s="161" t="n">
        <f aca="false">IF(MIN(O103,O104)&gt;1,0,MIN(O103,O104))</f>
        <v>0</v>
      </c>
      <c r="P105" s="161" t="n">
        <f aca="false">IF(MIN(P103,P104)&gt;1,0,MIN(P103,P104))</f>
        <v>0</v>
      </c>
      <c r="Q105" s="161" t="n">
        <f aca="false">IF(MIN(Q103,Q104)&gt;1,0,MIN(Q103,Q104))</f>
        <v>0</v>
      </c>
      <c r="R105" s="161" t="n">
        <f aca="false">IF(MIN(R103,R104)&gt;1,0,MIN(R103,R104))</f>
        <v>0</v>
      </c>
      <c r="S105" s="161" t="n">
        <f aca="false">IF(MIN(S103,S104)&gt;1,0,MIN(S103,S104))</f>
        <v>0</v>
      </c>
    </row>
    <row r="106" customFormat="false" ht="15.6" hidden="false" customHeight="false" outlineLevel="0" collapsed="false">
      <c r="A106" s="153"/>
      <c r="B106" s="142"/>
      <c r="G106" s="0"/>
      <c r="H106" s="0"/>
      <c r="I106" s="0"/>
      <c r="J106" s="0"/>
      <c r="K106" s="0"/>
      <c r="L106" s="0"/>
      <c r="M106" s="0"/>
      <c r="N106" s="0"/>
      <c r="O106" s="0"/>
      <c r="P106" s="0"/>
      <c r="Q106" s="0"/>
      <c r="R106" s="0"/>
      <c r="S106" s="0"/>
    </row>
    <row r="107" customFormat="false" ht="15.6" hidden="false" customHeight="false" outlineLevel="0" collapsed="false">
      <c r="A107" s="153"/>
      <c r="B107" s="142"/>
      <c r="G107" s="212" t="s">
        <v>295</v>
      </c>
      <c r="H107" s="212"/>
      <c r="I107" s="212"/>
      <c r="J107" s="212"/>
      <c r="K107" s="212"/>
      <c r="L107" s="212"/>
      <c r="M107" s="212"/>
      <c r="N107" s="212"/>
      <c r="O107" s="212"/>
      <c r="P107" s="212"/>
      <c r="Q107" s="0"/>
      <c r="R107" s="0"/>
      <c r="S107" s="0"/>
    </row>
    <row r="108" customFormat="false" ht="15.6" hidden="false" customHeight="false" outlineLevel="0" collapsed="false">
      <c r="G108" s="0"/>
      <c r="H108" s="153" t="s">
        <v>296</v>
      </c>
      <c r="I108" s="153"/>
      <c r="J108" s="153"/>
      <c r="K108" s="153"/>
      <c r="L108" s="153"/>
      <c r="M108" s="153"/>
      <c r="N108" s="153"/>
      <c r="O108" s="153"/>
      <c r="P108" s="153"/>
      <c r="Q108" s="153"/>
      <c r="R108" s="153"/>
      <c r="S108" s="153"/>
    </row>
    <row r="109" customFormat="false" ht="15.6" hidden="false" customHeight="false" outlineLevel="0" collapsed="false">
      <c r="G109" s="165" t="s">
        <v>291</v>
      </c>
      <c r="H109" s="161" t="n">
        <f aca="false">H55/(H32+0.000001)</f>
        <v>0</v>
      </c>
      <c r="I109" s="161" t="n">
        <f aca="false">I55/(I32+0.000001)</f>
        <v>0</v>
      </c>
      <c r="J109" s="161" t="n">
        <f aca="false">J55/(J32+0.000001)</f>
        <v>0</v>
      </c>
      <c r="K109" s="161" t="n">
        <f aca="false">K55/(K32+0.000001)</f>
        <v>0</v>
      </c>
      <c r="L109" s="161" t="n">
        <f aca="false">L55/(L32+0.000001)</f>
        <v>0</v>
      </c>
      <c r="M109" s="161" t="n">
        <f aca="false">M55/(M32+0.000001)</f>
        <v>0</v>
      </c>
      <c r="N109" s="161" t="n">
        <f aca="false">N55/(N32+0.000001)</f>
        <v>0</v>
      </c>
      <c r="O109" s="161" t="n">
        <f aca="false">O55/(O32+0.000001)</f>
        <v>0</v>
      </c>
      <c r="P109" s="161" t="n">
        <f aca="false">P55/(P32+0.000001)</f>
        <v>0</v>
      </c>
      <c r="Q109" s="161" t="n">
        <f aca="false">Q55/(Q32+0.000001)</f>
        <v>0</v>
      </c>
      <c r="R109" s="161" t="n">
        <f aca="false">R55/(R32+0.000001)</f>
        <v>0</v>
      </c>
      <c r="S109" s="161" t="n">
        <f aca="false">S55/(S32+0.000001)</f>
        <v>0</v>
      </c>
    </row>
    <row r="110" customFormat="false" ht="15.6" hidden="false" customHeight="false" outlineLevel="0" collapsed="false">
      <c r="G110" s="165" t="s">
        <v>291</v>
      </c>
      <c r="H110" s="216" t="n">
        <f aca="false">H56/(H31+0.000001)</f>
        <v>0</v>
      </c>
      <c r="I110" s="216" t="n">
        <f aca="false">I56/(I31+0.000001)</f>
        <v>0</v>
      </c>
      <c r="J110" s="216" t="n">
        <f aca="false">J56/(J31+0.000001)</f>
        <v>-0</v>
      </c>
      <c r="K110" s="216" t="n">
        <f aca="false">K56/(K31+0.000001)</f>
        <v>-0</v>
      </c>
      <c r="L110" s="216" t="n">
        <f aca="false">L56/(L31+0.000001)</f>
        <v>0</v>
      </c>
      <c r="M110" s="216" t="n">
        <f aca="false">M56/(M31+0.000001)</f>
        <v>0</v>
      </c>
      <c r="N110" s="216" t="n">
        <f aca="false">N56/(N31+0.000001)</f>
        <v>0</v>
      </c>
      <c r="O110" s="216" t="n">
        <f aca="false">O56/(O31+0.000001)</f>
        <v>0</v>
      </c>
      <c r="P110" s="216" t="n">
        <f aca="false">P56/(P31+0.000001)</f>
        <v>0</v>
      </c>
      <c r="Q110" s="216" t="n">
        <f aca="false">Q56/(Q31+0.000001)</f>
        <v>0</v>
      </c>
      <c r="R110" s="216" t="n">
        <f aca="false">R56/(R31+0.000001)</f>
        <v>0</v>
      </c>
      <c r="S110" s="216" t="n">
        <f aca="false">S56/(S31+0.000001)</f>
        <v>0</v>
      </c>
    </row>
    <row r="111" customFormat="false" ht="15.6" hidden="false" customHeight="false" outlineLevel="0" collapsed="false">
      <c r="G111" s="77" t="s">
        <v>297</v>
      </c>
      <c r="H111" s="217" t="n">
        <f aca="false">SIGN(H109+0.000000000001)*SIGN(H110+0.000000000001)</f>
        <v>1</v>
      </c>
      <c r="I111" s="217" t="n">
        <f aca="false">SIGN(I109+0.000000000001)*SIGN(I110+0.000000000001)</f>
        <v>1</v>
      </c>
      <c r="J111" s="217" t="n">
        <f aca="false">SIGN(J109+0.000000000001)*SIGN(J110+0.000000000001)</f>
        <v>1</v>
      </c>
      <c r="K111" s="217" t="n">
        <f aca="false">SIGN(K109+0.000000000001)*SIGN(K110+0.000000000001)</f>
        <v>1</v>
      </c>
      <c r="L111" s="217" t="n">
        <f aca="false">SIGN(L109+0.000000000001)*SIGN(L110+0.000000000001)</f>
        <v>1</v>
      </c>
      <c r="M111" s="217" t="n">
        <f aca="false">SIGN(M109+0.000000000001)*SIGN(M110+0.000000000001)</f>
        <v>1</v>
      </c>
      <c r="N111" s="217" t="n">
        <f aca="false">SIGN(N109+0.000000000001)*SIGN(N110+0.000000000001)</f>
        <v>1</v>
      </c>
      <c r="O111" s="217" t="n">
        <f aca="false">SIGN(O109+0.000000000001)*SIGN(O110+0.000000000001)</f>
        <v>1</v>
      </c>
      <c r="P111" s="217" t="n">
        <f aca="false">SIGN(P109+0.000000000001)*SIGN(P110+0.000000000001)</f>
        <v>1</v>
      </c>
      <c r="Q111" s="217" t="n">
        <f aca="false">SIGN(Q109+0.000000000001)*SIGN(Q110+0.000000000001)</f>
        <v>1</v>
      </c>
      <c r="R111" s="217" t="n">
        <f aca="false">SIGN(R109+0.000000000001)*SIGN(R110+0.000000000001)</f>
        <v>1</v>
      </c>
      <c r="S111" s="217" t="n">
        <f aca="false">SIGN(S109+0.000000000001)*SIGN(S110+0.000000000001)</f>
        <v>1</v>
      </c>
    </row>
    <row r="112" customFormat="false" ht="15.6" hidden="false" customHeight="false" outlineLevel="0" collapsed="false">
      <c r="G112" s="77" t="s">
        <v>292</v>
      </c>
      <c r="H112" s="161" t="n">
        <f aca="false">IF(H111*MIN(ABS(H109),ABS(H110))&gt;1,0,H111*MIN(ABS(H109),ABS(H110)))</f>
        <v>0</v>
      </c>
      <c r="I112" s="161" t="n">
        <f aca="false">IF(I111*MIN(ABS(I109),ABS(I110))&gt;1,0,I111*MIN(ABS(I109),ABS(I110)))</f>
        <v>0</v>
      </c>
      <c r="J112" s="161" t="n">
        <f aca="false">IF(J111*MIN(ABS(J109),ABS(J110))&gt;1,0,J111*MIN(ABS(J109),ABS(J110)))</f>
        <v>0</v>
      </c>
      <c r="K112" s="161" t="n">
        <f aca="false">IF(K111*MIN(ABS(K109),ABS(K110))&gt;1,0,K111*MIN(ABS(K109),ABS(K110)))</f>
        <v>0</v>
      </c>
      <c r="L112" s="161" t="n">
        <f aca="false">IF(L111*MIN(ABS(L109),ABS(L110))&gt;1,0,L111*MIN(ABS(L109),ABS(L110)))</f>
        <v>0</v>
      </c>
      <c r="M112" s="161" t="n">
        <f aca="false">IF(M111*MIN(ABS(M109),ABS(M110))&gt;1,0,M111*MIN(ABS(M109),ABS(M110)))</f>
        <v>0</v>
      </c>
      <c r="N112" s="161" t="n">
        <f aca="false">IF(N111*MIN(ABS(N109),ABS(N110))&gt;1,0,N111*MIN(ABS(N109),ABS(N110)))</f>
        <v>0</v>
      </c>
      <c r="O112" s="161" t="n">
        <f aca="false">IF(O111*MIN(ABS(O109),ABS(O110))&gt;1,0,O111*MIN(ABS(O109),ABS(O110)))</f>
        <v>0</v>
      </c>
      <c r="P112" s="161" t="n">
        <f aca="false">IF(P111*MIN(ABS(P109),ABS(P110))&gt;1,0,P111*MIN(ABS(P109),ABS(P110)))</f>
        <v>0</v>
      </c>
      <c r="Q112" s="161" t="n">
        <f aca="false">IF(Q111*MIN(ABS(Q109),ABS(Q110))&gt;1,0,Q111*MIN(ABS(Q109),ABS(Q110)))</f>
        <v>0</v>
      </c>
      <c r="R112" s="161" t="n">
        <f aca="false">IF(R111*MIN(ABS(R109),ABS(R110))&gt;1,0,R111*MIN(ABS(R109),ABS(R110)))</f>
        <v>0</v>
      </c>
      <c r="S112" s="161" t="n">
        <f aca="false">IF(S111*MIN(ABS(S109),ABS(S110))&gt;1,0,S111*MIN(ABS(S109),ABS(S110)))</f>
        <v>0</v>
      </c>
    </row>
    <row r="113" customFormat="false" ht="15.6" hidden="false" customHeight="false" outlineLevel="0" collapsed="false">
      <c r="G113" s="0"/>
      <c r="H113" s="153" t="s">
        <v>298</v>
      </c>
      <c r="I113" s="153"/>
      <c r="J113" s="153"/>
      <c r="K113" s="153"/>
      <c r="L113" s="153"/>
      <c r="M113" s="153"/>
      <c r="N113" s="153"/>
      <c r="O113" s="153"/>
      <c r="P113" s="153"/>
      <c r="Q113" s="153"/>
      <c r="R113" s="153"/>
      <c r="S113" s="153"/>
    </row>
    <row r="114" customFormat="false" ht="15.6" hidden="false" customHeight="false" outlineLevel="0" collapsed="false">
      <c r="G114" s="214" t="s">
        <v>291</v>
      </c>
      <c r="H114" s="131" t="n">
        <f aca="false">-H56/(H30+0.000001)</f>
        <v>-0</v>
      </c>
      <c r="I114" s="131" t="n">
        <f aca="false">-I56/(I30+0.000001)</f>
        <v>0</v>
      </c>
      <c r="J114" s="131" t="n">
        <f aca="false">-J56/(J30+0.000001)</f>
        <v>0</v>
      </c>
      <c r="K114" s="131" t="n">
        <f aca="false">-K56/(K30+0.000001)</f>
        <v>-0</v>
      </c>
      <c r="L114" s="131" t="n">
        <f aca="false">-L56/(L30+0.000001)</f>
        <v>-0</v>
      </c>
      <c r="M114" s="131" t="n">
        <f aca="false">-M56/(M30+0.000001)</f>
        <v>-0</v>
      </c>
      <c r="N114" s="131" t="n">
        <f aca="false">-N56/(N30+0.000001)</f>
        <v>-0</v>
      </c>
      <c r="O114" s="131" t="n">
        <f aca="false">-O56/(O30+0.000001)</f>
        <v>-0</v>
      </c>
      <c r="P114" s="131" t="n">
        <f aca="false">-P56/(P30+0.000001)</f>
        <v>-0</v>
      </c>
      <c r="Q114" s="131" t="n">
        <f aca="false">-Q56/(Q30+0.000001)</f>
        <v>-0</v>
      </c>
      <c r="R114" s="131" t="n">
        <f aca="false">-R56/(R30+0.000001)</f>
        <v>-0</v>
      </c>
      <c r="S114" s="131" t="n">
        <f aca="false">-S56/(S30+0.000001)</f>
        <v>-0</v>
      </c>
    </row>
    <row r="115" customFormat="false" ht="15.6" hidden="false" customHeight="false" outlineLevel="0" collapsed="false">
      <c r="G115" s="214" t="s">
        <v>291</v>
      </c>
      <c r="H115" s="131" t="n">
        <f aca="false">H54/(H32+0.000001)</f>
        <v>0</v>
      </c>
      <c r="I115" s="131" t="n">
        <f aca="false">I54/(I32+0.000001)</f>
        <v>0</v>
      </c>
      <c r="J115" s="131" t="n">
        <f aca="false">J54/(J32+0.000001)</f>
        <v>0</v>
      </c>
      <c r="K115" s="131" t="n">
        <f aca="false">K54/(K32+0.000001)</f>
        <v>0</v>
      </c>
      <c r="L115" s="131" t="n">
        <f aca="false">L54/(L32+0.000001)</f>
        <v>0</v>
      </c>
      <c r="M115" s="131" t="n">
        <f aca="false">M54/(M32+0.000001)</f>
        <v>0</v>
      </c>
      <c r="N115" s="131" t="n">
        <f aca="false">N54/(N32+0.000001)</f>
        <v>0</v>
      </c>
      <c r="O115" s="131" t="n">
        <f aca="false">O54/(O32+0.000001)</f>
        <v>0</v>
      </c>
      <c r="P115" s="131" t="n">
        <f aca="false">P54/(P32+0.000001)</f>
        <v>0</v>
      </c>
      <c r="Q115" s="131" t="n">
        <f aca="false">Q54/(Q32+0.000001)</f>
        <v>0</v>
      </c>
      <c r="R115" s="131" t="n">
        <f aca="false">R54/(R32+0.000001)</f>
        <v>0</v>
      </c>
      <c r="S115" s="131" t="n">
        <f aca="false">S54/(S32+0.000001)</f>
        <v>0</v>
      </c>
    </row>
    <row r="116" customFormat="false" ht="15.6" hidden="false" customHeight="false" outlineLevel="0" collapsed="false">
      <c r="G116" s="131" t="s">
        <v>297</v>
      </c>
      <c r="H116" s="218" t="n">
        <f aca="false">SIGN(H114+0.000000000001)*SIGN(H115+0.000000000001)</f>
        <v>1</v>
      </c>
      <c r="I116" s="218" t="n">
        <f aca="false">SIGN(I114+0.000000000001)*SIGN(I115+0.000000000001)</f>
        <v>1</v>
      </c>
      <c r="J116" s="218" t="n">
        <f aca="false">SIGN(J114+0.000000000001)*SIGN(J115+0.000000000001)</f>
        <v>1</v>
      </c>
      <c r="K116" s="218" t="n">
        <f aca="false">SIGN(K114+0.000000000001)*SIGN(K115+0.000000000001)</f>
        <v>1</v>
      </c>
      <c r="L116" s="218" t="n">
        <f aca="false">SIGN(L114+0.000000000001)*SIGN(L115+0.000000000001)</f>
        <v>1</v>
      </c>
      <c r="M116" s="218" t="n">
        <f aca="false">SIGN(M114+0.000000000001)*SIGN(M115+0.000000000001)</f>
        <v>1</v>
      </c>
      <c r="N116" s="218" t="n">
        <f aca="false">SIGN(N114+0.000000000001)*SIGN(N115+0.000000000001)</f>
        <v>1</v>
      </c>
      <c r="O116" s="218" t="n">
        <f aca="false">SIGN(O114+0.000000000001)*SIGN(O115+0.000000000001)</f>
        <v>1</v>
      </c>
      <c r="P116" s="218" t="n">
        <f aca="false">SIGN(P114+0.000000000001)*SIGN(P115+0.000000000001)</f>
        <v>1</v>
      </c>
      <c r="Q116" s="218" t="n">
        <f aca="false">SIGN(Q114+0.000000000001)*SIGN(Q115+0.000000000001)</f>
        <v>1</v>
      </c>
      <c r="R116" s="218" t="n">
        <f aca="false">SIGN(R114+0.000000000001)*SIGN(R115+0.000000000001)</f>
        <v>1</v>
      </c>
      <c r="S116" s="218" t="n">
        <f aca="false">SIGN(S114+0.000000000001)*SIGN(S115+0.000000000001)</f>
        <v>1</v>
      </c>
    </row>
    <row r="117" customFormat="false" ht="15.6" hidden="false" customHeight="false" outlineLevel="0" collapsed="false">
      <c r="G117" s="131" t="s">
        <v>292</v>
      </c>
      <c r="H117" s="219" t="n">
        <f aca="false">IF(H116*MIN(ABS(H114),ABS(H115))&gt;1,0,H116*MIN(ABS(H114),ABS(H115)))</f>
        <v>0</v>
      </c>
      <c r="I117" s="219" t="n">
        <f aca="false">IF(I116*MIN(ABS(I114),ABS(I115))&gt;1,0,I116*MIN(ABS(I114),ABS(I115)))</f>
        <v>0</v>
      </c>
      <c r="J117" s="219" t="n">
        <f aca="false">IF(J116*MIN(ABS(J114),ABS(J115))&gt;1,0,J116*MIN(ABS(J114),ABS(J115)))</f>
        <v>0</v>
      </c>
      <c r="K117" s="219" t="n">
        <f aca="false">IF(K116*MIN(ABS(K114),ABS(K115))&gt;1,0,K116*MIN(ABS(K114),ABS(K115)))</f>
        <v>0</v>
      </c>
      <c r="L117" s="219" t="n">
        <f aca="false">IF(L116*MIN(ABS(L114),ABS(L115))&gt;1,0,L116*MIN(ABS(L114),ABS(L115)))</f>
        <v>0</v>
      </c>
      <c r="M117" s="219" t="n">
        <f aca="false">IF(M116*MIN(ABS(M114),ABS(M115))&gt;1,0,M116*MIN(ABS(M114),ABS(M115)))</f>
        <v>0</v>
      </c>
      <c r="N117" s="219" t="n">
        <f aca="false">IF(N116*MIN(ABS(N114),ABS(N115))&gt;1,0,N116*MIN(ABS(N114),ABS(N115)))</f>
        <v>0</v>
      </c>
      <c r="O117" s="219" t="n">
        <f aca="false">IF(O116*MIN(ABS(O114),ABS(O115))&gt;1,0,O116*MIN(ABS(O114),ABS(O115)))</f>
        <v>0</v>
      </c>
      <c r="P117" s="219" t="n">
        <f aca="false">IF(P116*MIN(ABS(P114),ABS(P115))&gt;1,0,P116*MIN(ABS(P114),ABS(P115)))</f>
        <v>0</v>
      </c>
      <c r="Q117" s="219" t="n">
        <f aca="false">IF(Q116*MIN(ABS(Q114),ABS(Q115))&gt;1,0,Q116*MIN(ABS(Q114),ABS(Q115)))</f>
        <v>0</v>
      </c>
      <c r="R117" s="219" t="n">
        <f aca="false">IF(R116*MIN(ABS(R114),ABS(R115))&gt;1,0,R116*MIN(ABS(R114),ABS(R115)))</f>
        <v>0</v>
      </c>
      <c r="S117" s="219" t="n">
        <f aca="false">IF(S116*MIN(ABS(S114),ABS(S115))&gt;1,0,S116*MIN(ABS(S114),ABS(S115)))</f>
        <v>0</v>
      </c>
    </row>
    <row r="118" customFormat="false" ht="15.6" hidden="false" customHeight="false" outlineLevel="0" collapsed="false">
      <c r="G118" s="0"/>
      <c r="H118" s="153" t="s">
        <v>299</v>
      </c>
      <c r="I118" s="153"/>
      <c r="J118" s="153"/>
      <c r="K118" s="153"/>
      <c r="L118" s="153"/>
      <c r="M118" s="153"/>
      <c r="N118" s="153"/>
      <c r="O118" s="153"/>
      <c r="P118" s="153"/>
      <c r="Q118" s="153"/>
      <c r="R118" s="153"/>
      <c r="S118" s="153"/>
    </row>
    <row r="119" customFormat="false" ht="15.6" hidden="false" customHeight="false" outlineLevel="0" collapsed="false">
      <c r="G119" s="165" t="s">
        <v>291</v>
      </c>
      <c r="H119" s="161" t="n">
        <f aca="false">H55/(H30+0.000001)</f>
        <v>0</v>
      </c>
      <c r="I119" s="161" t="n">
        <f aca="false">I55/(I30+0.000001)</f>
        <v>-0</v>
      </c>
      <c r="J119" s="161" t="n">
        <f aca="false">J55/(J30+0.000001)</f>
        <v>-0</v>
      </c>
      <c r="K119" s="161" t="n">
        <f aca="false">K55/(K30+0.000001)</f>
        <v>0</v>
      </c>
      <c r="L119" s="161" t="n">
        <f aca="false">L55/(L30+0.000001)</f>
        <v>0</v>
      </c>
      <c r="M119" s="161" t="n">
        <f aca="false">M55/(M30+0.000001)</f>
        <v>0</v>
      </c>
      <c r="N119" s="161" t="n">
        <f aca="false">N55/(N30+0.000001)</f>
        <v>0</v>
      </c>
      <c r="O119" s="161" t="n">
        <f aca="false">O55/(O30+0.000001)</f>
        <v>0</v>
      </c>
      <c r="P119" s="161" t="n">
        <f aca="false">P55/(P30+0.000001)</f>
        <v>0</v>
      </c>
      <c r="Q119" s="161" t="n">
        <f aca="false">Q55/(Q30+0.000001)</f>
        <v>0</v>
      </c>
      <c r="R119" s="161" t="n">
        <f aca="false">R55/(R30+0.000001)</f>
        <v>0</v>
      </c>
      <c r="S119" s="161" t="n">
        <f aca="false">S55/(S30+0.000001)</f>
        <v>0</v>
      </c>
    </row>
    <row r="120" customFormat="false" ht="15.6" hidden="false" customHeight="false" outlineLevel="0" collapsed="false">
      <c r="G120" s="165" t="s">
        <v>291</v>
      </c>
      <c r="H120" s="77" t="n">
        <f aca="false">H54/(H31+0.000001)</f>
        <v>0</v>
      </c>
      <c r="I120" s="77" t="n">
        <f aca="false">I54/(I31+0.000001)</f>
        <v>0</v>
      </c>
      <c r="J120" s="77" t="n">
        <f aca="false">J54/(J31+0.000001)</f>
        <v>-0</v>
      </c>
      <c r="K120" s="77" t="n">
        <f aca="false">K54/(K31+0.000001)</f>
        <v>-0</v>
      </c>
      <c r="L120" s="77" t="n">
        <f aca="false">L54/(L31+0.000001)</f>
        <v>0</v>
      </c>
      <c r="M120" s="77" t="n">
        <f aca="false">M54/(M31+0.000001)</f>
        <v>0</v>
      </c>
      <c r="N120" s="77" t="n">
        <f aca="false">N54/(N31+0.000001)</f>
        <v>0</v>
      </c>
      <c r="O120" s="77" t="n">
        <f aca="false">O54/(O31+0.000001)</f>
        <v>0</v>
      </c>
      <c r="P120" s="77" t="n">
        <f aca="false">P54/(P31+0.000001)</f>
        <v>0</v>
      </c>
      <c r="Q120" s="77" t="n">
        <f aca="false">Q54/(Q31+0.000001)</f>
        <v>0</v>
      </c>
      <c r="R120" s="77" t="n">
        <f aca="false">R54/(R31+0.000001)</f>
        <v>0</v>
      </c>
      <c r="S120" s="77" t="n">
        <f aca="false">S54/(S31+0.000001)</f>
        <v>0</v>
      </c>
    </row>
    <row r="121" customFormat="false" ht="15.6" hidden="false" customHeight="false" outlineLevel="0" collapsed="false">
      <c r="G121" s="77" t="s">
        <v>297</v>
      </c>
      <c r="H121" s="217" t="n">
        <f aca="false">SIGN(H119+0.000000000001)*SIGN(H120+0.000000000001)</f>
        <v>1</v>
      </c>
      <c r="I121" s="217" t="n">
        <f aca="false">SIGN(I119+0.000000000001)*SIGN(I120+0.000000000001)</f>
        <v>1</v>
      </c>
      <c r="J121" s="217" t="n">
        <f aca="false">SIGN(J119+0.000000000001)*SIGN(J120+0.000000000001)</f>
        <v>1</v>
      </c>
      <c r="K121" s="217" t="n">
        <f aca="false">SIGN(K119+0.000000000001)*SIGN(K120+0.000000000001)</f>
        <v>1</v>
      </c>
      <c r="L121" s="217" t="n">
        <f aca="false">SIGN(L119+0.000000000001)*SIGN(L120+0.000000000001)</f>
        <v>1</v>
      </c>
      <c r="M121" s="217" t="n">
        <f aca="false">SIGN(M119+0.000000000001)*SIGN(M120+0.000000000001)</f>
        <v>1</v>
      </c>
      <c r="N121" s="217" t="n">
        <f aca="false">SIGN(N119+0.000000000001)*SIGN(N120+0.000000000001)</f>
        <v>1</v>
      </c>
      <c r="O121" s="217" t="n">
        <f aca="false">SIGN(O119+0.000000000001)*SIGN(O120+0.000000000001)</f>
        <v>1</v>
      </c>
      <c r="P121" s="217" t="n">
        <f aca="false">SIGN(P119+0.000000000001)*SIGN(P120+0.000000000001)</f>
        <v>1</v>
      </c>
      <c r="Q121" s="217" t="n">
        <f aca="false">SIGN(Q119+0.000000000001)*SIGN(Q120+0.000000000001)</f>
        <v>1</v>
      </c>
      <c r="R121" s="217" t="n">
        <f aca="false">SIGN(R119+0.000000000001)*SIGN(R120+0.000000000001)</f>
        <v>1</v>
      </c>
      <c r="S121" s="217" t="n">
        <f aca="false">SIGN(S119+0.000000000001)*SIGN(S120+0.000000000001)</f>
        <v>1</v>
      </c>
    </row>
    <row r="122" customFormat="false" ht="15.6" hidden="false" customHeight="false" outlineLevel="0" collapsed="false">
      <c r="G122" s="77" t="s">
        <v>292</v>
      </c>
      <c r="H122" s="161" t="n">
        <f aca="false">IF(H121*MIN(ABS(H119),ABS(H120))&gt;1,0,H121*MIN(ABS(H119),ABS(H120)))</f>
        <v>0</v>
      </c>
      <c r="I122" s="161" t="n">
        <f aca="false">IF(I121*MIN(ABS(I119),ABS(I120))&gt;1,0,I121*MIN(ABS(I119),ABS(I120)))</f>
        <v>0</v>
      </c>
      <c r="J122" s="161" t="n">
        <f aca="false">IF(J121*MIN(ABS(J119),ABS(J120))&gt;1,0,J121*MIN(ABS(J119),ABS(J120)))</f>
        <v>0</v>
      </c>
      <c r="K122" s="161" t="n">
        <f aca="false">IF(K121*MIN(ABS(K119),ABS(K120))&gt;1,0,K121*MIN(ABS(K119),ABS(K120)))</f>
        <v>0</v>
      </c>
      <c r="L122" s="161" t="n">
        <f aca="false">IF(L121*MIN(ABS(L119),ABS(L120))&gt;1,0,L121*MIN(ABS(L119),ABS(L120)))</f>
        <v>0</v>
      </c>
      <c r="M122" s="161" t="n">
        <f aca="false">IF(M121*MIN(ABS(M119),ABS(M120))&gt;1,0,M121*MIN(ABS(M119),ABS(M120)))</f>
        <v>0</v>
      </c>
      <c r="N122" s="161" t="n">
        <f aca="false">IF(N121*MIN(ABS(N119),ABS(N120))&gt;1,0,N121*MIN(ABS(N119),ABS(N120)))</f>
        <v>0</v>
      </c>
      <c r="O122" s="161" t="n">
        <f aca="false">IF(O121*MIN(ABS(O119),ABS(O120))&gt;1,0,O121*MIN(ABS(O119),ABS(O120)))</f>
        <v>0</v>
      </c>
      <c r="P122" s="161" t="n">
        <f aca="false">IF(P121*MIN(ABS(P119),ABS(P120))&gt;1,0,P121*MIN(ABS(P119),ABS(P120)))</f>
        <v>0</v>
      </c>
      <c r="Q122" s="161" t="n">
        <f aca="false">IF(Q121*MIN(ABS(Q119),ABS(Q120))&gt;1,0,Q121*MIN(ABS(Q119),ABS(Q120)))</f>
        <v>0</v>
      </c>
      <c r="R122" s="161" t="n">
        <f aca="false">IF(R121*MIN(ABS(R119),ABS(R120))&gt;1,0,R121*MIN(ABS(R119),ABS(R120)))</f>
        <v>0</v>
      </c>
      <c r="S122" s="161" t="n">
        <f aca="false">IF(S121*MIN(ABS(S119),ABS(S120))&gt;1,0,S121*MIN(ABS(S119),ABS(S120)))</f>
        <v>0</v>
      </c>
    </row>
  </sheetData>
  <mergeCells count="9">
    <mergeCell ref="E3:M3"/>
    <mergeCell ref="E4:M4"/>
    <mergeCell ref="F5:F10"/>
    <mergeCell ref="A22:M22"/>
    <mergeCell ref="H28:S28"/>
    <mergeCell ref="A32:C34"/>
    <mergeCell ref="H33:K33"/>
    <mergeCell ref="H37:K37"/>
    <mergeCell ref="H63:H68"/>
  </mergeCells>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drawing r:id="rId1"/>
</worksheet>
</file>

<file path=xl/worksheets/sheet11.xml><?xml version="1.0" encoding="utf-8"?>
<worksheet xmlns="http://schemas.openxmlformats.org/spreadsheetml/2006/main" xmlns:r="http://schemas.openxmlformats.org/officeDocument/2006/relationships">
  <sheetPr filterMode="false">
    <pageSetUpPr fitToPage="false"/>
  </sheetPr>
  <dimension ref="A1:T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2" activeCellId="0" sqref="I2"/>
    </sheetView>
  </sheetViews>
  <sheetFormatPr defaultRowHeight="15.6"/>
  <cols>
    <col collapsed="false" hidden="false" max="1" min="1" style="77" width="46.4481481481482"/>
    <col collapsed="false" hidden="false" max="2" min="2" style="77" width="20.2851851851852"/>
    <col collapsed="false" hidden="false" max="3" min="3" style="77" width="40.7666666666667"/>
    <col collapsed="false" hidden="false" max="4" min="4" style="77" width="12.2481481481481"/>
    <col collapsed="false" hidden="false" max="6" min="5" style="77" width="7.34814814814815"/>
    <col collapsed="false" hidden="false" max="7" min="7" style="77" width="27.1444444444444"/>
    <col collapsed="false" hidden="false" max="8" min="8" style="77" width="13.8185185185185"/>
    <col collapsed="false" hidden="false" max="11" min="9" style="77" width="11.2703703703704"/>
    <col collapsed="false" hidden="false" max="12" min="12" style="77" width="16.5592592592593"/>
    <col collapsed="false" hidden="false" max="1025" min="13" style="77" width="11.2703703703704"/>
  </cols>
  <sheetData>
    <row r="1" customFormat="false" ht="15.6" hidden="false" customHeight="false" outlineLevel="0" collapsed="false">
      <c r="A1" s="132" t="str">
        <f aca="false">'CSs and Loads'!A243</f>
        <v>CS 8</v>
      </c>
      <c r="B1" s="132" t="str">
        <f aca="false">'CSs and Loads'!A121</f>
        <v>Outboard legs</v>
      </c>
      <c r="C1" s="0"/>
      <c r="D1" s="0"/>
      <c r="E1" s="0"/>
      <c r="F1" s="0"/>
      <c r="G1" s="0"/>
      <c r="H1" s="0"/>
      <c r="I1" s="0"/>
      <c r="J1" s="0"/>
      <c r="K1" s="0"/>
      <c r="L1" s="0"/>
      <c r="M1" s="0"/>
      <c r="N1" s="0"/>
      <c r="O1" s="0"/>
      <c r="P1" s="0"/>
      <c r="Q1" s="0"/>
      <c r="R1" s="0"/>
      <c r="S1" s="0"/>
      <c r="T1" s="0"/>
    </row>
    <row r="2" customFormat="false" ht="15.6" hidden="false" customHeight="false" outlineLevel="0" collapsed="false">
      <c r="A2" s="134" t="s">
        <v>196</v>
      </c>
      <c r="B2" s="0"/>
      <c r="C2" s="0"/>
      <c r="D2" s="0"/>
      <c r="E2" s="0"/>
      <c r="F2" s="0"/>
      <c r="G2" s="0"/>
      <c r="H2" s="0"/>
      <c r="I2" s="291"/>
      <c r="J2" s="0"/>
      <c r="K2" s="0"/>
      <c r="L2" s="138"/>
      <c r="M2" s="138"/>
      <c r="N2" s="138"/>
      <c r="O2" s="0"/>
      <c r="P2" s="0"/>
      <c r="Q2" s="0"/>
      <c r="R2" s="0"/>
      <c r="S2" s="0"/>
      <c r="T2" s="0"/>
    </row>
    <row r="3" customFormat="false" ht="15.6" hidden="false" customHeight="false" outlineLevel="0" collapsed="false">
      <c r="A3" s="134" t="s">
        <v>197</v>
      </c>
      <c r="B3" s="0"/>
      <c r="C3" s="0"/>
      <c r="D3" s="0"/>
      <c r="E3" s="238" t="s">
        <v>198</v>
      </c>
      <c r="F3" s="238"/>
      <c r="G3" s="238"/>
      <c r="H3" s="238"/>
      <c r="I3" s="238"/>
      <c r="J3" s="238"/>
      <c r="K3" s="238"/>
      <c r="L3" s="238"/>
      <c r="M3" s="238"/>
      <c r="N3" s="0"/>
      <c r="O3" s="142"/>
      <c r="P3" s="142"/>
      <c r="Q3" s="142"/>
      <c r="R3" s="142"/>
      <c r="S3" s="0"/>
      <c r="T3" s="0"/>
    </row>
    <row r="4" customFormat="false" ht="15.6" hidden="false" customHeight="false" outlineLevel="0" collapsed="false">
      <c r="A4" s="134"/>
      <c r="B4" s="0"/>
      <c r="C4" s="134" t="s">
        <v>201</v>
      </c>
      <c r="D4" s="134"/>
      <c r="E4" s="143" t="s">
        <v>344</v>
      </c>
      <c r="F4" s="143"/>
      <c r="G4" s="143"/>
      <c r="H4" s="143"/>
      <c r="I4" s="143"/>
      <c r="J4" s="143"/>
      <c r="K4" s="143"/>
      <c r="L4" s="143"/>
      <c r="M4" s="143"/>
      <c r="N4" s="0"/>
      <c r="O4" s="142"/>
      <c r="P4" s="142"/>
      <c r="Q4" s="142"/>
      <c r="R4" s="142"/>
      <c r="S4" s="0"/>
      <c r="T4" s="0"/>
    </row>
    <row r="5" customFormat="false" ht="15.6" hidden="false" customHeight="false" outlineLevel="0" collapsed="false">
      <c r="A5" s="134"/>
      <c r="B5" s="0"/>
      <c r="C5" s="153" t="s">
        <v>205</v>
      </c>
      <c r="D5" s="134" t="n">
        <v>25</v>
      </c>
      <c r="E5" s="209" t="s">
        <v>206</v>
      </c>
      <c r="F5" s="210" t="s">
        <v>207</v>
      </c>
      <c r="G5" s="261" t="n">
        <v>0</v>
      </c>
      <c r="H5" s="261" t="n">
        <v>0</v>
      </c>
      <c r="I5" s="261" t="n">
        <v>0</v>
      </c>
      <c r="J5" s="261" t="n">
        <v>0</v>
      </c>
      <c r="K5" s="261" t="n">
        <v>0</v>
      </c>
      <c r="L5" s="261" t="n">
        <v>0</v>
      </c>
      <c r="M5" s="76" t="s">
        <v>208</v>
      </c>
      <c r="N5" s="0"/>
      <c r="O5" s="142"/>
      <c r="P5" s="142"/>
      <c r="Q5" s="142"/>
      <c r="R5" s="142"/>
      <c r="S5" s="0"/>
      <c r="T5" s="0"/>
    </row>
    <row r="6" customFormat="false" ht="15.6" hidden="false" customHeight="false" outlineLevel="0" collapsed="false">
      <c r="A6" s="134"/>
      <c r="B6" s="0"/>
      <c r="C6" s="153" t="s">
        <v>211</v>
      </c>
      <c r="D6" s="134" t="n">
        <f aca="false">1770*9.8</f>
        <v>17346</v>
      </c>
      <c r="E6" s="209" t="s">
        <v>212</v>
      </c>
      <c r="F6" s="210"/>
      <c r="G6" s="261" t="n">
        <v>0</v>
      </c>
      <c r="H6" s="261" t="n">
        <v>0</v>
      </c>
      <c r="I6" s="261" t="n">
        <v>0</v>
      </c>
      <c r="J6" s="261" t="n">
        <v>0</v>
      </c>
      <c r="K6" s="261" t="n">
        <v>0</v>
      </c>
      <c r="L6" s="261" t="n">
        <v>0</v>
      </c>
      <c r="M6" s="76" t="s">
        <v>213</v>
      </c>
      <c r="N6" s="0"/>
      <c r="O6" s="142"/>
      <c r="P6" s="142"/>
      <c r="Q6" s="142"/>
      <c r="R6" s="142"/>
      <c r="S6" s="0"/>
      <c r="T6" s="0"/>
    </row>
    <row r="7" customFormat="false" ht="15.6" hidden="false" customHeight="false" outlineLevel="0" collapsed="false">
      <c r="A7" s="134"/>
      <c r="B7" s="0"/>
      <c r="C7" s="153" t="s">
        <v>215</v>
      </c>
      <c r="D7" s="134" t="n">
        <f aca="false">647*1000</f>
        <v>647000</v>
      </c>
      <c r="E7" s="209" t="s">
        <v>216</v>
      </c>
      <c r="F7" s="210"/>
      <c r="G7" s="261" t="n">
        <v>0</v>
      </c>
      <c r="H7" s="261" t="n">
        <v>0</v>
      </c>
      <c r="I7" s="261" t="n">
        <v>0</v>
      </c>
      <c r="J7" s="261" t="n">
        <v>0</v>
      </c>
      <c r="K7" s="261" t="n">
        <v>0</v>
      </c>
      <c r="L7" s="261" t="n">
        <v>0</v>
      </c>
      <c r="M7" s="76" t="s">
        <v>217</v>
      </c>
      <c r="N7" s="0"/>
      <c r="O7" s="142"/>
      <c r="P7" s="142"/>
      <c r="Q7" s="142"/>
      <c r="R7" s="142"/>
      <c r="S7" s="0"/>
      <c r="T7" s="0"/>
    </row>
    <row r="8" customFormat="false" ht="15.6" hidden="false" customHeight="false" outlineLevel="0" collapsed="false">
      <c r="A8" s="134"/>
      <c r="B8" s="0"/>
      <c r="C8" s="153" t="s">
        <v>219</v>
      </c>
      <c r="D8" s="134" t="n">
        <v>3</v>
      </c>
      <c r="E8" s="209" t="s">
        <v>220</v>
      </c>
      <c r="F8" s="210"/>
      <c r="G8" s="261" t="n">
        <v>0</v>
      </c>
      <c r="H8" s="261" t="n">
        <v>0</v>
      </c>
      <c r="I8" s="261" t="n">
        <v>0</v>
      </c>
      <c r="J8" s="261" t="n">
        <v>0</v>
      </c>
      <c r="K8" s="261" t="n">
        <v>0</v>
      </c>
      <c r="L8" s="261" t="n">
        <v>0</v>
      </c>
      <c r="M8" s="76" t="s">
        <v>221</v>
      </c>
      <c r="N8" s="0"/>
      <c r="O8" s="142"/>
      <c r="P8" s="142"/>
      <c r="Q8" s="142"/>
      <c r="R8" s="142"/>
      <c r="S8" s="0"/>
      <c r="T8" s="0"/>
    </row>
    <row r="9" customFormat="false" ht="15.6" hidden="false" customHeight="false" outlineLevel="0" collapsed="false">
      <c r="A9" s="134"/>
      <c r="B9" s="0"/>
      <c r="C9" s="153" t="s">
        <v>223</v>
      </c>
      <c r="D9" s="134" t="n">
        <v>0.01</v>
      </c>
      <c r="E9" s="209" t="s">
        <v>224</v>
      </c>
      <c r="F9" s="210"/>
      <c r="G9" s="261" t="n">
        <v>0</v>
      </c>
      <c r="H9" s="261" t="n">
        <v>0</v>
      </c>
      <c r="I9" s="261" t="n">
        <v>0</v>
      </c>
      <c r="J9" s="261" t="n">
        <v>0</v>
      </c>
      <c r="K9" s="261" t="n">
        <v>0</v>
      </c>
      <c r="L9" s="261" t="n">
        <v>0</v>
      </c>
      <c r="M9" s="76" t="s">
        <v>225</v>
      </c>
      <c r="N9" s="0"/>
      <c r="O9" s="142"/>
      <c r="P9" s="142"/>
      <c r="Q9" s="142"/>
      <c r="R9" s="142"/>
      <c r="S9" s="0"/>
      <c r="T9" s="0"/>
    </row>
    <row r="10" customFormat="false" ht="15.6" hidden="false" customHeight="false" outlineLevel="0" collapsed="false">
      <c r="A10" s="134"/>
      <c r="B10" s="0"/>
      <c r="C10" s="153" t="s">
        <v>227</v>
      </c>
      <c r="D10" s="208" t="n">
        <f aca="false">D6/(D8*D9)</f>
        <v>578200</v>
      </c>
      <c r="E10" s="209" t="s">
        <v>228</v>
      </c>
      <c r="F10" s="210"/>
      <c r="G10" s="261" t="n">
        <v>0</v>
      </c>
      <c r="H10" s="261" t="n">
        <v>0</v>
      </c>
      <c r="I10" s="261" t="n">
        <v>0</v>
      </c>
      <c r="J10" s="261" t="n">
        <v>0</v>
      </c>
      <c r="K10" s="261" t="n">
        <v>0</v>
      </c>
      <c r="L10" s="261" t="n">
        <v>0</v>
      </c>
      <c r="M10" s="76" t="s">
        <v>229</v>
      </c>
      <c r="N10" s="0"/>
      <c r="O10" s="142"/>
      <c r="P10" s="142"/>
      <c r="Q10" s="142"/>
      <c r="R10" s="142"/>
      <c r="S10" s="0"/>
      <c r="T10" s="0"/>
    </row>
    <row r="11" customFormat="false" ht="15.6" hidden="false" customHeight="false" outlineLevel="0" collapsed="false">
      <c r="A11" s="134"/>
      <c r="B11" s="0"/>
      <c r="C11" s="153" t="s">
        <v>231</v>
      </c>
      <c r="D11" s="134" t="n">
        <v>25</v>
      </c>
      <c r="E11" s="0"/>
      <c r="F11" s="0"/>
      <c r="G11" s="0"/>
      <c r="H11" s="0"/>
      <c r="I11" s="0"/>
      <c r="J11" s="0"/>
      <c r="K11" s="0"/>
      <c r="L11" s="0"/>
      <c r="M11" s="0"/>
      <c r="N11" s="0"/>
      <c r="O11" s="142"/>
      <c r="P11" s="142"/>
      <c r="Q11" s="142"/>
      <c r="R11" s="142"/>
      <c r="S11" s="0"/>
      <c r="T11" s="0"/>
    </row>
    <row r="12" customFormat="false" ht="15.6" hidden="false" customHeight="false" outlineLevel="0" collapsed="false">
      <c r="A12" s="134"/>
      <c r="B12" s="0"/>
      <c r="C12" s="153" t="s">
        <v>233</v>
      </c>
      <c r="D12" s="155" t="n">
        <f aca="false">D7*D11^2/4</f>
        <v>101093750</v>
      </c>
      <c r="E12" s="0"/>
      <c r="F12" s="0"/>
      <c r="G12" s="0"/>
      <c r="H12" s="0"/>
      <c r="I12" s="0"/>
      <c r="J12" s="0"/>
      <c r="K12" s="0"/>
      <c r="L12" s="0"/>
      <c r="M12" s="0"/>
      <c r="N12" s="0"/>
      <c r="O12" s="142"/>
      <c r="P12" s="142"/>
      <c r="Q12" s="142"/>
      <c r="R12" s="142"/>
      <c r="S12" s="0"/>
      <c r="T12" s="0"/>
    </row>
    <row r="13" customFormat="false" ht="15.6" hidden="false" customHeight="false" outlineLevel="0" collapsed="false">
      <c r="A13" s="134"/>
      <c r="B13" s="0"/>
      <c r="C13" s="153" t="s">
        <v>235</v>
      </c>
      <c r="D13" s="155" t="n">
        <f aca="false">D7*D11^2/12</f>
        <v>33697916.6666667</v>
      </c>
      <c r="E13" s="0"/>
      <c r="F13" s="0"/>
      <c r="G13" s="0"/>
      <c r="H13" s="0"/>
      <c r="I13" s="0"/>
      <c r="J13" s="0"/>
      <c r="K13" s="0"/>
      <c r="L13" s="0"/>
      <c r="M13" s="0"/>
      <c r="N13" s="0"/>
      <c r="O13" s="142"/>
      <c r="P13" s="142"/>
      <c r="Q13" s="142"/>
      <c r="R13" s="142"/>
      <c r="S13" s="0"/>
      <c r="T13" s="0"/>
    </row>
    <row r="14" customFormat="false" ht="15.6" hidden="false" customHeight="false" outlineLevel="0" collapsed="false">
      <c r="A14" s="134"/>
      <c r="B14" s="0"/>
      <c r="C14" s="153" t="s">
        <v>237</v>
      </c>
      <c r="D14" s="155" t="n">
        <f aca="false">D13</f>
        <v>33697916.6666667</v>
      </c>
      <c r="E14" s="0"/>
      <c r="F14" s="0"/>
      <c r="G14" s="0"/>
      <c r="H14" s="0"/>
      <c r="I14" s="0"/>
      <c r="J14" s="0"/>
      <c r="K14" s="0"/>
      <c r="L14" s="0"/>
      <c r="M14" s="0"/>
      <c r="N14" s="0"/>
      <c r="O14" s="142"/>
      <c r="P14" s="142"/>
      <c r="Q14" s="142"/>
      <c r="R14" s="142"/>
      <c r="S14" s="0"/>
      <c r="T14" s="0"/>
    </row>
    <row r="15" customFormat="false" ht="15.6" hidden="false" customHeight="false" outlineLevel="0" collapsed="false">
      <c r="A15" s="134"/>
      <c r="B15" s="0"/>
      <c r="C15" s="247" t="s">
        <v>239</v>
      </c>
      <c r="D15" s="134"/>
      <c r="E15" s="0"/>
      <c r="F15" s="0"/>
      <c r="G15" s="0"/>
      <c r="H15" s="0"/>
      <c r="I15" s="0"/>
      <c r="J15" s="0"/>
      <c r="K15" s="0"/>
      <c r="L15" s="0"/>
      <c r="M15" s="0"/>
      <c r="N15" s="0"/>
      <c r="O15" s="142"/>
      <c r="P15" s="142"/>
      <c r="Q15" s="142"/>
      <c r="R15" s="142"/>
      <c r="S15" s="0"/>
      <c r="T15" s="0"/>
    </row>
    <row r="16" customFormat="false" ht="15.6" hidden="false" customHeight="false" outlineLevel="0" collapsed="false">
      <c r="A16" s="134"/>
      <c r="B16" s="0"/>
      <c r="C16" s="214" t="s">
        <v>241</v>
      </c>
      <c r="D16" s="134"/>
      <c r="E16" s="0"/>
      <c r="F16" s="0"/>
      <c r="G16" s="0"/>
      <c r="H16" s="0"/>
      <c r="I16" s="0"/>
      <c r="J16" s="0"/>
      <c r="K16" s="0"/>
      <c r="L16" s="0"/>
      <c r="M16" s="0"/>
      <c r="N16" s="0"/>
      <c r="O16" s="142"/>
      <c r="P16" s="142"/>
      <c r="Q16" s="142"/>
      <c r="R16" s="142"/>
      <c r="S16" s="0"/>
      <c r="T16" s="0"/>
    </row>
    <row r="17" customFormat="false" ht="15.6" hidden="false" customHeight="false" outlineLevel="0" collapsed="false">
      <c r="A17" s="134"/>
      <c r="B17" s="0"/>
      <c r="C17" s="242" t="s">
        <v>243</v>
      </c>
      <c r="D17" s="134" t="n">
        <v>18</v>
      </c>
      <c r="E17" s="0"/>
      <c r="F17" s="0"/>
      <c r="G17" s="0"/>
      <c r="H17" s="0"/>
      <c r="I17" s="0"/>
      <c r="J17" s="0"/>
      <c r="K17" s="0"/>
      <c r="L17" s="0"/>
      <c r="M17" s="0"/>
      <c r="N17" s="0"/>
      <c r="O17" s="142"/>
      <c r="P17" s="142"/>
      <c r="Q17" s="142"/>
      <c r="R17" s="142"/>
      <c r="S17" s="0"/>
      <c r="T17" s="0"/>
    </row>
    <row r="18" customFormat="false" ht="15.6" hidden="false" customHeight="false" outlineLevel="0" collapsed="false">
      <c r="A18" s="134"/>
      <c r="B18" s="0"/>
      <c r="C18" s="242" t="s">
        <v>232</v>
      </c>
      <c r="D18" s="134" t="n">
        <v>2500</v>
      </c>
      <c r="E18" s="0"/>
      <c r="F18" s="0"/>
      <c r="G18" s="0"/>
      <c r="H18" s="0"/>
      <c r="I18" s="0"/>
      <c r="J18" s="0"/>
      <c r="K18" s="0"/>
      <c r="L18" s="0"/>
      <c r="M18" s="0"/>
      <c r="N18" s="0"/>
      <c r="O18" s="142"/>
      <c r="P18" s="142"/>
      <c r="Q18" s="142"/>
      <c r="R18" s="142"/>
      <c r="S18" s="0"/>
      <c r="T18" s="0"/>
    </row>
    <row r="19" customFormat="false" ht="15.6" hidden="false" customHeight="false" outlineLevel="0" collapsed="false">
      <c r="A19" s="134"/>
      <c r="B19" s="0"/>
      <c r="C19" s="153" t="s">
        <v>246</v>
      </c>
      <c r="D19" s="264" t="n">
        <v>200000</v>
      </c>
      <c r="E19" s="0"/>
      <c r="F19" s="0"/>
      <c r="G19" s="0"/>
      <c r="H19" s="0"/>
      <c r="I19" s="0"/>
      <c r="J19" s="0"/>
      <c r="K19" s="0"/>
      <c r="L19" s="0"/>
      <c r="M19" s="0"/>
      <c r="N19" s="0"/>
      <c r="O19" s="142"/>
      <c r="P19" s="142"/>
      <c r="Q19" s="142"/>
      <c r="R19" s="142"/>
      <c r="S19" s="0"/>
      <c r="T19" s="0"/>
    </row>
    <row r="20" customFormat="false" ht="15.6" hidden="false" customHeight="false" outlineLevel="0" collapsed="false">
      <c r="A20" s="134"/>
      <c r="B20" s="0"/>
      <c r="C20" s="242" t="s">
        <v>248</v>
      </c>
      <c r="D20" s="175" t="n">
        <f aca="false">PI()*D17^2/4*D19/D18</f>
        <v>20357.5203952619</v>
      </c>
      <c r="E20" s="0"/>
      <c r="F20" s="0"/>
      <c r="G20" s="0"/>
      <c r="H20" s="0"/>
      <c r="I20" s="0"/>
      <c r="J20" s="0"/>
      <c r="K20" s="0"/>
      <c r="L20" s="0"/>
      <c r="M20" s="0"/>
      <c r="N20" s="0"/>
      <c r="O20" s="142"/>
      <c r="P20" s="142"/>
      <c r="Q20" s="142"/>
      <c r="R20" s="142"/>
      <c r="S20" s="0"/>
      <c r="T20" s="0"/>
    </row>
    <row r="21" customFormat="false" ht="16.2" hidden="false" customHeight="false" outlineLevel="0" collapsed="false">
      <c r="A21" s="134"/>
      <c r="B21" s="0"/>
      <c r="C21" s="153" t="s">
        <v>251</v>
      </c>
      <c r="D21" s="134" t="n">
        <v>3</v>
      </c>
      <c r="E21" s="0"/>
      <c r="F21" s="0"/>
      <c r="G21" s="0"/>
      <c r="H21" s="0"/>
      <c r="I21" s="0"/>
      <c r="J21" s="0"/>
      <c r="K21" s="0"/>
      <c r="L21" s="0"/>
      <c r="M21" s="0"/>
      <c r="N21" s="0"/>
      <c r="O21" s="142"/>
      <c r="P21" s="142"/>
      <c r="Q21" s="142"/>
      <c r="R21" s="142"/>
      <c r="S21" s="0"/>
      <c r="T21" s="0"/>
    </row>
    <row r="22" customFormat="false" ht="16.2" hidden="false" customHeight="false" outlineLevel="0" collapsed="false">
      <c r="A22" s="282" t="s">
        <v>340</v>
      </c>
      <c r="B22" s="282"/>
      <c r="C22" s="282"/>
      <c r="D22" s="282"/>
      <c r="E22" s="282"/>
      <c r="F22" s="282"/>
      <c r="G22" s="282"/>
      <c r="H22" s="282"/>
      <c r="I22" s="282"/>
      <c r="J22" s="282"/>
      <c r="K22" s="282"/>
      <c r="L22" s="282"/>
      <c r="M22" s="282"/>
      <c r="N22" s="0"/>
      <c r="O22" s="142"/>
      <c r="P22" s="142"/>
      <c r="Q22" s="142"/>
      <c r="R22" s="142"/>
      <c r="S22" s="0"/>
      <c r="T22" s="0"/>
    </row>
    <row r="23" customFormat="false" ht="31.2" hidden="false" customHeight="false" outlineLevel="0" collapsed="false">
      <c r="A23" s="184" t="s">
        <v>253</v>
      </c>
      <c r="B23" s="25"/>
      <c r="C23" s="205" t="s">
        <v>254</v>
      </c>
      <c r="D23" s="0"/>
      <c r="E23" s="0"/>
      <c r="F23" s="0"/>
      <c r="G23" s="0"/>
      <c r="H23" s="0"/>
      <c r="I23" s="0"/>
      <c r="J23" s="0"/>
      <c r="K23" s="0"/>
      <c r="L23" s="0"/>
      <c r="M23" s="0"/>
      <c r="N23" s="0"/>
      <c r="O23" s="142"/>
      <c r="P23" s="142"/>
      <c r="Q23" s="142"/>
      <c r="R23" s="142"/>
      <c r="S23" s="0"/>
      <c r="T23" s="0"/>
    </row>
    <row r="24" customFormat="false" ht="15.6" hidden="false" customHeight="false" outlineLevel="0" collapsed="false">
      <c r="A24" s="153" t="s">
        <v>255</v>
      </c>
      <c r="B24" s="25"/>
      <c r="C24" s="131"/>
      <c r="D24" s="0"/>
      <c r="E24" s="0"/>
      <c r="F24" s="0"/>
      <c r="G24" s="0"/>
      <c r="H24" s="0"/>
      <c r="I24" s="0"/>
      <c r="J24" s="0"/>
      <c r="K24" s="0"/>
      <c r="L24" s="0"/>
      <c r="M24" s="0"/>
      <c r="N24" s="0"/>
      <c r="O24" s="142"/>
      <c r="P24" s="142"/>
      <c r="Q24" s="142"/>
      <c r="R24" s="142"/>
      <c r="S24" s="0"/>
      <c r="T24" s="0"/>
    </row>
    <row r="25" customFormat="false" ht="15.6" hidden="false" customHeight="false" outlineLevel="0" collapsed="false">
      <c r="A25" s="87" t="s">
        <v>113</v>
      </c>
      <c r="B25" s="188" t="n">
        <f aca="false">SUM(H35:S35)+C25</f>
        <v>6785.84013175395</v>
      </c>
      <c r="C25" s="190" t="n">
        <f aca="false">D20/D21</f>
        <v>6785.84013175395</v>
      </c>
      <c r="D25" s="0"/>
      <c r="E25" s="0"/>
      <c r="F25" s="0"/>
      <c r="G25" s="0"/>
      <c r="H25" s="0"/>
      <c r="I25" s="0"/>
      <c r="J25" s="0"/>
      <c r="K25" s="0"/>
      <c r="L25" s="0"/>
      <c r="M25" s="0"/>
      <c r="N25" s="0"/>
      <c r="O25" s="142"/>
      <c r="P25" s="142"/>
      <c r="Q25" s="142"/>
      <c r="R25" s="142"/>
      <c r="S25" s="0"/>
      <c r="T25" s="0"/>
    </row>
    <row r="26" customFormat="false" ht="15.6" hidden="false" customHeight="false" outlineLevel="0" collapsed="false">
      <c r="A26" s="87" t="s">
        <v>116</v>
      </c>
      <c r="B26" s="188" t="n">
        <f aca="false">SUM(H36:S36)+C26</f>
        <v>2588000</v>
      </c>
      <c r="C26" s="189" t="n">
        <v>0</v>
      </c>
      <c r="D26" s="0"/>
      <c r="E26" s="0"/>
      <c r="F26" s="0"/>
      <c r="G26" s="191" t="s">
        <v>256</v>
      </c>
      <c r="H26" s="0"/>
      <c r="I26" s="0"/>
      <c r="J26" s="0"/>
      <c r="K26" s="0"/>
      <c r="L26" s="0"/>
      <c r="M26" s="0"/>
      <c r="N26" s="0"/>
      <c r="O26" s="142"/>
      <c r="P26" s="142"/>
      <c r="Q26" s="142"/>
      <c r="R26" s="142"/>
      <c r="S26" s="0"/>
      <c r="T26" s="0"/>
    </row>
    <row r="27" customFormat="false" ht="15.6" hidden="false" customHeight="false" outlineLevel="0" collapsed="false">
      <c r="A27" s="87" t="s">
        <v>118</v>
      </c>
      <c r="B27" s="188" t="n">
        <f aca="false">SUM(H37:S37)+C27</f>
        <v>2588000</v>
      </c>
      <c r="C27" s="189" t="n">
        <v>0</v>
      </c>
      <c r="D27" s="0"/>
      <c r="E27" s="0"/>
      <c r="F27" s="0"/>
      <c r="G27" s="134" t="s">
        <v>257</v>
      </c>
      <c r="H27" s="0"/>
      <c r="I27" s="0"/>
      <c r="J27" s="0"/>
      <c r="K27" s="0"/>
      <c r="L27" s="0"/>
      <c r="M27" s="0"/>
      <c r="N27" s="0"/>
      <c r="O27" s="142"/>
      <c r="P27" s="142"/>
      <c r="Q27" s="142"/>
      <c r="R27" s="142"/>
      <c r="S27" s="0"/>
      <c r="T27" s="0"/>
    </row>
    <row r="28" customFormat="false" ht="15.6" hidden="false" customHeight="false" outlineLevel="0" collapsed="false">
      <c r="A28" s="153" t="s">
        <v>258</v>
      </c>
      <c r="B28" s="25"/>
      <c r="C28" s="192"/>
      <c r="D28" s="87"/>
      <c r="E28" s="87"/>
      <c r="F28" s="87"/>
      <c r="G28" s="194" t="s">
        <v>259</v>
      </c>
      <c r="H28" s="195" t="n">
        <v>4</v>
      </c>
      <c r="I28" s="0"/>
      <c r="J28" s="0"/>
      <c r="K28" s="0"/>
      <c r="L28" s="0"/>
      <c r="M28" s="0"/>
      <c r="N28" s="0"/>
      <c r="O28" s="142"/>
      <c r="P28" s="142"/>
      <c r="Q28" s="142"/>
      <c r="R28" s="142"/>
      <c r="S28" s="0"/>
      <c r="T28" s="0"/>
    </row>
    <row r="29" customFormat="false" ht="15.6" hidden="false" customHeight="false" outlineLevel="0" collapsed="false">
      <c r="A29" s="87" t="s">
        <v>120</v>
      </c>
      <c r="B29" s="188" t="n">
        <f aca="false">SUM(H39:S39)+SUM(H43:S43)+C29</f>
        <v>6874375000</v>
      </c>
      <c r="C29" s="189" t="n">
        <v>0</v>
      </c>
      <c r="D29" s="87"/>
      <c r="E29" s="87"/>
      <c r="F29" s="87"/>
      <c r="G29" s="0"/>
      <c r="H29" s="76" t="s">
        <v>260</v>
      </c>
      <c r="I29" s="76"/>
      <c r="J29" s="76"/>
      <c r="K29" s="76"/>
      <c r="L29" s="76"/>
      <c r="M29" s="76"/>
      <c r="N29" s="76"/>
      <c r="O29" s="76"/>
      <c r="P29" s="76"/>
      <c r="Q29" s="76"/>
      <c r="R29" s="76"/>
      <c r="S29" s="76"/>
      <c r="T29" s="0"/>
    </row>
    <row r="30" customFormat="false" ht="15.6" hidden="false" customHeight="false" outlineLevel="0" collapsed="false">
      <c r="A30" s="87" t="s">
        <v>123</v>
      </c>
      <c r="B30" s="188" t="n">
        <f aca="false">SUM(H40:S40)+SUM(H44:S44)+C30</f>
        <v>6604791666.66667</v>
      </c>
      <c r="C30" s="189" t="n">
        <v>0</v>
      </c>
      <c r="D30" s="87"/>
      <c r="E30" s="87"/>
      <c r="F30" s="87"/>
      <c r="G30" s="134" t="s">
        <v>261</v>
      </c>
      <c r="H30" s="85" t="n">
        <v>1</v>
      </c>
      <c r="I30" s="85" t="n">
        <f aca="false">H30+1</f>
        <v>2</v>
      </c>
      <c r="J30" s="85" t="n">
        <f aca="false">I30+1</f>
        <v>3</v>
      </c>
      <c r="K30" s="85" t="n">
        <f aca="false">J30+1</f>
        <v>4</v>
      </c>
      <c r="L30" s="85" t="n">
        <f aca="false">K30+1</f>
        <v>5</v>
      </c>
      <c r="M30" s="85" t="n">
        <f aca="false">L30+1</f>
        <v>6</v>
      </c>
      <c r="N30" s="85" t="n">
        <f aca="false">M30+1</f>
        <v>7</v>
      </c>
      <c r="O30" s="85" t="n">
        <f aca="false">N30+1</f>
        <v>8</v>
      </c>
      <c r="P30" s="85" t="n">
        <f aca="false">O30+1</f>
        <v>9</v>
      </c>
      <c r="Q30" s="85" t="n">
        <f aca="false">P30+1</f>
        <v>10</v>
      </c>
      <c r="R30" s="85" t="n">
        <f aca="false">Q30+1</f>
        <v>11</v>
      </c>
      <c r="S30" s="85" t="n">
        <f aca="false">R30+1</f>
        <v>12</v>
      </c>
      <c r="T30" s="0"/>
    </row>
    <row r="31" customFormat="false" ht="15.6" hidden="false" customHeight="false" outlineLevel="0" collapsed="false">
      <c r="A31" s="87" t="s">
        <v>125</v>
      </c>
      <c r="B31" s="188" t="n">
        <f aca="false">SUM(H41:S41)+SUM(H45:S45)+C31</f>
        <v>6604791666.66667</v>
      </c>
      <c r="C31" s="189" t="n">
        <v>0</v>
      </c>
      <c r="D31" s="87"/>
      <c r="E31" s="87"/>
      <c r="F31" s="87"/>
      <c r="G31" s="153" t="s">
        <v>262</v>
      </c>
      <c r="H31" s="195" t="n">
        <v>50</v>
      </c>
      <c r="I31" s="195" t="n">
        <v>-50</v>
      </c>
      <c r="J31" s="195" t="n">
        <v>-50</v>
      </c>
      <c r="K31" s="195" t="n">
        <v>50</v>
      </c>
      <c r="L31" s="195" t="n">
        <v>0</v>
      </c>
      <c r="M31" s="195" t="n">
        <v>0</v>
      </c>
      <c r="N31" s="195" t="n">
        <v>0</v>
      </c>
      <c r="O31" s="195" t="n">
        <v>0</v>
      </c>
      <c r="P31" s="195" t="n">
        <v>0</v>
      </c>
      <c r="Q31" s="195" t="n">
        <v>0</v>
      </c>
      <c r="R31" s="195" t="n">
        <v>0</v>
      </c>
      <c r="S31" s="195" t="n">
        <v>0</v>
      </c>
      <c r="T31" s="0"/>
    </row>
    <row r="32" customFormat="false" ht="15.6" hidden="false" customHeight="true" outlineLevel="0" collapsed="false">
      <c r="A32" s="207" t="s">
        <v>264</v>
      </c>
      <c r="B32" s="207"/>
      <c r="C32" s="207"/>
      <c r="D32" s="87"/>
      <c r="E32" s="87"/>
      <c r="F32" s="87"/>
      <c r="G32" s="153" t="s">
        <v>265</v>
      </c>
      <c r="H32" s="195" t="n">
        <v>0</v>
      </c>
      <c r="I32" s="195" t="n">
        <v>0</v>
      </c>
      <c r="J32" s="195" t="n">
        <v>0</v>
      </c>
      <c r="K32" s="195" t="n">
        <v>0</v>
      </c>
      <c r="L32" s="195" t="n">
        <v>0</v>
      </c>
      <c r="M32" s="195" t="n">
        <v>0</v>
      </c>
      <c r="N32" s="195" t="n">
        <v>0</v>
      </c>
      <c r="O32" s="195" t="n">
        <v>0</v>
      </c>
      <c r="P32" s="195" t="n">
        <v>0</v>
      </c>
      <c r="Q32" s="195" t="n">
        <v>0</v>
      </c>
      <c r="R32" s="195" t="n">
        <v>0</v>
      </c>
      <c r="S32" s="195" t="n">
        <v>0</v>
      </c>
      <c r="T32" s="0"/>
    </row>
    <row r="33" customFormat="false" ht="15.6" hidden="false" customHeight="false" outlineLevel="0" collapsed="false">
      <c r="A33" s="207"/>
      <c r="B33" s="207"/>
      <c r="C33" s="207"/>
      <c r="D33" s="87"/>
      <c r="E33" s="87"/>
      <c r="F33" s="87"/>
      <c r="G33" s="153" t="s">
        <v>267</v>
      </c>
      <c r="H33" s="195" t="n">
        <v>50</v>
      </c>
      <c r="I33" s="195" t="n">
        <v>50</v>
      </c>
      <c r="J33" s="195" t="n">
        <v>-50</v>
      </c>
      <c r="K33" s="195" t="n">
        <v>-50</v>
      </c>
      <c r="L33" s="195" t="n">
        <v>0</v>
      </c>
      <c r="M33" s="195" t="n">
        <v>0</v>
      </c>
      <c r="N33" s="195" t="n">
        <v>0</v>
      </c>
      <c r="O33" s="195" t="n">
        <v>0</v>
      </c>
      <c r="P33" s="195" t="n">
        <v>0</v>
      </c>
      <c r="Q33" s="195" t="n">
        <v>0</v>
      </c>
      <c r="R33" s="195" t="n">
        <v>0</v>
      </c>
      <c r="S33" s="195" t="n">
        <v>0</v>
      </c>
      <c r="T33" s="0"/>
    </row>
    <row r="34" customFormat="false" ht="15.6" hidden="false" customHeight="false" outlineLevel="0" collapsed="false">
      <c r="A34" s="207"/>
      <c r="B34" s="207"/>
      <c r="C34" s="207"/>
      <c r="D34" s="0"/>
      <c r="E34" s="0"/>
      <c r="F34" s="0"/>
      <c r="G34" s="134" t="s">
        <v>270</v>
      </c>
      <c r="H34" s="238"/>
      <c r="I34" s="238"/>
      <c r="J34" s="238"/>
      <c r="K34" s="238"/>
      <c r="L34" s="0"/>
      <c r="M34" s="0"/>
      <c r="N34" s="0"/>
      <c r="O34" s="0"/>
      <c r="P34" s="0"/>
      <c r="Q34" s="0"/>
      <c r="R34" s="0"/>
      <c r="S34" s="0"/>
      <c r="T34" s="0"/>
    </row>
    <row r="35" customFormat="false" ht="15.6" hidden="false" customHeight="false" outlineLevel="0" collapsed="false">
      <c r="A35" s="201" t="s">
        <v>271</v>
      </c>
      <c r="B35" s="195"/>
      <c r="C35" s="195"/>
      <c r="D35" s="87"/>
      <c r="E35" s="87"/>
      <c r="F35" s="87"/>
      <c r="G35" s="153" t="s">
        <v>113</v>
      </c>
      <c r="H35" s="202" t="n">
        <v>0</v>
      </c>
      <c r="I35" s="202" t="n">
        <v>0</v>
      </c>
      <c r="J35" s="202" t="n">
        <v>0</v>
      </c>
      <c r="K35" s="202" t="n">
        <v>0</v>
      </c>
      <c r="L35" s="195" t="n">
        <v>0</v>
      </c>
      <c r="M35" s="195" t="n">
        <v>0</v>
      </c>
      <c r="N35" s="195" t="n">
        <v>0</v>
      </c>
      <c r="O35" s="195" t="n">
        <v>0</v>
      </c>
      <c r="P35" s="195" t="n">
        <v>0</v>
      </c>
      <c r="Q35" s="195" t="n">
        <v>0</v>
      </c>
      <c r="R35" s="195" t="n">
        <v>0</v>
      </c>
      <c r="S35" s="195" t="n">
        <v>0</v>
      </c>
      <c r="T35" s="0"/>
    </row>
    <row r="36" customFormat="false" ht="15.6" hidden="false" customHeight="false" outlineLevel="0" collapsed="false">
      <c r="A36" s="77" t="s">
        <v>28</v>
      </c>
      <c r="B36" s="0"/>
      <c r="C36" s="0"/>
      <c r="D36" s="87"/>
      <c r="E36" s="87"/>
      <c r="F36" s="87"/>
      <c r="G36" s="153" t="s">
        <v>116</v>
      </c>
      <c r="H36" s="202" t="n">
        <f aca="false">'ref bearings, servo, structure'!B5</f>
        <v>647000</v>
      </c>
      <c r="I36" s="202" t="n">
        <f aca="false">H36</f>
        <v>647000</v>
      </c>
      <c r="J36" s="202" t="n">
        <f aca="false">I36</f>
        <v>647000</v>
      </c>
      <c r="K36" s="202" t="n">
        <f aca="false">J36</f>
        <v>647000</v>
      </c>
      <c r="L36" s="195" t="n">
        <v>0</v>
      </c>
      <c r="M36" s="195" t="n">
        <v>0</v>
      </c>
      <c r="N36" s="195" t="n">
        <v>0</v>
      </c>
      <c r="O36" s="195" t="n">
        <v>0</v>
      </c>
      <c r="P36" s="195" t="n">
        <v>0</v>
      </c>
      <c r="Q36" s="195" t="n">
        <v>0</v>
      </c>
      <c r="R36" s="195" t="n">
        <v>0</v>
      </c>
      <c r="S36" s="195" t="n">
        <v>0</v>
      </c>
      <c r="T36" s="0"/>
    </row>
    <row r="37" customFormat="false" ht="15.6" hidden="false" customHeight="false" outlineLevel="0" collapsed="false">
      <c r="A37" s="153" t="s">
        <v>273</v>
      </c>
      <c r="B37" s="195" t="n">
        <v>0</v>
      </c>
      <c r="C37" s="0"/>
      <c r="D37" s="87"/>
      <c r="E37" s="87"/>
      <c r="F37" s="87"/>
      <c r="G37" s="153" t="s">
        <v>118</v>
      </c>
      <c r="H37" s="202" t="n">
        <f aca="false">H36</f>
        <v>647000</v>
      </c>
      <c r="I37" s="202" t="n">
        <f aca="false">I36</f>
        <v>647000</v>
      </c>
      <c r="J37" s="202" t="n">
        <f aca="false">J36</f>
        <v>647000</v>
      </c>
      <c r="K37" s="202" t="n">
        <f aca="false">K36</f>
        <v>647000</v>
      </c>
      <c r="L37" s="195" t="n">
        <v>0</v>
      </c>
      <c r="M37" s="195" t="n">
        <v>0</v>
      </c>
      <c r="N37" s="195" t="n">
        <v>0</v>
      </c>
      <c r="O37" s="195" t="n">
        <v>0</v>
      </c>
      <c r="P37" s="195" t="n">
        <v>0</v>
      </c>
      <c r="Q37" s="195" t="n">
        <v>0</v>
      </c>
      <c r="R37" s="195" t="n">
        <v>0</v>
      </c>
      <c r="S37" s="195" t="n">
        <v>0</v>
      </c>
      <c r="T37" s="0"/>
    </row>
    <row r="38" customFormat="false" ht="15.6" hidden="false" customHeight="false" outlineLevel="0" collapsed="false">
      <c r="A38" s="153" t="s">
        <v>274</v>
      </c>
      <c r="B38" s="195" t="n">
        <v>0</v>
      </c>
      <c r="C38" s="0"/>
      <c r="D38" s="87"/>
      <c r="E38" s="87"/>
      <c r="F38" s="87"/>
      <c r="G38" s="134" t="s">
        <v>275</v>
      </c>
      <c r="H38" s="238"/>
      <c r="I38" s="238"/>
      <c r="J38" s="238"/>
      <c r="K38" s="238"/>
      <c r="L38" s="0"/>
      <c r="M38" s="0"/>
      <c r="N38" s="0"/>
      <c r="O38" s="0"/>
      <c r="P38" s="0"/>
      <c r="Q38" s="0"/>
      <c r="R38" s="0"/>
      <c r="S38" s="0"/>
      <c r="T38" s="0"/>
    </row>
    <row r="39" customFormat="false" ht="15.6" hidden="false" customHeight="false" outlineLevel="0" collapsed="false">
      <c r="A39" s="153" t="s">
        <v>276</v>
      </c>
      <c r="B39" s="195" t="n">
        <v>0</v>
      </c>
      <c r="C39" s="0"/>
      <c r="D39" s="87"/>
      <c r="E39" s="87"/>
      <c r="F39" s="87"/>
      <c r="G39" s="153" t="s">
        <v>120</v>
      </c>
      <c r="H39" s="202" t="n">
        <f aca="false">'ref bearings, servo, structure'!B10</f>
        <v>101093750</v>
      </c>
      <c r="I39" s="202" t="n">
        <f aca="false">H39</f>
        <v>101093750</v>
      </c>
      <c r="J39" s="202" t="n">
        <f aca="false">I39</f>
        <v>101093750</v>
      </c>
      <c r="K39" s="202" t="n">
        <f aca="false">J39</f>
        <v>101093750</v>
      </c>
      <c r="L39" s="195" t="n">
        <v>0</v>
      </c>
      <c r="M39" s="195" t="n">
        <v>0</v>
      </c>
      <c r="N39" s="195" t="n">
        <v>0</v>
      </c>
      <c r="O39" s="195" t="n">
        <v>0</v>
      </c>
      <c r="P39" s="195" t="n">
        <v>0</v>
      </c>
      <c r="Q39" s="195" t="n">
        <v>0</v>
      </c>
      <c r="R39" s="195" t="n">
        <v>0</v>
      </c>
      <c r="S39" s="195" t="n">
        <v>0</v>
      </c>
      <c r="T39" s="0"/>
    </row>
    <row r="40" customFormat="false" ht="15.6" hidden="false" customHeight="false" outlineLevel="0" collapsed="false">
      <c r="A40" s="165" t="s">
        <v>29</v>
      </c>
      <c r="B40" s="0"/>
      <c r="C40" s="0"/>
      <c r="D40" s="87"/>
      <c r="E40" s="87"/>
      <c r="F40" s="87"/>
      <c r="G40" s="153" t="s">
        <v>123</v>
      </c>
      <c r="H40" s="202" t="n">
        <f aca="false">'ref bearings, servo, structure'!B12</f>
        <v>33697916.6666667</v>
      </c>
      <c r="I40" s="202" t="n">
        <f aca="false">H40</f>
        <v>33697916.6666667</v>
      </c>
      <c r="J40" s="202" t="n">
        <f aca="false">I40</f>
        <v>33697916.6666667</v>
      </c>
      <c r="K40" s="202" t="n">
        <f aca="false">J40</f>
        <v>33697916.6666667</v>
      </c>
      <c r="L40" s="195" t="n">
        <v>0</v>
      </c>
      <c r="M40" s="195" t="n">
        <v>0</v>
      </c>
      <c r="N40" s="195" t="n">
        <v>0</v>
      </c>
      <c r="O40" s="195" t="n">
        <v>0</v>
      </c>
      <c r="P40" s="195" t="n">
        <v>0</v>
      </c>
      <c r="Q40" s="195" t="n">
        <v>0</v>
      </c>
      <c r="R40" s="195" t="n">
        <v>0</v>
      </c>
      <c r="S40" s="195" t="n">
        <v>0</v>
      </c>
      <c r="T40" s="0"/>
    </row>
    <row r="41" customFormat="false" ht="15.6" hidden="false" customHeight="false" outlineLevel="0" collapsed="false">
      <c r="A41" s="153" t="s">
        <v>273</v>
      </c>
      <c r="B41" s="195" t="n">
        <v>0</v>
      </c>
      <c r="C41" s="0"/>
      <c r="D41" s="0"/>
      <c r="E41" s="0"/>
      <c r="F41" s="0"/>
      <c r="G41" s="153" t="s">
        <v>125</v>
      </c>
      <c r="H41" s="202" t="n">
        <f aca="false">'ref bearings, servo, structure'!B11</f>
        <v>33697916.6666667</v>
      </c>
      <c r="I41" s="202" t="n">
        <f aca="false">H41</f>
        <v>33697916.6666667</v>
      </c>
      <c r="J41" s="202" t="n">
        <f aca="false">I41</f>
        <v>33697916.6666667</v>
      </c>
      <c r="K41" s="202" t="n">
        <f aca="false">J41</f>
        <v>33697916.6666667</v>
      </c>
      <c r="L41" s="195" t="n">
        <v>0</v>
      </c>
      <c r="M41" s="195" t="n">
        <v>0</v>
      </c>
      <c r="N41" s="195" t="n">
        <v>0</v>
      </c>
      <c r="O41" s="195" t="n">
        <v>0</v>
      </c>
      <c r="P41" s="195" t="n">
        <v>0</v>
      </c>
      <c r="Q41" s="195" t="n">
        <v>0</v>
      </c>
      <c r="R41" s="195" t="n">
        <v>0</v>
      </c>
      <c r="S41" s="195" t="n">
        <v>0</v>
      </c>
      <c r="T41" s="0"/>
    </row>
    <row r="42" customFormat="false" ht="15.6" hidden="false" customHeight="false" outlineLevel="0" collapsed="false">
      <c r="A42" s="153" t="s">
        <v>274</v>
      </c>
      <c r="B42" s="195" t="n">
        <v>0</v>
      </c>
      <c r="C42" s="0"/>
      <c r="D42" s="205"/>
      <c r="E42" s="205"/>
      <c r="F42" s="205"/>
      <c r="G42" s="134" t="s">
        <v>277</v>
      </c>
      <c r="H42" s="0"/>
      <c r="I42" s="0"/>
      <c r="J42" s="0"/>
      <c r="K42" s="0"/>
      <c r="L42" s="0"/>
      <c r="M42" s="0"/>
      <c r="N42" s="0"/>
      <c r="O42" s="0"/>
      <c r="P42" s="0"/>
      <c r="Q42" s="0"/>
      <c r="R42" s="0"/>
      <c r="S42" s="0"/>
      <c r="T42" s="0"/>
    </row>
    <row r="43" customFormat="false" ht="15.6" hidden="false" customHeight="false" outlineLevel="0" collapsed="false">
      <c r="A43" s="153" t="s">
        <v>276</v>
      </c>
      <c r="B43" s="195" t="n">
        <v>0</v>
      </c>
      <c r="C43" s="0"/>
      <c r="D43" s="131"/>
      <c r="E43" s="131"/>
      <c r="F43" s="131"/>
      <c r="G43" s="153" t="s">
        <v>120</v>
      </c>
      <c r="H43" s="188" t="n">
        <f aca="false">H36*H33^2+H37*H32^2</f>
        <v>1617500000</v>
      </c>
      <c r="I43" s="188" t="n">
        <f aca="false">I36*I33^2+I37*I32^2</f>
        <v>1617500000</v>
      </c>
      <c r="J43" s="188" t="n">
        <f aca="false">J36*J33^2+J37*J32^2</f>
        <v>1617500000</v>
      </c>
      <c r="K43" s="188" t="n">
        <f aca="false">K36*K33^2+K37*K32^2</f>
        <v>1617500000</v>
      </c>
      <c r="L43" s="24" t="n">
        <f aca="false">L36*L33^2+L37*L32^2</f>
        <v>0</v>
      </c>
      <c r="M43" s="24" t="n">
        <f aca="false">M36*M33^2+M37*M32^2</f>
        <v>0</v>
      </c>
      <c r="N43" s="24" t="n">
        <f aca="false">N36*N33^2+N37*N32^2</f>
        <v>0</v>
      </c>
      <c r="O43" s="24" t="n">
        <f aca="false">O36*O33^2+O37*O32^2</f>
        <v>0</v>
      </c>
      <c r="P43" s="24" t="n">
        <f aca="false">P36*P33^2+P37*P32^2</f>
        <v>0</v>
      </c>
      <c r="Q43" s="24" t="n">
        <f aca="false">Q36*Q33^2+Q37*Q32^2</f>
        <v>0</v>
      </c>
      <c r="R43" s="24" t="n">
        <f aca="false">R36*R33^2+R37*R32^2</f>
        <v>0</v>
      </c>
      <c r="S43" s="24" t="n">
        <f aca="false">S36*S33^2+S37*S32^2</f>
        <v>0</v>
      </c>
      <c r="T43" s="0"/>
    </row>
    <row r="44" customFormat="false" ht="15.6" hidden="false" customHeight="false" outlineLevel="0" collapsed="false">
      <c r="A44" s="76" t="s">
        <v>278</v>
      </c>
      <c r="B44" s="0"/>
      <c r="C44" s="0"/>
      <c r="D44" s="189"/>
      <c r="E44" s="189"/>
      <c r="F44" s="189"/>
      <c r="G44" s="153" t="s">
        <v>123</v>
      </c>
      <c r="H44" s="188" t="n">
        <f aca="false">H35*H33^2+H37*H31^2</f>
        <v>1617500000</v>
      </c>
      <c r="I44" s="188" t="n">
        <f aca="false">I35*I33^2+I37*I31^2</f>
        <v>1617500000</v>
      </c>
      <c r="J44" s="188" t="n">
        <f aca="false">J35*J33^2+J37*J31^2</f>
        <v>1617500000</v>
      </c>
      <c r="K44" s="188" t="n">
        <f aca="false">K35*K33^2+K37*K31^2</f>
        <v>1617500000</v>
      </c>
      <c r="L44" s="24" t="n">
        <f aca="false">L35*L33^2+L37*L31^2</f>
        <v>0</v>
      </c>
      <c r="M44" s="24" t="n">
        <f aca="false">M35*M33^2+M37*M31^2</f>
        <v>0</v>
      </c>
      <c r="N44" s="24" t="n">
        <f aca="false">N35*N33^2+N37*N31^2</f>
        <v>0</v>
      </c>
      <c r="O44" s="24" t="n">
        <f aca="false">O35*O33^2+O37*O31^2</f>
        <v>0</v>
      </c>
      <c r="P44" s="24" t="n">
        <f aca="false">P35*P33^2+P37*P31^2</f>
        <v>0</v>
      </c>
      <c r="Q44" s="24" t="n">
        <f aca="false">Q35*Q33^2+Q37*Q31^2</f>
        <v>0</v>
      </c>
      <c r="R44" s="24" t="n">
        <f aca="false">R35*R33^2+R37*R31^2</f>
        <v>0</v>
      </c>
      <c r="S44" s="24" t="n">
        <f aca="false">S35*S33^2+S37*S31^2</f>
        <v>0</v>
      </c>
      <c r="T44" s="0"/>
    </row>
    <row r="45" customFormat="false" ht="15.6" hidden="false" customHeight="false" outlineLevel="0" collapsed="false">
      <c r="A45" s="153" t="s">
        <v>279</v>
      </c>
      <c r="B45" s="24" t="n">
        <f aca="false">SQRT((H47^2+I47^2+J47^2+K47^2+L47^2+M47^2+N47^2+O47^2+P47^2+Q47^2+R47^2+S47^2)/H$28)</f>
        <v>0.005</v>
      </c>
      <c r="C45" s="87"/>
      <c r="D45" s="189"/>
      <c r="E45" s="189"/>
      <c r="F45" s="189"/>
      <c r="G45" s="153" t="s">
        <v>125</v>
      </c>
      <c r="H45" s="188" t="n">
        <f aca="false">H35*H32^2+H36*H31^2</f>
        <v>1617500000</v>
      </c>
      <c r="I45" s="188" t="n">
        <f aca="false">I35*I32^2+I36*I31^2</f>
        <v>1617500000</v>
      </c>
      <c r="J45" s="188" t="n">
        <f aca="false">J35*J32^2+J36*J31^2</f>
        <v>1617500000</v>
      </c>
      <c r="K45" s="188" t="n">
        <f aca="false">K35*K32^2+K36*K31^2</f>
        <v>1617500000</v>
      </c>
      <c r="L45" s="24" t="n">
        <f aca="false">L35*L32^2+L36*L31^2</f>
        <v>0</v>
      </c>
      <c r="M45" s="24" t="n">
        <f aca="false">M35*M32^2+M36*M31^2</f>
        <v>0</v>
      </c>
      <c r="N45" s="24" t="n">
        <f aca="false">N35*N32^2+N36*N31^2</f>
        <v>0</v>
      </c>
      <c r="O45" s="24" t="n">
        <f aca="false">O35*O32^2+O36*O31^2</f>
        <v>0</v>
      </c>
      <c r="P45" s="24" t="n">
        <f aca="false">P35*P32^2+P36*P31^2</f>
        <v>0</v>
      </c>
      <c r="Q45" s="24" t="n">
        <f aca="false">Q35*Q32^2+Q36*Q31^2</f>
        <v>0</v>
      </c>
      <c r="R45" s="24" t="n">
        <f aca="false">R35*R32^2+R36*R31^2</f>
        <v>0</v>
      </c>
      <c r="S45" s="24" t="n">
        <f aca="false">S35*S32^2+S36*S31^2</f>
        <v>0</v>
      </c>
      <c r="T45" s="0"/>
    </row>
    <row r="46" customFormat="false" ht="15.6" hidden="false" customHeight="false" outlineLevel="0" collapsed="false">
      <c r="A46" s="153" t="s">
        <v>280</v>
      </c>
      <c r="B46" s="24" t="n">
        <f aca="false">SQRT((H48^2+I48^2+J48^2+K48^2+L48^2+M48^2+N48^2+O48^2+P48^2+Q48^2+R48^2+S48^2)/H$28)</f>
        <v>0.005</v>
      </c>
      <c r="C46" s="87"/>
      <c r="D46" s="189"/>
      <c r="E46" s="189"/>
      <c r="F46" s="189"/>
      <c r="G46" s="134" t="s">
        <v>281</v>
      </c>
      <c r="H46" s="0"/>
      <c r="I46" s="0"/>
      <c r="J46" s="0"/>
      <c r="K46" s="0"/>
      <c r="L46" s="0"/>
      <c r="M46" s="0"/>
      <c r="N46" s="0"/>
      <c r="O46" s="0"/>
      <c r="P46" s="0"/>
      <c r="Q46" s="0"/>
      <c r="R46" s="0"/>
      <c r="S46" s="0"/>
      <c r="T46" s="0"/>
    </row>
    <row r="47" customFormat="false" ht="15.6" hidden="false" customHeight="false" outlineLevel="0" collapsed="false">
      <c r="A47" s="153" t="s">
        <v>282</v>
      </c>
      <c r="B47" s="24" t="n">
        <f aca="false">SQRT((H49^2+I49^2+J49^2+K49^2+L49^2+M49^2+N49^2+O49^2+P49^2+Q49^2+R49^2+S49^2)/H$28)</f>
        <v>0.005</v>
      </c>
      <c r="C47" s="87"/>
      <c r="D47" s="192"/>
      <c r="E47" s="192"/>
      <c r="F47" s="192"/>
      <c r="G47" s="153" t="s">
        <v>279</v>
      </c>
      <c r="H47" s="195" t="n">
        <f aca="false">0.005</f>
        <v>0.005</v>
      </c>
      <c r="I47" s="195" t="n">
        <f aca="false">0.005</f>
        <v>0.005</v>
      </c>
      <c r="J47" s="195" t="n">
        <f aca="false">0.005</f>
        <v>0.005</v>
      </c>
      <c r="K47" s="195" t="n">
        <f aca="false">0.005</f>
        <v>0.005</v>
      </c>
      <c r="L47" s="195" t="n">
        <v>0</v>
      </c>
      <c r="M47" s="195" t="n">
        <v>0</v>
      </c>
      <c r="N47" s="195" t="n">
        <v>0</v>
      </c>
      <c r="O47" s="195" t="n">
        <v>0</v>
      </c>
      <c r="P47" s="195" t="n">
        <v>0</v>
      </c>
      <c r="Q47" s="195" t="n">
        <v>0</v>
      </c>
      <c r="R47" s="195" t="n">
        <v>0</v>
      </c>
      <c r="S47" s="195" t="n">
        <v>0</v>
      </c>
      <c r="T47" s="0"/>
    </row>
    <row r="48" customFormat="false" ht="15.6" hidden="false" customHeight="false" outlineLevel="0" collapsed="false">
      <c r="A48" s="153" t="s">
        <v>97</v>
      </c>
      <c r="B48" s="24" t="n">
        <f aca="false">SQRT((H51^2+I51^2+J51^2+K51^2+L51^2+M51^2+N51^2+O51^2+P51^2+Q51^2+R51^2+S51^2+B37^2)/H$28)</f>
        <v>0.0001</v>
      </c>
      <c r="C48" s="87"/>
      <c r="D48" s="189"/>
      <c r="E48" s="189"/>
      <c r="F48" s="189"/>
      <c r="G48" s="153" t="s">
        <v>280</v>
      </c>
      <c r="H48" s="195" t="n">
        <f aca="false">0.005</f>
        <v>0.005</v>
      </c>
      <c r="I48" s="195" t="n">
        <f aca="false">0.005</f>
        <v>0.005</v>
      </c>
      <c r="J48" s="195" t="n">
        <f aca="false">0.005</f>
        <v>0.005</v>
      </c>
      <c r="K48" s="195" t="n">
        <f aca="false">0.005</f>
        <v>0.005</v>
      </c>
      <c r="L48" s="195" t="n">
        <v>0</v>
      </c>
      <c r="M48" s="195" t="n">
        <v>0</v>
      </c>
      <c r="N48" s="195" t="n">
        <v>0</v>
      </c>
      <c r="O48" s="195" t="n">
        <v>0</v>
      </c>
      <c r="P48" s="195" t="n">
        <v>0</v>
      </c>
      <c r="Q48" s="195" t="n">
        <v>0</v>
      </c>
      <c r="R48" s="195" t="n">
        <v>0</v>
      </c>
      <c r="S48" s="195" t="n">
        <v>0</v>
      </c>
      <c r="T48" s="0"/>
    </row>
    <row r="49" customFormat="false" ht="15.6" hidden="false" customHeight="false" outlineLevel="0" collapsed="false">
      <c r="A49" s="153" t="s">
        <v>100</v>
      </c>
      <c r="B49" s="24" t="n">
        <f aca="false">SQRT((H52^2+I52^2+J52^2+K52^2+L52^2+M52^2+N52^2+O52^2+P52^2+Q52^2+R52^2+S52^2+B38^2)/H$28)</f>
        <v>9.99999990000001E-005</v>
      </c>
      <c r="C49" s="87"/>
      <c r="D49" s="189"/>
      <c r="E49" s="189"/>
      <c r="F49" s="189"/>
      <c r="G49" s="153" t="s">
        <v>282</v>
      </c>
      <c r="H49" s="195" t="n">
        <f aca="false">0.005</f>
        <v>0.005</v>
      </c>
      <c r="I49" s="195" t="n">
        <f aca="false">0.005</f>
        <v>0.005</v>
      </c>
      <c r="J49" s="195" t="n">
        <f aca="false">0.005</f>
        <v>0.005</v>
      </c>
      <c r="K49" s="195" t="n">
        <f aca="false">0.005</f>
        <v>0.005</v>
      </c>
      <c r="L49" s="195" t="n">
        <v>0</v>
      </c>
      <c r="M49" s="195" t="n">
        <v>0</v>
      </c>
      <c r="N49" s="195" t="n">
        <v>0</v>
      </c>
      <c r="O49" s="195" t="n">
        <v>0</v>
      </c>
      <c r="P49" s="195" t="n">
        <v>0</v>
      </c>
      <c r="Q49" s="195" t="n">
        <v>0</v>
      </c>
      <c r="R49" s="195" t="n">
        <v>0</v>
      </c>
      <c r="S49" s="195" t="n">
        <v>0</v>
      </c>
      <c r="T49" s="0"/>
    </row>
    <row r="50" customFormat="false" ht="15.6" hidden="false" customHeight="false" outlineLevel="0" collapsed="false">
      <c r="A50" s="153" t="s">
        <v>104</v>
      </c>
      <c r="B50" s="24" t="n">
        <f aca="false">SQRT((H53^2+I53^2+J53^2+K53^2+L53^2+M53^2+N53^2+O53^2+P53^2+Q53^2+R53^2+S53^2+B39^2)/H$28)</f>
        <v>0.0001</v>
      </c>
      <c r="C50" s="87"/>
      <c r="D50" s="189"/>
      <c r="E50" s="189"/>
      <c r="F50" s="189"/>
      <c r="G50" s="134" t="s">
        <v>283</v>
      </c>
      <c r="H50" s="0"/>
      <c r="I50" s="0"/>
      <c r="J50" s="0"/>
      <c r="K50" s="0"/>
      <c r="L50" s="0"/>
      <c r="M50" s="0"/>
      <c r="N50" s="0"/>
      <c r="O50" s="0"/>
      <c r="P50" s="0"/>
      <c r="Q50" s="0"/>
      <c r="R50" s="0"/>
      <c r="S50" s="0"/>
      <c r="T50" s="0"/>
    </row>
    <row r="51" customFormat="false" ht="46.8" hidden="false" customHeight="false" outlineLevel="0" collapsed="false">
      <c r="A51" s="206" t="s">
        <v>284</v>
      </c>
      <c r="B51" s="25"/>
      <c r="C51" s="0"/>
      <c r="D51" s="207"/>
      <c r="E51" s="207"/>
      <c r="F51" s="207"/>
      <c r="G51" s="153" t="s">
        <v>97</v>
      </c>
      <c r="H51" s="188" t="n">
        <f aca="false">H98</f>
        <v>9.99999980000001E-005</v>
      </c>
      <c r="I51" s="188" t="n">
        <f aca="false">I98</f>
        <v>9.99999980000001E-005</v>
      </c>
      <c r="J51" s="188" t="n">
        <f aca="false">J98</f>
        <v>0.000100000002</v>
      </c>
      <c r="K51" s="188" t="n">
        <f aca="false">K98</f>
        <v>0.000100000002</v>
      </c>
      <c r="L51" s="188" t="n">
        <f aca="false">L98</f>
        <v>0</v>
      </c>
      <c r="M51" s="188" t="n">
        <f aca="false">M98</f>
        <v>0</v>
      </c>
      <c r="N51" s="188" t="n">
        <f aca="false">N98</f>
        <v>0</v>
      </c>
      <c r="O51" s="188" t="n">
        <f aca="false">O98</f>
        <v>0</v>
      </c>
      <c r="P51" s="188" t="n">
        <f aca="false">P98</f>
        <v>0</v>
      </c>
      <c r="Q51" s="188" t="n">
        <f aca="false">Q98</f>
        <v>0</v>
      </c>
      <c r="R51" s="188" t="n">
        <f aca="false">R98</f>
        <v>0</v>
      </c>
      <c r="S51" s="188" t="n">
        <f aca="false">S98</f>
        <v>0</v>
      </c>
      <c r="T51" s="0"/>
    </row>
    <row r="52" customFormat="false" ht="15.6" hidden="false" customHeight="false" outlineLevel="0" collapsed="false">
      <c r="A52" s="153" t="s">
        <v>279</v>
      </c>
      <c r="B52" s="24" t="n">
        <f aca="false">SQRT((H55^2+I55^2+J55^2+K55^2+L55^2+M55^2+N55^2+O55^2+P55^2+Q55^2+R55^2+S55^2)/H$28)</f>
        <v>0</v>
      </c>
      <c r="C52" s="87"/>
      <c r="D52" s="207"/>
      <c r="E52" s="207"/>
      <c r="F52" s="207"/>
      <c r="G52" s="153" t="s">
        <v>100</v>
      </c>
      <c r="H52" s="188" t="n">
        <f aca="false">H102</f>
        <v>9.99999980000001E-005</v>
      </c>
      <c r="I52" s="188" t="n">
        <f aca="false">I102</f>
        <v>9.99999980000001E-005</v>
      </c>
      <c r="J52" s="188" t="n">
        <f aca="false">J102</f>
        <v>0.000100000002</v>
      </c>
      <c r="K52" s="188" t="n">
        <f aca="false">K102</f>
        <v>9.99999980000001E-005</v>
      </c>
      <c r="L52" s="188" t="n">
        <f aca="false">L102</f>
        <v>0</v>
      </c>
      <c r="M52" s="188" t="n">
        <f aca="false">M102</f>
        <v>0</v>
      </c>
      <c r="N52" s="188" t="n">
        <f aca="false">N102</f>
        <v>0</v>
      </c>
      <c r="O52" s="188" t="n">
        <f aca="false">O102</f>
        <v>0</v>
      </c>
      <c r="P52" s="188" t="n">
        <f aca="false">P102</f>
        <v>0</v>
      </c>
      <c r="Q52" s="188" t="n">
        <f aca="false">Q102</f>
        <v>0</v>
      </c>
      <c r="R52" s="188" t="n">
        <f aca="false">R102</f>
        <v>0</v>
      </c>
      <c r="S52" s="188" t="n">
        <f aca="false">S102</f>
        <v>0</v>
      </c>
      <c r="T52" s="208"/>
    </row>
    <row r="53" customFormat="false" ht="15.6" hidden="false" customHeight="false" outlineLevel="0" collapsed="false">
      <c r="A53" s="153" t="s">
        <v>280</v>
      </c>
      <c r="B53" s="24" t="n">
        <f aca="false">SQRT((H56^2+I56^2+J56^2+K56^2+L56^2+M56^2+N56^2+O56^2+P56^2+Q56^2+R56^2+S56^2)/H$28)</f>
        <v>0</v>
      </c>
      <c r="C53" s="87"/>
      <c r="D53" s="207"/>
      <c r="E53" s="207"/>
      <c r="F53" s="207"/>
      <c r="G53" s="153" t="s">
        <v>104</v>
      </c>
      <c r="H53" s="188" t="n">
        <f aca="false">H106</f>
        <v>9.99999980000001E-005</v>
      </c>
      <c r="I53" s="188" t="n">
        <f aca="false">I106</f>
        <v>0.000100000002</v>
      </c>
      <c r="J53" s="188" t="n">
        <f aca="false">J106</f>
        <v>0.000100000002</v>
      </c>
      <c r="K53" s="188" t="n">
        <f aca="false">K106</f>
        <v>9.99999980000001E-005</v>
      </c>
      <c r="L53" s="188" t="n">
        <f aca="false">L106</f>
        <v>0</v>
      </c>
      <c r="M53" s="188" t="n">
        <f aca="false">M106</f>
        <v>0</v>
      </c>
      <c r="N53" s="188" t="n">
        <f aca="false">N106</f>
        <v>0</v>
      </c>
      <c r="O53" s="188" t="n">
        <f aca="false">O106</f>
        <v>0</v>
      </c>
      <c r="P53" s="188" t="n">
        <f aca="false">P106</f>
        <v>0</v>
      </c>
      <c r="Q53" s="188" t="n">
        <f aca="false">Q106</f>
        <v>0</v>
      </c>
      <c r="R53" s="188" t="n">
        <f aca="false">R106</f>
        <v>0</v>
      </c>
      <c r="S53" s="188" t="n">
        <f aca="false">S106</f>
        <v>0</v>
      </c>
    </row>
    <row r="54" customFormat="false" ht="15.6" hidden="false" customHeight="false" outlineLevel="0" collapsed="false">
      <c r="A54" s="153" t="s">
        <v>282</v>
      </c>
      <c r="B54" s="24" t="n">
        <f aca="false">SQRT((H57^2+I57^2+J57^2+K57^2+L57^2+M57^2+N57^2+O57^2+P57^2+Q57^2+R57^2+S57^2)/H$28)</f>
        <v>0</v>
      </c>
      <c r="C54" s="87"/>
      <c r="D54" s="195"/>
      <c r="E54" s="195"/>
      <c r="F54" s="195"/>
      <c r="G54" s="134" t="s">
        <v>285</v>
      </c>
      <c r="H54" s="0"/>
      <c r="I54" s="0"/>
      <c r="J54" s="0"/>
      <c r="K54" s="0"/>
      <c r="L54" s="0"/>
      <c r="M54" s="0"/>
      <c r="N54" s="0"/>
      <c r="O54" s="0"/>
      <c r="P54" s="0"/>
      <c r="Q54" s="0"/>
      <c r="R54" s="0"/>
      <c r="S54" s="0"/>
    </row>
    <row r="55" customFormat="false" ht="15.6" hidden="false" customHeight="false" outlineLevel="0" collapsed="false">
      <c r="A55" s="153" t="s">
        <v>97</v>
      </c>
      <c r="B55" s="24" t="n">
        <f aca="false">SQRT((H59^2+I59^2+J59^2+K59^2+L59^2+M59^2+N59^2+O59^2+P59^2+Q59^2+R59^2+S59^2+B41^2)/H$28)</f>
        <v>0</v>
      </c>
      <c r="C55" s="87"/>
      <c r="G55" s="153" t="s">
        <v>279</v>
      </c>
      <c r="H55" s="195" t="n">
        <v>0</v>
      </c>
      <c r="I55" s="195" t="n">
        <v>0</v>
      </c>
      <c r="J55" s="195" t="n">
        <v>0</v>
      </c>
      <c r="K55" s="195" t="n">
        <v>0</v>
      </c>
      <c r="L55" s="195" t="n">
        <v>0</v>
      </c>
      <c r="M55" s="195" t="n">
        <v>0</v>
      </c>
      <c r="N55" s="195" t="n">
        <v>0</v>
      </c>
      <c r="O55" s="195" t="n">
        <v>0</v>
      </c>
      <c r="P55" s="195" t="n">
        <v>0</v>
      </c>
      <c r="Q55" s="195" t="n">
        <v>0</v>
      </c>
      <c r="R55" s="195" t="n">
        <v>0</v>
      </c>
      <c r="S55" s="195" t="n">
        <v>0</v>
      </c>
    </row>
    <row r="56" customFormat="false" ht="15.6" hidden="false" customHeight="false" outlineLevel="0" collapsed="false">
      <c r="A56" s="153" t="s">
        <v>100</v>
      </c>
      <c r="B56" s="24" t="n">
        <f aca="false">SQRT((H60^2+I60^2+J60^2+K60^2+L60^2+M60^2+N60^2+O60^2+P60^2+Q60^2+R60^2+S60^2+B42^2)/H$28)</f>
        <v>0</v>
      </c>
      <c r="C56" s="87"/>
      <c r="G56" s="153" t="s">
        <v>280</v>
      </c>
      <c r="H56" s="195" t="n">
        <v>0</v>
      </c>
      <c r="I56" s="195" t="n">
        <v>0</v>
      </c>
      <c r="J56" s="195" t="n">
        <v>0</v>
      </c>
      <c r="K56" s="195" t="n">
        <v>0</v>
      </c>
      <c r="L56" s="195" t="n">
        <v>0</v>
      </c>
      <c r="M56" s="195" t="n">
        <v>0</v>
      </c>
      <c r="N56" s="195" t="n">
        <v>0</v>
      </c>
      <c r="O56" s="195" t="n">
        <v>0</v>
      </c>
      <c r="P56" s="195" t="n">
        <v>0</v>
      </c>
      <c r="Q56" s="195" t="n">
        <v>0</v>
      </c>
      <c r="R56" s="195" t="n">
        <v>0</v>
      </c>
      <c r="S56" s="195" t="n">
        <v>0</v>
      </c>
    </row>
    <row r="57" customFormat="false" ht="15.6" hidden="false" customHeight="false" outlineLevel="0" collapsed="false">
      <c r="A57" s="153" t="s">
        <v>104</v>
      </c>
      <c r="B57" s="24" t="n">
        <f aca="false">SQRT((H61^2+I61^2+J61^2+K61^2+L61^2+M61^2+N61^2+O61^2+P61^2+Q61^2+R61^2+S61^2+B43^2)/H$28)</f>
        <v>0</v>
      </c>
      <c r="C57" s="87"/>
      <c r="G57" s="153" t="s">
        <v>282</v>
      </c>
      <c r="H57" s="195" t="n">
        <v>0</v>
      </c>
      <c r="I57" s="195" t="n">
        <v>0</v>
      </c>
      <c r="J57" s="195" t="n">
        <v>0</v>
      </c>
      <c r="K57" s="195" t="n">
        <v>0</v>
      </c>
      <c r="L57" s="195" t="n">
        <v>0</v>
      </c>
      <c r="M57" s="195" t="n">
        <v>0</v>
      </c>
      <c r="N57" s="195" t="n">
        <v>0</v>
      </c>
      <c r="O57" s="195" t="n">
        <v>0</v>
      </c>
      <c r="P57" s="195" t="n">
        <v>0</v>
      </c>
      <c r="Q57" s="195" t="n">
        <v>0</v>
      </c>
      <c r="R57" s="195" t="n">
        <v>0</v>
      </c>
      <c r="S57" s="195" t="n">
        <v>0</v>
      </c>
    </row>
    <row r="58" customFormat="false" ht="15.6" hidden="false" customHeight="false" outlineLevel="0" collapsed="false">
      <c r="A58" s="0"/>
      <c r="B58" s="25"/>
      <c r="G58" s="134" t="s">
        <v>286</v>
      </c>
      <c r="H58" s="0"/>
      <c r="I58" s="0"/>
      <c r="J58" s="0"/>
      <c r="K58" s="0"/>
      <c r="L58" s="0"/>
      <c r="M58" s="0"/>
      <c r="N58" s="0"/>
      <c r="O58" s="0"/>
      <c r="P58" s="0"/>
      <c r="Q58" s="0"/>
      <c r="R58" s="0"/>
      <c r="S58" s="0"/>
    </row>
    <row r="59" customFormat="false" ht="15.6" hidden="false" customHeight="false" outlineLevel="0" collapsed="false">
      <c r="A59" s="0"/>
      <c r="B59" s="0"/>
      <c r="G59" s="153" t="s">
        <v>97</v>
      </c>
      <c r="H59" s="188" t="n">
        <f aca="false">H113</f>
        <v>0</v>
      </c>
      <c r="I59" s="188" t="n">
        <f aca="false">I113</f>
        <v>0</v>
      </c>
      <c r="J59" s="188" t="n">
        <f aca="false">J113</f>
        <v>0</v>
      </c>
      <c r="K59" s="188" t="n">
        <f aca="false">K113</f>
        <v>0</v>
      </c>
      <c r="L59" s="188" t="n">
        <f aca="false">L113</f>
        <v>0</v>
      </c>
      <c r="M59" s="188" t="n">
        <f aca="false">M113</f>
        <v>0</v>
      </c>
      <c r="N59" s="188" t="n">
        <f aca="false">N113</f>
        <v>0</v>
      </c>
      <c r="O59" s="188" t="n">
        <f aca="false">O113</f>
        <v>0</v>
      </c>
      <c r="P59" s="188" t="n">
        <f aca="false">P113</f>
        <v>0</v>
      </c>
      <c r="Q59" s="188" t="n">
        <f aca="false">Q113</f>
        <v>0</v>
      </c>
      <c r="R59" s="188" t="n">
        <f aca="false">R113</f>
        <v>0</v>
      </c>
      <c r="S59" s="188" t="n">
        <f aca="false">S113</f>
        <v>0</v>
      </c>
    </row>
    <row r="60" customFormat="false" ht="15.6" hidden="false" customHeight="false" outlineLevel="0" collapsed="false">
      <c r="A60" s="0"/>
      <c r="B60" s="0"/>
      <c r="G60" s="153" t="s">
        <v>100</v>
      </c>
      <c r="H60" s="188" t="n">
        <f aca="false">H118</f>
        <v>0</v>
      </c>
      <c r="I60" s="188" t="n">
        <f aca="false">I118</f>
        <v>0</v>
      </c>
      <c r="J60" s="188" t="n">
        <f aca="false">J118</f>
        <v>0</v>
      </c>
      <c r="K60" s="188" t="n">
        <f aca="false">K118</f>
        <v>0</v>
      </c>
      <c r="L60" s="188" t="n">
        <f aca="false">L118</f>
        <v>0</v>
      </c>
      <c r="M60" s="188" t="n">
        <f aca="false">M118</f>
        <v>0</v>
      </c>
      <c r="N60" s="188" t="n">
        <f aca="false">N118</f>
        <v>0</v>
      </c>
      <c r="O60" s="188" t="n">
        <f aca="false">O118</f>
        <v>0</v>
      </c>
      <c r="P60" s="188" t="n">
        <f aca="false">P118</f>
        <v>0</v>
      </c>
      <c r="Q60" s="188" t="n">
        <f aca="false">Q118</f>
        <v>0</v>
      </c>
      <c r="R60" s="188" t="n">
        <f aca="false">R118</f>
        <v>0</v>
      </c>
      <c r="S60" s="188" t="n">
        <f aca="false">S118</f>
        <v>0</v>
      </c>
    </row>
    <row r="61" customFormat="false" ht="15.6" hidden="false" customHeight="false" outlineLevel="0" collapsed="false">
      <c r="A61" s="0"/>
      <c r="B61" s="0"/>
      <c r="G61" s="153" t="s">
        <v>104</v>
      </c>
      <c r="H61" s="188" t="n">
        <f aca="false">H123</f>
        <v>0</v>
      </c>
      <c r="I61" s="188" t="n">
        <f aca="false">I123</f>
        <v>0</v>
      </c>
      <c r="J61" s="188" t="n">
        <f aca="false">J123</f>
        <v>0</v>
      </c>
      <c r="K61" s="188" t="n">
        <f aca="false">K123</f>
        <v>0</v>
      </c>
      <c r="L61" s="188" t="n">
        <f aca="false">L123</f>
        <v>0</v>
      </c>
      <c r="M61" s="188" t="n">
        <f aca="false">M123</f>
        <v>0</v>
      </c>
      <c r="N61" s="188" t="n">
        <f aca="false">N123</f>
        <v>0</v>
      </c>
      <c r="O61" s="188" t="n">
        <f aca="false">O123</f>
        <v>0</v>
      </c>
      <c r="P61" s="188" t="n">
        <f aca="false">P123</f>
        <v>0</v>
      </c>
      <c r="Q61" s="188" t="n">
        <f aca="false">Q123</f>
        <v>0</v>
      </c>
      <c r="R61" s="188" t="n">
        <f aca="false">R123</f>
        <v>0</v>
      </c>
      <c r="S61" s="188" t="n">
        <f aca="false">S123</f>
        <v>0</v>
      </c>
    </row>
    <row r="62" customFormat="false" ht="15.6" hidden="false" customHeight="false" outlineLevel="0" collapsed="false">
      <c r="A62" s="0"/>
      <c r="B62" s="0"/>
      <c r="G62" s="76"/>
      <c r="H62" s="0"/>
      <c r="I62" s="0"/>
      <c r="J62" s="0"/>
      <c r="K62" s="0"/>
      <c r="L62" s="0"/>
      <c r="M62" s="0"/>
      <c r="N62" s="0"/>
      <c r="O62" s="0"/>
      <c r="P62" s="0"/>
      <c r="Q62" s="0"/>
      <c r="R62" s="0"/>
      <c r="S62" s="0"/>
    </row>
    <row r="63" customFormat="false" ht="15.6" hidden="false" customHeight="false" outlineLevel="0" collapsed="false">
      <c r="A63" s="0"/>
      <c r="B63" s="0"/>
      <c r="G63" s="0"/>
      <c r="H63" s="0"/>
      <c r="I63" s="143"/>
      <c r="J63" s="143"/>
      <c r="K63" s="143"/>
      <c r="L63" s="143"/>
      <c r="M63" s="143"/>
      <c r="N63" s="143"/>
      <c r="O63" s="0"/>
      <c r="P63" s="0"/>
      <c r="Q63" s="0"/>
      <c r="R63" s="0"/>
      <c r="S63" s="0"/>
    </row>
    <row r="64" customFormat="false" ht="15.6" hidden="false" customHeight="false" outlineLevel="0" collapsed="false">
      <c r="A64" s="0"/>
      <c r="B64" s="0"/>
      <c r="G64" s="209"/>
      <c r="H64" s="210"/>
      <c r="I64" s="211"/>
      <c r="J64" s="211"/>
      <c r="K64" s="211"/>
      <c r="L64" s="211"/>
      <c r="M64" s="211"/>
      <c r="N64" s="211"/>
      <c r="O64" s="143"/>
      <c r="P64" s="0"/>
      <c r="Q64" s="0"/>
      <c r="R64" s="0"/>
      <c r="S64" s="0"/>
    </row>
    <row r="65" customFormat="false" ht="15.6" hidden="false" customHeight="false" outlineLevel="0" collapsed="false">
      <c r="A65" s="0"/>
      <c r="B65" s="0"/>
      <c r="G65" s="209"/>
      <c r="H65" s="210"/>
      <c r="I65" s="211"/>
      <c r="J65" s="211"/>
      <c r="K65" s="211"/>
      <c r="L65" s="211"/>
      <c r="M65" s="211"/>
      <c r="N65" s="211"/>
      <c r="O65" s="143"/>
      <c r="P65" s="0"/>
      <c r="Q65" s="0"/>
      <c r="R65" s="0"/>
      <c r="S65" s="0"/>
    </row>
    <row r="66" customFormat="false" ht="15.6" hidden="false" customHeight="false" outlineLevel="0" collapsed="false">
      <c r="A66" s="0"/>
      <c r="B66" s="0"/>
      <c r="G66" s="209"/>
      <c r="H66" s="210"/>
      <c r="I66" s="211"/>
      <c r="J66" s="211"/>
      <c r="K66" s="211"/>
      <c r="L66" s="211"/>
      <c r="M66" s="211"/>
      <c r="N66" s="211"/>
      <c r="O66" s="143"/>
      <c r="P66" s="0"/>
      <c r="Q66" s="0"/>
      <c r="R66" s="0"/>
      <c r="S66" s="0"/>
    </row>
    <row r="67" customFormat="false" ht="15.6" hidden="false" customHeight="false" outlineLevel="0" collapsed="false">
      <c r="A67" s="0"/>
      <c r="B67" s="0"/>
      <c r="G67" s="209"/>
      <c r="H67" s="210"/>
      <c r="I67" s="211"/>
      <c r="J67" s="211"/>
      <c r="K67" s="211"/>
      <c r="L67" s="211"/>
      <c r="M67" s="211"/>
      <c r="N67" s="211"/>
      <c r="O67" s="143"/>
      <c r="P67" s="0"/>
      <c r="Q67" s="0"/>
      <c r="R67" s="0"/>
      <c r="S67" s="0"/>
    </row>
    <row r="68" customFormat="false" ht="15.6" hidden="false" customHeight="false" outlineLevel="0" collapsed="false">
      <c r="A68" s="0"/>
      <c r="B68" s="0"/>
      <c r="G68" s="209"/>
      <c r="H68" s="210"/>
      <c r="I68" s="211"/>
      <c r="J68" s="211"/>
      <c r="K68" s="211"/>
      <c r="L68" s="211"/>
      <c r="M68" s="211"/>
      <c r="N68" s="211"/>
      <c r="O68" s="143"/>
      <c r="P68" s="0"/>
      <c r="Q68" s="0"/>
      <c r="R68" s="0"/>
      <c r="S68" s="0"/>
    </row>
    <row r="69" customFormat="false" ht="15.6" hidden="false" customHeight="false" outlineLevel="0" collapsed="false">
      <c r="A69" s="0"/>
      <c r="B69" s="0"/>
      <c r="G69" s="209"/>
      <c r="H69" s="210"/>
      <c r="I69" s="211"/>
      <c r="J69" s="211"/>
      <c r="K69" s="211"/>
      <c r="L69" s="211"/>
      <c r="M69" s="211"/>
      <c r="N69" s="211"/>
      <c r="O69" s="143"/>
      <c r="P69" s="0"/>
      <c r="Q69" s="0"/>
      <c r="R69" s="0"/>
      <c r="S69" s="0"/>
    </row>
    <row r="70" customFormat="false" ht="15.6" hidden="false" customHeight="false" outlineLevel="0" collapsed="false">
      <c r="A70" s="0"/>
      <c r="B70" s="0"/>
      <c r="G70" s="209"/>
      <c r="H70" s="210"/>
      <c r="I70" s="211"/>
      <c r="J70" s="211"/>
      <c r="K70" s="211"/>
      <c r="L70" s="211"/>
      <c r="M70" s="211"/>
      <c r="N70" s="211"/>
      <c r="O70" s="143"/>
      <c r="P70" s="0"/>
      <c r="Q70" s="0"/>
      <c r="R70" s="0"/>
      <c r="S70" s="0"/>
    </row>
    <row r="71" customFormat="false" ht="15.6" hidden="false" customHeight="false" outlineLevel="0" collapsed="false">
      <c r="A71" s="0"/>
      <c r="B71" s="0"/>
      <c r="G71" s="209"/>
      <c r="H71" s="210"/>
      <c r="I71" s="211"/>
      <c r="J71" s="211"/>
      <c r="K71" s="211"/>
      <c r="L71" s="211"/>
      <c r="M71" s="211"/>
      <c r="N71" s="211"/>
      <c r="O71" s="143"/>
      <c r="P71" s="0"/>
      <c r="Q71" s="0"/>
      <c r="R71" s="0"/>
      <c r="S71" s="0"/>
    </row>
    <row r="72" customFormat="false" ht="15.6" hidden="false" customHeight="false" outlineLevel="0" collapsed="false">
      <c r="A72" s="0"/>
      <c r="B72" s="0"/>
      <c r="G72" s="209"/>
      <c r="H72" s="210"/>
      <c r="I72" s="211"/>
      <c r="J72" s="211"/>
      <c r="K72" s="211"/>
      <c r="L72" s="211"/>
      <c r="M72" s="211"/>
      <c r="N72" s="211"/>
      <c r="O72" s="143"/>
      <c r="P72" s="0"/>
      <c r="Q72" s="0"/>
      <c r="R72" s="0"/>
      <c r="S72" s="0"/>
    </row>
    <row r="73" customFormat="false" ht="15.6" hidden="false" customHeight="false" outlineLevel="0" collapsed="false">
      <c r="A73" s="0"/>
      <c r="B73" s="0"/>
      <c r="G73" s="209"/>
      <c r="H73" s="210"/>
      <c r="I73" s="211"/>
      <c r="J73" s="211"/>
      <c r="K73" s="211"/>
      <c r="L73" s="211"/>
      <c r="M73" s="211"/>
      <c r="N73" s="211"/>
      <c r="O73" s="143"/>
      <c r="P73" s="0"/>
      <c r="Q73" s="0"/>
      <c r="R73" s="0"/>
      <c r="S73" s="0"/>
    </row>
    <row r="74" customFormat="false" ht="15.6" hidden="false" customHeight="false" outlineLevel="0" collapsed="false">
      <c r="A74" s="0"/>
      <c r="B74" s="0"/>
      <c r="G74" s="209"/>
      <c r="H74" s="210"/>
      <c r="I74" s="211"/>
      <c r="J74" s="211"/>
      <c r="K74" s="211"/>
      <c r="L74" s="211"/>
      <c r="M74" s="211"/>
      <c r="N74" s="211"/>
      <c r="O74" s="143"/>
      <c r="P74" s="0"/>
      <c r="Q74" s="0"/>
      <c r="R74" s="0"/>
      <c r="S74" s="0"/>
    </row>
    <row r="75" customFormat="false" ht="15.6" hidden="false" customHeight="false" outlineLevel="0" collapsed="false">
      <c r="A75" s="0"/>
      <c r="B75" s="0"/>
      <c r="G75" s="209"/>
      <c r="H75" s="210"/>
      <c r="I75" s="211"/>
      <c r="J75" s="211"/>
      <c r="K75" s="211"/>
      <c r="L75" s="211"/>
      <c r="M75" s="211"/>
      <c r="N75" s="211"/>
      <c r="O75" s="143"/>
      <c r="P75" s="0"/>
      <c r="Q75" s="0"/>
      <c r="R75" s="0"/>
      <c r="S75" s="0"/>
    </row>
    <row r="76" customFormat="false" ht="15.6" hidden="false" customHeight="false" outlineLevel="0" collapsed="false">
      <c r="A76" s="0"/>
      <c r="B76" s="0"/>
      <c r="G76" s="209"/>
      <c r="H76" s="210"/>
      <c r="I76" s="211"/>
      <c r="J76" s="211"/>
      <c r="K76" s="211"/>
      <c r="L76" s="211"/>
      <c r="M76" s="211"/>
      <c r="N76" s="211"/>
      <c r="O76" s="143"/>
      <c r="P76" s="0"/>
      <c r="Q76" s="0"/>
      <c r="R76" s="0"/>
      <c r="S76" s="0"/>
    </row>
    <row r="77" customFormat="false" ht="15.6" hidden="false" customHeight="false" outlineLevel="0" collapsed="false">
      <c r="A77" s="0"/>
      <c r="B77" s="0"/>
      <c r="G77" s="209"/>
      <c r="H77" s="210"/>
      <c r="I77" s="211"/>
      <c r="J77" s="211"/>
      <c r="K77" s="211"/>
      <c r="L77" s="211"/>
      <c r="M77" s="211"/>
      <c r="N77" s="211"/>
      <c r="O77" s="143"/>
      <c r="P77" s="0"/>
      <c r="Q77" s="0"/>
      <c r="R77" s="0"/>
      <c r="S77" s="0"/>
    </row>
    <row r="78" customFormat="false" ht="15.6" hidden="false" customHeight="false" outlineLevel="0" collapsed="false">
      <c r="A78" s="0"/>
      <c r="B78" s="0"/>
      <c r="G78" s="209"/>
      <c r="H78" s="210"/>
      <c r="I78" s="211"/>
      <c r="J78" s="211"/>
      <c r="K78" s="211"/>
      <c r="L78" s="211"/>
      <c r="M78" s="211"/>
      <c r="N78" s="211"/>
      <c r="O78" s="143"/>
      <c r="P78" s="0"/>
      <c r="Q78" s="0"/>
      <c r="R78" s="0"/>
      <c r="S78" s="0"/>
    </row>
    <row r="79" customFormat="false" ht="15.6" hidden="false" customHeight="false" outlineLevel="0" collapsed="false">
      <c r="A79" s="0"/>
      <c r="B79" s="0"/>
      <c r="G79" s="209"/>
      <c r="H79" s="210"/>
      <c r="I79" s="211"/>
      <c r="J79" s="211"/>
      <c r="K79" s="211"/>
      <c r="L79" s="211"/>
      <c r="M79" s="211"/>
      <c r="N79" s="211"/>
      <c r="O79" s="143"/>
      <c r="P79" s="0"/>
      <c r="Q79" s="0"/>
      <c r="R79" s="0"/>
      <c r="S79" s="0"/>
    </row>
    <row r="80" customFormat="false" ht="15.6" hidden="false" customHeight="false" outlineLevel="0" collapsed="false">
      <c r="A80" s="153"/>
      <c r="B80" s="142"/>
      <c r="G80" s="209"/>
      <c r="H80" s="210"/>
      <c r="I80" s="211"/>
      <c r="J80" s="211"/>
      <c r="K80" s="211"/>
      <c r="L80" s="211"/>
      <c r="M80" s="211"/>
      <c r="N80" s="211"/>
      <c r="O80" s="143"/>
      <c r="P80" s="0"/>
      <c r="Q80" s="0"/>
      <c r="R80" s="0"/>
      <c r="S80" s="0"/>
    </row>
    <row r="81" customFormat="false" ht="15.6" hidden="false" customHeight="false" outlineLevel="0" collapsed="false">
      <c r="A81" s="153"/>
      <c r="B81" s="142"/>
      <c r="G81" s="209"/>
      <c r="H81" s="210"/>
      <c r="I81" s="211"/>
      <c r="J81" s="211"/>
      <c r="K81" s="211"/>
      <c r="L81" s="211"/>
      <c r="M81" s="211"/>
      <c r="N81" s="211"/>
      <c r="O81" s="143"/>
      <c r="P81" s="0"/>
      <c r="Q81" s="0"/>
      <c r="R81" s="0"/>
      <c r="S81" s="0"/>
    </row>
    <row r="82" customFormat="false" ht="15.6" hidden="false" customHeight="false" outlineLevel="0" collapsed="false">
      <c r="A82" s="153"/>
      <c r="B82" s="142"/>
      <c r="G82" s="209"/>
      <c r="H82" s="210"/>
      <c r="I82" s="211"/>
      <c r="J82" s="211"/>
      <c r="K82" s="211"/>
      <c r="L82" s="211"/>
      <c r="M82" s="211"/>
      <c r="N82" s="211"/>
      <c r="O82" s="143"/>
      <c r="P82" s="0"/>
      <c r="Q82" s="0"/>
      <c r="R82" s="0"/>
      <c r="S82" s="0"/>
    </row>
    <row r="83" customFormat="false" ht="15.6" hidden="false" customHeight="false" outlineLevel="0" collapsed="false">
      <c r="A83" s="153"/>
      <c r="B83" s="142"/>
      <c r="G83" s="209"/>
      <c r="H83" s="210"/>
      <c r="I83" s="211"/>
      <c r="J83" s="211"/>
      <c r="K83" s="211"/>
      <c r="L83" s="211"/>
      <c r="M83" s="211"/>
      <c r="N83" s="211"/>
      <c r="O83" s="143"/>
      <c r="P83" s="0"/>
      <c r="Q83" s="0"/>
      <c r="R83" s="0"/>
      <c r="S83" s="0"/>
    </row>
    <row r="84" customFormat="false" ht="15.6" hidden="false" customHeight="false" outlineLevel="0" collapsed="false">
      <c r="A84" s="153"/>
      <c r="B84" s="142"/>
      <c r="G84" s="209"/>
      <c r="H84" s="210"/>
      <c r="I84" s="211"/>
      <c r="J84" s="211"/>
      <c r="K84" s="211"/>
      <c r="L84" s="211"/>
      <c r="M84" s="211"/>
      <c r="N84" s="211"/>
      <c r="O84" s="143"/>
      <c r="P84" s="0"/>
      <c r="Q84" s="0"/>
      <c r="R84" s="0"/>
      <c r="S84" s="0"/>
    </row>
    <row r="85" customFormat="false" ht="15.6" hidden="false" customHeight="false" outlineLevel="0" collapsed="false">
      <c r="A85" s="153"/>
      <c r="B85" s="142"/>
      <c r="G85" s="209"/>
      <c r="H85" s="210"/>
      <c r="I85" s="211"/>
      <c r="J85" s="211"/>
      <c r="K85" s="211"/>
      <c r="L85" s="211"/>
      <c r="M85" s="211"/>
      <c r="N85" s="211"/>
      <c r="O85" s="143"/>
      <c r="P85" s="0"/>
      <c r="Q85" s="0"/>
      <c r="R85" s="0"/>
      <c r="S85" s="0"/>
    </row>
    <row r="86" customFormat="false" ht="15.6" hidden="false" customHeight="false" outlineLevel="0" collapsed="false">
      <c r="A86" s="153"/>
      <c r="B86" s="142"/>
      <c r="G86" s="209"/>
      <c r="H86" s="210"/>
      <c r="I86" s="211"/>
      <c r="J86" s="211"/>
      <c r="K86" s="211"/>
      <c r="L86" s="211"/>
      <c r="M86" s="211"/>
      <c r="N86" s="211"/>
      <c r="O86" s="143"/>
      <c r="P86" s="0"/>
      <c r="Q86" s="0"/>
      <c r="R86" s="0"/>
      <c r="S86" s="0"/>
    </row>
    <row r="87" customFormat="false" ht="15.6" hidden="false" customHeight="false" outlineLevel="0" collapsed="false">
      <c r="A87" s="153"/>
      <c r="B87" s="142"/>
      <c r="G87" s="209"/>
      <c r="H87" s="210"/>
      <c r="I87" s="211"/>
      <c r="J87" s="211"/>
      <c r="K87" s="211"/>
      <c r="L87" s="211"/>
      <c r="M87" s="211"/>
      <c r="N87" s="211"/>
      <c r="O87" s="143"/>
      <c r="P87" s="0"/>
      <c r="Q87" s="0"/>
      <c r="R87" s="0"/>
      <c r="S87" s="0"/>
    </row>
    <row r="88" customFormat="false" ht="15.6" hidden="false" customHeight="false" outlineLevel="0" collapsed="false">
      <c r="A88" s="153"/>
      <c r="B88" s="142"/>
      <c r="G88" s="209"/>
      <c r="H88" s="210"/>
      <c r="I88" s="211"/>
      <c r="J88" s="211"/>
      <c r="K88" s="211"/>
      <c r="L88" s="211"/>
      <c r="M88" s="211"/>
      <c r="N88" s="211"/>
      <c r="O88" s="143"/>
      <c r="P88" s="0"/>
      <c r="Q88" s="0"/>
      <c r="R88" s="0"/>
      <c r="S88" s="0"/>
    </row>
    <row r="89" customFormat="false" ht="15.6" hidden="false" customHeight="false" outlineLevel="0" collapsed="false">
      <c r="A89" s="153"/>
      <c r="B89" s="142"/>
      <c r="G89" s="209"/>
      <c r="H89" s="210"/>
      <c r="I89" s="211"/>
      <c r="J89" s="211"/>
      <c r="K89" s="211"/>
      <c r="L89" s="211"/>
      <c r="M89" s="211"/>
      <c r="N89" s="211"/>
      <c r="O89" s="143"/>
      <c r="P89" s="0"/>
      <c r="Q89" s="0"/>
      <c r="R89" s="0"/>
      <c r="S89" s="0"/>
    </row>
    <row r="90" customFormat="false" ht="15.6" hidden="false" customHeight="false" outlineLevel="0" collapsed="false">
      <c r="A90" s="153"/>
      <c r="B90" s="142"/>
      <c r="G90" s="209"/>
      <c r="H90" s="210"/>
      <c r="I90" s="211"/>
      <c r="J90" s="211"/>
      <c r="K90" s="211"/>
      <c r="L90" s="211"/>
      <c r="M90" s="211"/>
      <c r="N90" s="211"/>
      <c r="O90" s="143"/>
      <c r="P90" s="0"/>
      <c r="Q90" s="0"/>
      <c r="R90" s="0"/>
      <c r="S90" s="0"/>
    </row>
    <row r="91" customFormat="false" ht="15.6" hidden="false" customHeight="false" outlineLevel="0" collapsed="false">
      <c r="A91" s="153"/>
      <c r="B91" s="142"/>
      <c r="G91" s="0"/>
      <c r="H91" s="0"/>
      <c r="I91" s="0"/>
      <c r="J91" s="0"/>
      <c r="K91" s="0"/>
      <c r="L91" s="0"/>
      <c r="M91" s="0"/>
      <c r="N91" s="0"/>
      <c r="O91" s="0"/>
      <c r="P91" s="0"/>
      <c r="Q91" s="0"/>
      <c r="R91" s="0"/>
      <c r="S91" s="0"/>
    </row>
    <row r="92" customFormat="false" ht="15.6" hidden="false" customHeight="false" outlineLevel="0" collapsed="false">
      <c r="A92" s="153"/>
      <c r="B92" s="142"/>
      <c r="G92" s="0"/>
      <c r="H92" s="0"/>
      <c r="I92" s="0"/>
      <c r="J92" s="0"/>
      <c r="K92" s="0"/>
      <c r="L92" s="0"/>
      <c r="M92" s="0"/>
      <c r="N92" s="0"/>
      <c r="O92" s="0"/>
      <c r="P92" s="0"/>
      <c r="Q92" s="0"/>
      <c r="R92" s="0"/>
      <c r="S92" s="0"/>
    </row>
    <row r="93" customFormat="false" ht="15.6" hidden="false" customHeight="false" outlineLevel="0" collapsed="false">
      <c r="A93" s="153"/>
      <c r="B93" s="142"/>
      <c r="G93" s="0"/>
      <c r="H93" s="0"/>
      <c r="I93" s="0"/>
      <c r="J93" s="0"/>
      <c r="K93" s="0"/>
      <c r="L93" s="0"/>
      <c r="M93" s="0"/>
      <c r="N93" s="0"/>
      <c r="O93" s="0"/>
      <c r="P93" s="0"/>
      <c r="Q93" s="0"/>
      <c r="R93" s="0"/>
      <c r="S93" s="0"/>
    </row>
    <row r="94" customFormat="false" ht="15.6" hidden="false" customHeight="false" outlineLevel="0" collapsed="false">
      <c r="A94" s="153"/>
      <c r="B94" s="142"/>
      <c r="G94" s="212" t="s">
        <v>289</v>
      </c>
      <c r="H94" s="0"/>
      <c r="I94" s="0"/>
      <c r="J94" s="0"/>
      <c r="K94" s="0"/>
      <c r="L94" s="0"/>
      <c r="M94" s="0"/>
      <c r="N94" s="0"/>
      <c r="O94" s="0"/>
      <c r="P94" s="0"/>
      <c r="Q94" s="0"/>
      <c r="R94" s="0"/>
      <c r="S94" s="0"/>
    </row>
    <row r="95" customFormat="false" ht="15.6" hidden="false" customHeight="false" outlineLevel="0" collapsed="false">
      <c r="A95" s="153"/>
      <c r="B95" s="142"/>
      <c r="G95" s="213"/>
      <c r="H95" s="165" t="s">
        <v>290</v>
      </c>
      <c r="I95" s="0"/>
      <c r="J95" s="0"/>
      <c r="K95" s="0"/>
      <c r="L95" s="0"/>
      <c r="M95" s="0"/>
      <c r="N95" s="0"/>
      <c r="O95" s="0"/>
      <c r="P95" s="0"/>
      <c r="Q95" s="0"/>
      <c r="R95" s="0"/>
      <c r="S95" s="0"/>
    </row>
    <row r="96" customFormat="false" ht="15.6" hidden="false" customHeight="false" outlineLevel="0" collapsed="false">
      <c r="A96" s="153"/>
      <c r="B96" s="142"/>
      <c r="G96" s="165" t="s">
        <v>291</v>
      </c>
      <c r="H96" s="77" t="n">
        <f aca="false">H48/ABS(H33+0.000001)</f>
        <v>9.99999980000001E-005</v>
      </c>
      <c r="I96" s="77" t="n">
        <f aca="false">I48/ABS(I33+0.000001)</f>
        <v>9.99999980000001E-005</v>
      </c>
      <c r="J96" s="77" t="n">
        <f aca="false">J48/ABS(J33+0.000001)</f>
        <v>0.000100000002</v>
      </c>
      <c r="K96" s="77" t="n">
        <f aca="false">K48/ABS(K33+0.000001)</f>
        <v>0.000100000002</v>
      </c>
      <c r="L96" s="77" t="n">
        <f aca="false">L48/ABS(L33+0.000001)</f>
        <v>0</v>
      </c>
      <c r="M96" s="77" t="n">
        <f aca="false">M48/ABS(M33+0.000001)</f>
        <v>0</v>
      </c>
      <c r="N96" s="77" t="n">
        <f aca="false">N48/ABS(N33+0.000001)</f>
        <v>0</v>
      </c>
      <c r="O96" s="77" t="n">
        <f aca="false">O48/ABS(O33+0.000001)</f>
        <v>0</v>
      </c>
      <c r="P96" s="77" t="n">
        <f aca="false">P48/ABS(P33+0.000001)</f>
        <v>0</v>
      </c>
      <c r="Q96" s="77" t="n">
        <f aca="false">Q48/ABS(Q33+0.000001)</f>
        <v>0</v>
      </c>
      <c r="R96" s="77" t="n">
        <f aca="false">R48/ABS(R33+0.000001)</f>
        <v>0</v>
      </c>
      <c r="S96" s="77" t="n">
        <f aca="false">S48/ABS(S33+0.000001)</f>
        <v>0</v>
      </c>
    </row>
    <row r="97" customFormat="false" ht="15.6" hidden="false" customHeight="false" outlineLevel="0" collapsed="false">
      <c r="A97" s="153"/>
      <c r="B97" s="142"/>
      <c r="G97" s="165" t="s">
        <v>291</v>
      </c>
      <c r="H97" s="77" t="n">
        <f aca="false">H49/ABS(H32+0.000001)</f>
        <v>5000</v>
      </c>
      <c r="I97" s="77" t="n">
        <f aca="false">I49/ABS(I32+0.000001)</f>
        <v>5000</v>
      </c>
      <c r="J97" s="77" t="n">
        <f aca="false">J49/ABS(J32+0.000001)</f>
        <v>5000</v>
      </c>
      <c r="K97" s="77" t="n">
        <f aca="false">K49/ABS(K32+0.000001)</f>
        <v>5000</v>
      </c>
      <c r="L97" s="77" t="n">
        <f aca="false">L49/ABS(L32+0.000001)</f>
        <v>0</v>
      </c>
      <c r="M97" s="77" t="n">
        <f aca="false">M49/ABS(M32+0.000001)</f>
        <v>0</v>
      </c>
      <c r="N97" s="77" t="n">
        <f aca="false">N49/ABS(N32+0.000001)</f>
        <v>0</v>
      </c>
      <c r="O97" s="77" t="n">
        <f aca="false">O49/ABS(O32+0.000001)</f>
        <v>0</v>
      </c>
      <c r="P97" s="77" t="n">
        <f aca="false">P49/ABS(P32+0.000001)</f>
        <v>0</v>
      </c>
      <c r="Q97" s="77" t="n">
        <f aca="false">Q49/ABS(Q32+0.000001)</f>
        <v>0</v>
      </c>
      <c r="R97" s="77" t="n">
        <f aca="false">R49/ABS(R32+0.000001)</f>
        <v>0</v>
      </c>
      <c r="S97" s="77" t="n">
        <f aca="false">S49/ABS(S32+0.000001)</f>
        <v>0</v>
      </c>
    </row>
    <row r="98" customFormat="false" ht="15.6" hidden="false" customHeight="false" outlineLevel="0" collapsed="false">
      <c r="A98" s="153"/>
      <c r="B98" s="142"/>
      <c r="G98" s="77" t="s">
        <v>292</v>
      </c>
      <c r="H98" s="161" t="n">
        <f aca="false">IF(MIN(H96,H97)&gt;1,0,MIN(H96,H97))</f>
        <v>9.99999980000001E-005</v>
      </c>
      <c r="I98" s="161" t="n">
        <f aca="false">IF(MIN(I96,I97)&gt;1,0,MIN(I96,I97))</f>
        <v>9.99999980000001E-005</v>
      </c>
      <c r="J98" s="161" t="n">
        <f aca="false">IF(MIN(J96,J97)&gt;1,0,MIN(J96,J97))</f>
        <v>0.000100000002</v>
      </c>
      <c r="K98" s="161" t="n">
        <f aca="false">IF(MIN(K96,K97)&gt;1,0,MIN(K96,K97))</f>
        <v>0.000100000002</v>
      </c>
      <c r="L98" s="161" t="n">
        <f aca="false">IF(MIN(L96,L97)&gt;1,0,MIN(L96,L97))</f>
        <v>0</v>
      </c>
      <c r="M98" s="161" t="n">
        <f aca="false">IF(MIN(M96,M97)&gt;1,0,MIN(M96,M97))</f>
        <v>0</v>
      </c>
      <c r="N98" s="161" t="n">
        <f aca="false">IF(MIN(N96,N97)&gt;1,0,MIN(N96,N97))</f>
        <v>0</v>
      </c>
      <c r="O98" s="161" t="n">
        <f aca="false">IF(MIN(O96,O97)&gt;1,0,MIN(O96,O97))</f>
        <v>0</v>
      </c>
      <c r="P98" s="161" t="n">
        <f aca="false">IF(MIN(P96,P97)&gt;1,0,MIN(P96,P97))</f>
        <v>0</v>
      </c>
      <c r="Q98" s="161" t="n">
        <f aca="false">IF(MIN(Q96,Q97)&gt;1,0,MIN(Q96,Q97))</f>
        <v>0</v>
      </c>
      <c r="R98" s="161" t="n">
        <f aca="false">IF(MIN(R96,R97)&gt;1,0,MIN(R96,R97))</f>
        <v>0</v>
      </c>
      <c r="S98" s="161" t="n">
        <f aca="false">IF(MIN(S96,S97)&gt;1,0,MIN(S96,S97))</f>
        <v>0</v>
      </c>
    </row>
    <row r="99" customFormat="false" ht="15.6" hidden="false" customHeight="false" outlineLevel="0" collapsed="false">
      <c r="A99" s="153"/>
      <c r="B99" s="142"/>
      <c r="G99" s="0"/>
      <c r="H99" s="165" t="s">
        <v>293</v>
      </c>
      <c r="I99" s="165"/>
      <c r="J99" s="165"/>
      <c r="K99" s="165"/>
      <c r="L99" s="165"/>
      <c r="M99" s="165"/>
      <c r="N99" s="165"/>
      <c r="O99" s="165"/>
      <c r="P99" s="165"/>
      <c r="Q99" s="165"/>
      <c r="R99" s="165"/>
      <c r="S99" s="165"/>
    </row>
    <row r="100" customFormat="false" ht="15.6" hidden="false" customHeight="false" outlineLevel="0" collapsed="false">
      <c r="A100" s="153"/>
      <c r="B100" s="142"/>
      <c r="G100" s="214" t="s">
        <v>291</v>
      </c>
      <c r="H100" s="131" t="n">
        <f aca="false">H49/ABS(H31+0.000001)</f>
        <v>9.99999980000001E-005</v>
      </c>
      <c r="I100" s="131" t="n">
        <f aca="false">I49/ABS(I31+0.000001)</f>
        <v>0.000100000002</v>
      </c>
      <c r="J100" s="131" t="n">
        <f aca="false">J49/ABS(J31+0.000001)</f>
        <v>0.000100000002</v>
      </c>
      <c r="K100" s="131" t="n">
        <f aca="false">K49/ABS(K31+0.000001)</f>
        <v>9.99999980000001E-005</v>
      </c>
      <c r="L100" s="131" t="n">
        <f aca="false">L49/ABS(L31+0.000001)</f>
        <v>0</v>
      </c>
      <c r="M100" s="131" t="n">
        <f aca="false">M49/ABS(M31+0.000001)</f>
        <v>0</v>
      </c>
      <c r="N100" s="131" t="n">
        <f aca="false">N49/ABS(N31+0.000001)</f>
        <v>0</v>
      </c>
      <c r="O100" s="131" t="n">
        <f aca="false">O49/ABS(O31+0.000001)</f>
        <v>0</v>
      </c>
      <c r="P100" s="131" t="n">
        <f aca="false">P49/ABS(P31+0.000001)</f>
        <v>0</v>
      </c>
      <c r="Q100" s="131" t="n">
        <f aca="false">Q49/ABS(Q31+0.000001)</f>
        <v>0</v>
      </c>
      <c r="R100" s="131" t="n">
        <f aca="false">R49/ABS(R31+0.000001)</f>
        <v>0</v>
      </c>
      <c r="S100" s="131" t="n">
        <f aca="false">S49/ABS(S31+0.000001)</f>
        <v>0</v>
      </c>
    </row>
    <row r="101" customFormat="false" ht="15.6" hidden="false" customHeight="false" outlineLevel="0" collapsed="false">
      <c r="A101" s="153"/>
      <c r="B101" s="142"/>
      <c r="G101" s="214" t="s">
        <v>291</v>
      </c>
      <c r="H101" s="215" t="n">
        <f aca="false">H47/ABS(H33+0.000001)</f>
        <v>9.99999980000001E-005</v>
      </c>
      <c r="I101" s="215" t="n">
        <f aca="false">I47/ABS(I33+0.000001)</f>
        <v>9.99999980000001E-005</v>
      </c>
      <c r="J101" s="215" t="n">
        <f aca="false">J47/ABS(J33+0.000001)</f>
        <v>0.000100000002</v>
      </c>
      <c r="K101" s="215" t="n">
        <f aca="false">K47/ABS(K33+0.000001)</f>
        <v>0.000100000002</v>
      </c>
      <c r="L101" s="215" t="n">
        <f aca="false">L47/ABS(L33+0.000001)</f>
        <v>0</v>
      </c>
      <c r="M101" s="215" t="n">
        <f aca="false">M47/ABS(M33+0.000001)</f>
        <v>0</v>
      </c>
      <c r="N101" s="215" t="n">
        <f aca="false">N47/ABS(N33+0.000001)</f>
        <v>0</v>
      </c>
      <c r="O101" s="215" t="n">
        <f aca="false">O47/ABS(O33+0.000001)</f>
        <v>0</v>
      </c>
      <c r="P101" s="215" t="n">
        <f aca="false">P47/ABS(P33+0.000001)</f>
        <v>0</v>
      </c>
      <c r="Q101" s="215" t="n">
        <f aca="false">Q47/ABS(Q33+0.000001)</f>
        <v>0</v>
      </c>
      <c r="R101" s="215" t="n">
        <f aca="false">R47/ABS(R33+0.000001)</f>
        <v>0</v>
      </c>
      <c r="S101" s="215" t="n">
        <f aca="false">S47/ABS(S33+0.000001)</f>
        <v>0</v>
      </c>
    </row>
    <row r="102" customFormat="false" ht="15.6" hidden="false" customHeight="false" outlineLevel="0" collapsed="false">
      <c r="A102" s="153"/>
      <c r="B102" s="142"/>
      <c r="G102" s="77" t="s">
        <v>292</v>
      </c>
      <c r="H102" s="161" t="n">
        <f aca="false">IF(MIN(H100,H101)&gt;1,0,MIN(H100,H101))</f>
        <v>9.99999980000001E-005</v>
      </c>
      <c r="I102" s="161" t="n">
        <f aca="false">IF(MIN(I100,I101)&gt;1,0,MIN(I100,I101))</f>
        <v>9.99999980000001E-005</v>
      </c>
      <c r="J102" s="161" t="n">
        <f aca="false">IF(MIN(J100,J101)&gt;1,0,MIN(J100,J101))</f>
        <v>0.000100000002</v>
      </c>
      <c r="K102" s="161" t="n">
        <f aca="false">IF(MIN(K100,K101)&gt;1,0,MIN(K100,K101))</f>
        <v>9.99999980000001E-005</v>
      </c>
      <c r="L102" s="161" t="n">
        <f aca="false">IF(MIN(L100,L101)&gt;1,0,MIN(L100,L101))</f>
        <v>0</v>
      </c>
      <c r="M102" s="161" t="n">
        <f aca="false">IF(MIN(M100,M101)&gt;1,0,MIN(M100,M101))</f>
        <v>0</v>
      </c>
      <c r="N102" s="161" t="n">
        <f aca="false">IF(MIN(N100,N101)&gt;1,0,MIN(N100,N101))</f>
        <v>0</v>
      </c>
      <c r="O102" s="161" t="n">
        <f aca="false">IF(MIN(O100,O101)&gt;1,0,MIN(O100,O101))</f>
        <v>0</v>
      </c>
      <c r="P102" s="161" t="n">
        <f aca="false">IF(MIN(P100,P101)&gt;1,0,MIN(P100,P101))</f>
        <v>0</v>
      </c>
      <c r="Q102" s="161" t="n">
        <f aca="false">IF(MIN(Q100,Q101)&gt;1,0,MIN(Q100,Q101))</f>
        <v>0</v>
      </c>
      <c r="R102" s="161" t="n">
        <f aca="false">IF(MIN(R100,R101)&gt;1,0,MIN(R100,R101))</f>
        <v>0</v>
      </c>
      <c r="S102" s="161" t="n">
        <f aca="false">IF(MIN(S100,S101)&gt;1,0,MIN(S100,S101))</f>
        <v>0</v>
      </c>
    </row>
    <row r="103" customFormat="false" ht="15.6" hidden="false" customHeight="false" outlineLevel="0" collapsed="false">
      <c r="A103" s="153"/>
      <c r="B103" s="142"/>
      <c r="G103" s="0"/>
      <c r="H103" s="77" t="s">
        <v>294</v>
      </c>
      <c r="I103" s="0"/>
      <c r="J103" s="0"/>
      <c r="K103" s="0"/>
      <c r="L103" s="0"/>
      <c r="M103" s="0"/>
      <c r="N103" s="0"/>
      <c r="O103" s="0"/>
      <c r="P103" s="0"/>
      <c r="Q103" s="0"/>
      <c r="R103" s="0"/>
      <c r="S103" s="0"/>
    </row>
    <row r="104" customFormat="false" ht="15.6" hidden="false" customHeight="false" outlineLevel="0" collapsed="false">
      <c r="A104" s="153"/>
      <c r="B104" s="142"/>
      <c r="G104" s="165" t="s">
        <v>291</v>
      </c>
      <c r="H104" s="77" t="n">
        <f aca="false">H48/ABS(H31+0.000001)</f>
        <v>9.99999980000001E-005</v>
      </c>
      <c r="I104" s="77" t="n">
        <f aca="false">I48/ABS(I31+0.000001)</f>
        <v>0.000100000002</v>
      </c>
      <c r="J104" s="77" t="n">
        <f aca="false">J48/ABS(J31+0.000001)</f>
        <v>0.000100000002</v>
      </c>
      <c r="K104" s="77" t="n">
        <f aca="false">K48/ABS(K31+0.000001)</f>
        <v>9.99999980000001E-005</v>
      </c>
      <c r="L104" s="77" t="n">
        <f aca="false">L48/ABS(L31+0.000001)</f>
        <v>0</v>
      </c>
      <c r="M104" s="77" t="n">
        <f aca="false">M48/ABS(M31+0.000001)</f>
        <v>0</v>
      </c>
      <c r="N104" s="77" t="n">
        <f aca="false">N48/ABS(N31+0.000001)</f>
        <v>0</v>
      </c>
      <c r="O104" s="77" t="n">
        <f aca="false">O48/ABS(O31+0.000001)</f>
        <v>0</v>
      </c>
      <c r="P104" s="77" t="n">
        <f aca="false">P48/ABS(P31+0.000001)</f>
        <v>0</v>
      </c>
      <c r="Q104" s="77" t="n">
        <f aca="false">Q48/ABS(Q31+0.000001)</f>
        <v>0</v>
      </c>
      <c r="R104" s="77" t="n">
        <f aca="false">R48/ABS(R31+0.000001)</f>
        <v>0</v>
      </c>
      <c r="S104" s="77" t="n">
        <f aca="false">S48/ABS(S31+0.000001)</f>
        <v>0</v>
      </c>
    </row>
    <row r="105" customFormat="false" ht="15.6" hidden="false" customHeight="false" outlineLevel="0" collapsed="false">
      <c r="A105" s="153"/>
      <c r="B105" s="142"/>
      <c r="G105" s="165" t="s">
        <v>291</v>
      </c>
      <c r="H105" s="77" t="n">
        <f aca="false">H47/ABS(H32+0.000001)</f>
        <v>5000</v>
      </c>
      <c r="I105" s="77" t="n">
        <f aca="false">I47/ABS(I32+0.000001)</f>
        <v>5000</v>
      </c>
      <c r="J105" s="77" t="n">
        <f aca="false">J47/ABS(J32+0.000001)</f>
        <v>5000</v>
      </c>
      <c r="K105" s="77" t="n">
        <f aca="false">K47/ABS(K32+0.000001)</f>
        <v>5000</v>
      </c>
      <c r="L105" s="77" t="n">
        <f aca="false">L47/ABS(L32+0.000001)</f>
        <v>0</v>
      </c>
      <c r="M105" s="77" t="n">
        <f aca="false">M47/ABS(M32+0.000001)</f>
        <v>0</v>
      </c>
      <c r="N105" s="77" t="n">
        <f aca="false">N47/ABS(N32+0.000001)</f>
        <v>0</v>
      </c>
      <c r="O105" s="77" t="n">
        <f aca="false">O47/ABS(O32+0.000001)</f>
        <v>0</v>
      </c>
      <c r="P105" s="77" t="n">
        <f aca="false">P47/ABS(P32+0.000001)</f>
        <v>0</v>
      </c>
      <c r="Q105" s="77" t="n">
        <f aca="false">Q47/ABS(Q32+0.000001)</f>
        <v>0</v>
      </c>
      <c r="R105" s="77" t="n">
        <f aca="false">R47/ABS(R32+0.000001)</f>
        <v>0</v>
      </c>
      <c r="S105" s="77" t="n">
        <f aca="false">S47/ABS(S32+0.000001)</f>
        <v>0</v>
      </c>
    </row>
    <row r="106" customFormat="false" ht="15.6" hidden="false" customHeight="false" outlineLevel="0" collapsed="false">
      <c r="A106" s="153"/>
      <c r="B106" s="142"/>
      <c r="G106" s="77" t="s">
        <v>292</v>
      </c>
      <c r="H106" s="161" t="n">
        <f aca="false">IF(MIN(H104,H105)&gt;1,0,MIN(H104,H105))</f>
        <v>9.99999980000001E-005</v>
      </c>
      <c r="I106" s="161" t="n">
        <f aca="false">IF(MIN(I104,I105)&gt;1,0,MIN(I104,I105))</f>
        <v>0.000100000002</v>
      </c>
      <c r="J106" s="161" t="n">
        <f aca="false">IF(MIN(J104,J105)&gt;1,0,MIN(J104,J105))</f>
        <v>0.000100000002</v>
      </c>
      <c r="K106" s="161" t="n">
        <f aca="false">IF(MIN(K104,K105)&gt;1,0,MIN(K104,K105))</f>
        <v>9.99999980000001E-005</v>
      </c>
      <c r="L106" s="161" t="n">
        <f aca="false">IF(MIN(L104,L105)&gt;1,0,MIN(L104,L105))</f>
        <v>0</v>
      </c>
      <c r="M106" s="161" t="n">
        <f aca="false">IF(MIN(M104,M105)&gt;1,0,MIN(M104,M105))</f>
        <v>0</v>
      </c>
      <c r="N106" s="161" t="n">
        <f aca="false">IF(MIN(N104,N105)&gt;1,0,MIN(N104,N105))</f>
        <v>0</v>
      </c>
      <c r="O106" s="161" t="n">
        <f aca="false">IF(MIN(O104,O105)&gt;1,0,MIN(O104,O105))</f>
        <v>0</v>
      </c>
      <c r="P106" s="161" t="n">
        <f aca="false">IF(MIN(P104,P105)&gt;1,0,MIN(P104,P105))</f>
        <v>0</v>
      </c>
      <c r="Q106" s="161" t="n">
        <f aca="false">IF(MIN(Q104,Q105)&gt;1,0,MIN(Q104,Q105))</f>
        <v>0</v>
      </c>
      <c r="R106" s="161" t="n">
        <f aca="false">IF(MIN(R104,R105)&gt;1,0,MIN(R104,R105))</f>
        <v>0</v>
      </c>
      <c r="S106" s="161" t="n">
        <f aca="false">IF(MIN(S104,S105)&gt;1,0,MIN(S104,S105))</f>
        <v>0</v>
      </c>
    </row>
    <row r="107" customFormat="false" ht="15.6" hidden="false" customHeight="false" outlineLevel="0" collapsed="false">
      <c r="A107" s="153"/>
      <c r="B107" s="142"/>
      <c r="G107" s="0"/>
      <c r="H107" s="0"/>
      <c r="I107" s="0"/>
      <c r="J107" s="0"/>
      <c r="K107" s="0"/>
      <c r="L107" s="0"/>
      <c r="M107" s="0"/>
      <c r="N107" s="0"/>
      <c r="O107" s="0"/>
      <c r="P107" s="0"/>
      <c r="Q107" s="0"/>
      <c r="R107" s="0"/>
      <c r="S107" s="0"/>
    </row>
    <row r="108" customFormat="false" ht="15.6" hidden="false" customHeight="false" outlineLevel="0" collapsed="false">
      <c r="A108" s="153"/>
      <c r="B108" s="142"/>
      <c r="G108" s="212" t="s">
        <v>295</v>
      </c>
      <c r="H108" s="212"/>
      <c r="I108" s="212"/>
      <c r="J108" s="212"/>
      <c r="K108" s="212"/>
      <c r="L108" s="212"/>
      <c r="M108" s="212"/>
      <c r="N108" s="212"/>
      <c r="O108" s="212"/>
      <c r="P108" s="212"/>
      <c r="Q108" s="0"/>
      <c r="R108" s="0"/>
      <c r="S108" s="0"/>
    </row>
    <row r="109" customFormat="false" ht="15.6" hidden="false" customHeight="false" outlineLevel="0" collapsed="false">
      <c r="A109" s="153"/>
      <c r="B109" s="142"/>
      <c r="G109" s="0"/>
      <c r="H109" s="153" t="s">
        <v>296</v>
      </c>
      <c r="I109" s="153"/>
      <c r="J109" s="153"/>
      <c r="K109" s="153"/>
      <c r="L109" s="153"/>
      <c r="M109" s="153"/>
      <c r="N109" s="153"/>
      <c r="O109" s="153"/>
      <c r="P109" s="153"/>
      <c r="Q109" s="153"/>
      <c r="R109" s="153"/>
      <c r="S109" s="153"/>
    </row>
    <row r="110" customFormat="false" ht="15.6" hidden="false" customHeight="false" outlineLevel="0" collapsed="false">
      <c r="G110" s="165" t="s">
        <v>291</v>
      </c>
      <c r="H110" s="161" t="n">
        <f aca="false">H56/(H33+0.000001)</f>
        <v>0</v>
      </c>
      <c r="I110" s="161" t="n">
        <f aca="false">I56/(I33+0.000001)</f>
        <v>0</v>
      </c>
      <c r="J110" s="161" t="n">
        <f aca="false">J56/(J33+0.000001)</f>
        <v>-0</v>
      </c>
      <c r="K110" s="161" t="n">
        <f aca="false">K56/(K33+0.000001)</f>
        <v>-0</v>
      </c>
      <c r="L110" s="161" t="n">
        <f aca="false">L56/(L33+0.000001)</f>
        <v>0</v>
      </c>
      <c r="M110" s="161" t="n">
        <f aca="false">M56/(M33+0.000001)</f>
        <v>0</v>
      </c>
      <c r="N110" s="161" t="n">
        <f aca="false">N56/(N33+0.000001)</f>
        <v>0</v>
      </c>
      <c r="O110" s="161" t="n">
        <f aca="false">O56/(O33+0.000001)</f>
        <v>0</v>
      </c>
      <c r="P110" s="161" t="n">
        <f aca="false">P56/(P33+0.000001)</f>
        <v>0</v>
      </c>
      <c r="Q110" s="161" t="n">
        <f aca="false">Q56/(Q33+0.000001)</f>
        <v>0</v>
      </c>
      <c r="R110" s="161" t="n">
        <f aca="false">R56/(R33+0.000001)</f>
        <v>0</v>
      </c>
      <c r="S110" s="161" t="n">
        <f aca="false">S56/(S33+0.000001)</f>
        <v>0</v>
      </c>
    </row>
    <row r="111" customFormat="false" ht="15.6" hidden="false" customHeight="false" outlineLevel="0" collapsed="false">
      <c r="G111" s="165" t="s">
        <v>291</v>
      </c>
      <c r="H111" s="216" t="n">
        <f aca="false">H57/(H32+0.000001)</f>
        <v>0</v>
      </c>
      <c r="I111" s="216" t="n">
        <f aca="false">I57/(I32+0.000001)</f>
        <v>0</v>
      </c>
      <c r="J111" s="216" t="n">
        <f aca="false">J57/(J32+0.000001)</f>
        <v>0</v>
      </c>
      <c r="K111" s="216" t="n">
        <f aca="false">K57/(K32+0.000001)</f>
        <v>0</v>
      </c>
      <c r="L111" s="216" t="n">
        <f aca="false">L57/(L32+0.000001)</f>
        <v>0</v>
      </c>
      <c r="M111" s="216" t="n">
        <f aca="false">M57/(M32+0.000001)</f>
        <v>0</v>
      </c>
      <c r="N111" s="216" t="n">
        <f aca="false">N57/(N32+0.000001)</f>
        <v>0</v>
      </c>
      <c r="O111" s="216" t="n">
        <f aca="false">O57/(O32+0.000001)</f>
        <v>0</v>
      </c>
      <c r="P111" s="216" t="n">
        <f aca="false">P57/(P32+0.000001)</f>
        <v>0</v>
      </c>
      <c r="Q111" s="216" t="n">
        <f aca="false">Q57/(Q32+0.000001)</f>
        <v>0</v>
      </c>
      <c r="R111" s="216" t="n">
        <f aca="false">R57/(R32+0.000001)</f>
        <v>0</v>
      </c>
      <c r="S111" s="216" t="n">
        <f aca="false">S57/(S32+0.000001)</f>
        <v>0</v>
      </c>
    </row>
    <row r="112" customFormat="false" ht="15.6" hidden="false" customHeight="false" outlineLevel="0" collapsed="false">
      <c r="G112" s="77" t="s">
        <v>297</v>
      </c>
      <c r="H112" s="217" t="n">
        <f aca="false">SIGN(H110+0.000000000001)*SIGN(H111+0.000000000001)</f>
        <v>1</v>
      </c>
      <c r="I112" s="217" t="n">
        <f aca="false">SIGN(I110+0.000000000001)*SIGN(I111+0.000000000001)</f>
        <v>1</v>
      </c>
      <c r="J112" s="217" t="n">
        <f aca="false">SIGN(J110+0.000000000001)*SIGN(J111+0.000000000001)</f>
        <v>1</v>
      </c>
      <c r="K112" s="217" t="n">
        <f aca="false">SIGN(K110+0.000000000001)*SIGN(K111+0.000000000001)</f>
        <v>1</v>
      </c>
      <c r="L112" s="217" t="n">
        <f aca="false">SIGN(L110+0.000000000001)*SIGN(L111+0.000000000001)</f>
        <v>1</v>
      </c>
      <c r="M112" s="217" t="n">
        <f aca="false">SIGN(M110+0.000000000001)*SIGN(M111+0.000000000001)</f>
        <v>1</v>
      </c>
      <c r="N112" s="217" t="n">
        <f aca="false">SIGN(N110+0.000000000001)*SIGN(N111+0.000000000001)</f>
        <v>1</v>
      </c>
      <c r="O112" s="217" t="n">
        <f aca="false">SIGN(O110+0.000000000001)*SIGN(O111+0.000000000001)</f>
        <v>1</v>
      </c>
      <c r="P112" s="217" t="n">
        <f aca="false">SIGN(P110+0.000000000001)*SIGN(P111+0.000000000001)</f>
        <v>1</v>
      </c>
      <c r="Q112" s="217" t="n">
        <f aca="false">SIGN(Q110+0.000000000001)*SIGN(Q111+0.000000000001)</f>
        <v>1</v>
      </c>
      <c r="R112" s="217" t="n">
        <f aca="false">SIGN(R110+0.000000000001)*SIGN(R111+0.000000000001)</f>
        <v>1</v>
      </c>
      <c r="S112" s="217" t="n">
        <f aca="false">SIGN(S110+0.000000000001)*SIGN(S111+0.000000000001)</f>
        <v>1</v>
      </c>
    </row>
    <row r="113" customFormat="false" ht="15.6" hidden="false" customHeight="false" outlineLevel="0" collapsed="false">
      <c r="G113" s="77" t="s">
        <v>292</v>
      </c>
      <c r="H113" s="161" t="n">
        <f aca="false">IF(H112*MIN(ABS(H110),ABS(H111))&gt;1,0,H112*MIN(ABS(H110),ABS(H111)))</f>
        <v>0</v>
      </c>
      <c r="I113" s="161" t="n">
        <f aca="false">IF(I112*MIN(ABS(I110),ABS(I111))&gt;1,0,I112*MIN(ABS(I110),ABS(I111)))</f>
        <v>0</v>
      </c>
      <c r="J113" s="161" t="n">
        <f aca="false">IF(J112*MIN(ABS(J110),ABS(J111))&gt;1,0,J112*MIN(ABS(J110),ABS(J111)))</f>
        <v>0</v>
      </c>
      <c r="K113" s="161" t="n">
        <f aca="false">IF(K112*MIN(ABS(K110),ABS(K111))&gt;1,0,K112*MIN(ABS(K110),ABS(K111)))</f>
        <v>0</v>
      </c>
      <c r="L113" s="161" t="n">
        <f aca="false">IF(L112*MIN(ABS(L110),ABS(L111))&gt;1,0,L112*MIN(ABS(L110),ABS(L111)))</f>
        <v>0</v>
      </c>
      <c r="M113" s="161" t="n">
        <f aca="false">IF(M112*MIN(ABS(M110),ABS(M111))&gt;1,0,M112*MIN(ABS(M110),ABS(M111)))</f>
        <v>0</v>
      </c>
      <c r="N113" s="161" t="n">
        <f aca="false">IF(N112*MIN(ABS(N110),ABS(N111))&gt;1,0,N112*MIN(ABS(N110),ABS(N111)))</f>
        <v>0</v>
      </c>
      <c r="O113" s="161" t="n">
        <f aca="false">IF(O112*MIN(ABS(O110),ABS(O111))&gt;1,0,O112*MIN(ABS(O110),ABS(O111)))</f>
        <v>0</v>
      </c>
      <c r="P113" s="161" t="n">
        <f aca="false">IF(P112*MIN(ABS(P110),ABS(P111))&gt;1,0,P112*MIN(ABS(P110),ABS(P111)))</f>
        <v>0</v>
      </c>
      <c r="Q113" s="161" t="n">
        <f aca="false">IF(Q112*MIN(ABS(Q110),ABS(Q111))&gt;1,0,Q112*MIN(ABS(Q110),ABS(Q111)))</f>
        <v>0</v>
      </c>
      <c r="R113" s="161" t="n">
        <f aca="false">IF(R112*MIN(ABS(R110),ABS(R111))&gt;1,0,R112*MIN(ABS(R110),ABS(R111)))</f>
        <v>0</v>
      </c>
      <c r="S113" s="161" t="n">
        <f aca="false">IF(S112*MIN(ABS(S110),ABS(S111))&gt;1,0,S112*MIN(ABS(S110),ABS(S111)))</f>
        <v>0</v>
      </c>
    </row>
    <row r="114" customFormat="false" ht="15.6" hidden="false" customHeight="false" outlineLevel="0" collapsed="false">
      <c r="G114" s="0"/>
      <c r="H114" s="153" t="s">
        <v>298</v>
      </c>
      <c r="I114" s="153"/>
      <c r="J114" s="153"/>
      <c r="K114" s="153"/>
      <c r="L114" s="153"/>
      <c r="M114" s="153"/>
      <c r="N114" s="153"/>
      <c r="O114" s="153"/>
      <c r="P114" s="153"/>
      <c r="Q114" s="153"/>
      <c r="R114" s="153"/>
      <c r="S114" s="153"/>
    </row>
    <row r="115" customFormat="false" ht="15.6" hidden="false" customHeight="false" outlineLevel="0" collapsed="false">
      <c r="G115" s="214" t="s">
        <v>291</v>
      </c>
      <c r="H115" s="131" t="n">
        <f aca="false">-H57/(H31+0.000001)</f>
        <v>-0</v>
      </c>
      <c r="I115" s="131" t="n">
        <f aca="false">-I57/(I31+0.000001)</f>
        <v>0</v>
      </c>
      <c r="J115" s="131" t="n">
        <f aca="false">-J57/(J31+0.000001)</f>
        <v>0</v>
      </c>
      <c r="K115" s="131" t="n">
        <f aca="false">-K57/(K31+0.000001)</f>
        <v>-0</v>
      </c>
      <c r="L115" s="131" t="n">
        <f aca="false">-L57/(L31+0.000001)</f>
        <v>-0</v>
      </c>
      <c r="M115" s="131" t="n">
        <f aca="false">-M57/(M31+0.000001)</f>
        <v>-0</v>
      </c>
      <c r="N115" s="131" t="n">
        <f aca="false">-N57/(N31+0.000001)</f>
        <v>-0</v>
      </c>
      <c r="O115" s="131" t="n">
        <f aca="false">-O57/(O31+0.000001)</f>
        <v>-0</v>
      </c>
      <c r="P115" s="131" t="n">
        <f aca="false">-P57/(P31+0.000001)</f>
        <v>-0</v>
      </c>
      <c r="Q115" s="131" t="n">
        <f aca="false">-Q57/(Q31+0.000001)</f>
        <v>-0</v>
      </c>
      <c r="R115" s="131" t="n">
        <f aca="false">-R57/(R31+0.000001)</f>
        <v>-0</v>
      </c>
      <c r="S115" s="131" t="n">
        <f aca="false">-S57/(S31+0.000001)</f>
        <v>-0</v>
      </c>
    </row>
    <row r="116" customFormat="false" ht="15.6" hidden="false" customHeight="false" outlineLevel="0" collapsed="false">
      <c r="G116" s="214" t="s">
        <v>291</v>
      </c>
      <c r="H116" s="131" t="n">
        <f aca="false">H55/(H33+0.000001)</f>
        <v>0</v>
      </c>
      <c r="I116" s="131" t="n">
        <f aca="false">I55/(I33+0.000001)</f>
        <v>0</v>
      </c>
      <c r="J116" s="131" t="n">
        <f aca="false">J55/(J33+0.000001)</f>
        <v>-0</v>
      </c>
      <c r="K116" s="131" t="n">
        <f aca="false">K55/(K33+0.000001)</f>
        <v>-0</v>
      </c>
      <c r="L116" s="131" t="n">
        <f aca="false">L55/(L33+0.000001)</f>
        <v>0</v>
      </c>
      <c r="M116" s="131" t="n">
        <f aca="false">M55/(M33+0.000001)</f>
        <v>0</v>
      </c>
      <c r="N116" s="131" t="n">
        <f aca="false">N55/(N33+0.000001)</f>
        <v>0</v>
      </c>
      <c r="O116" s="131" t="n">
        <f aca="false">O55/(O33+0.000001)</f>
        <v>0</v>
      </c>
      <c r="P116" s="131" t="n">
        <f aca="false">P55/(P33+0.000001)</f>
        <v>0</v>
      </c>
      <c r="Q116" s="131" t="n">
        <f aca="false">Q55/(Q33+0.000001)</f>
        <v>0</v>
      </c>
      <c r="R116" s="131" t="n">
        <f aca="false">R55/(R33+0.000001)</f>
        <v>0</v>
      </c>
      <c r="S116" s="131" t="n">
        <f aca="false">S55/(S33+0.000001)</f>
        <v>0</v>
      </c>
    </row>
    <row r="117" customFormat="false" ht="15.6" hidden="false" customHeight="false" outlineLevel="0" collapsed="false">
      <c r="G117" s="131" t="s">
        <v>297</v>
      </c>
      <c r="H117" s="218" t="n">
        <f aca="false">SIGN(H115+0.000000000001)*SIGN(H116+0.000000000001)</f>
        <v>1</v>
      </c>
      <c r="I117" s="218" t="n">
        <f aca="false">SIGN(I115+0.000000000001)*SIGN(I116+0.000000000001)</f>
        <v>1</v>
      </c>
      <c r="J117" s="218" t="n">
        <f aca="false">SIGN(J115+0.000000000001)*SIGN(J116+0.000000000001)</f>
        <v>1</v>
      </c>
      <c r="K117" s="218" t="n">
        <f aca="false">SIGN(K115+0.000000000001)*SIGN(K116+0.000000000001)</f>
        <v>1</v>
      </c>
      <c r="L117" s="218" t="n">
        <f aca="false">SIGN(L115+0.000000000001)*SIGN(L116+0.000000000001)</f>
        <v>1</v>
      </c>
      <c r="M117" s="218" t="n">
        <f aca="false">SIGN(M115+0.000000000001)*SIGN(M116+0.000000000001)</f>
        <v>1</v>
      </c>
      <c r="N117" s="218" t="n">
        <f aca="false">SIGN(N115+0.000000000001)*SIGN(N116+0.000000000001)</f>
        <v>1</v>
      </c>
      <c r="O117" s="218" t="n">
        <f aca="false">SIGN(O115+0.000000000001)*SIGN(O116+0.000000000001)</f>
        <v>1</v>
      </c>
      <c r="P117" s="218" t="n">
        <f aca="false">SIGN(P115+0.000000000001)*SIGN(P116+0.000000000001)</f>
        <v>1</v>
      </c>
      <c r="Q117" s="218" t="n">
        <f aca="false">SIGN(Q115+0.000000000001)*SIGN(Q116+0.000000000001)</f>
        <v>1</v>
      </c>
      <c r="R117" s="218" t="n">
        <f aca="false">SIGN(R115+0.000000000001)*SIGN(R116+0.000000000001)</f>
        <v>1</v>
      </c>
      <c r="S117" s="218" t="n">
        <f aca="false">SIGN(S115+0.000000000001)*SIGN(S116+0.000000000001)</f>
        <v>1</v>
      </c>
    </row>
    <row r="118" customFormat="false" ht="15.6" hidden="false" customHeight="false" outlineLevel="0" collapsed="false">
      <c r="G118" s="131" t="s">
        <v>292</v>
      </c>
      <c r="H118" s="219" t="n">
        <f aca="false">IF(H117*MIN(ABS(H115),ABS(H116))&gt;1,0,H117*MIN(ABS(H115),ABS(H116)))</f>
        <v>0</v>
      </c>
      <c r="I118" s="219" t="n">
        <f aca="false">IF(I117*MIN(ABS(I115),ABS(I116))&gt;1,0,I117*MIN(ABS(I115),ABS(I116)))</f>
        <v>0</v>
      </c>
      <c r="J118" s="219" t="n">
        <f aca="false">IF(J117*MIN(ABS(J115),ABS(J116))&gt;1,0,J117*MIN(ABS(J115),ABS(J116)))</f>
        <v>0</v>
      </c>
      <c r="K118" s="219" t="n">
        <f aca="false">IF(K117*MIN(ABS(K115),ABS(K116))&gt;1,0,K117*MIN(ABS(K115),ABS(K116)))</f>
        <v>0</v>
      </c>
      <c r="L118" s="219" t="n">
        <f aca="false">IF(L117*MIN(ABS(L115),ABS(L116))&gt;1,0,L117*MIN(ABS(L115),ABS(L116)))</f>
        <v>0</v>
      </c>
      <c r="M118" s="219" t="n">
        <f aca="false">IF(M117*MIN(ABS(M115),ABS(M116))&gt;1,0,M117*MIN(ABS(M115),ABS(M116)))</f>
        <v>0</v>
      </c>
      <c r="N118" s="219" t="n">
        <f aca="false">IF(N117*MIN(ABS(N115),ABS(N116))&gt;1,0,N117*MIN(ABS(N115),ABS(N116)))</f>
        <v>0</v>
      </c>
      <c r="O118" s="219" t="n">
        <f aca="false">IF(O117*MIN(ABS(O115),ABS(O116))&gt;1,0,O117*MIN(ABS(O115),ABS(O116)))</f>
        <v>0</v>
      </c>
      <c r="P118" s="219" t="n">
        <f aca="false">IF(P117*MIN(ABS(P115),ABS(P116))&gt;1,0,P117*MIN(ABS(P115),ABS(P116)))</f>
        <v>0</v>
      </c>
      <c r="Q118" s="219" t="n">
        <f aca="false">IF(Q117*MIN(ABS(Q115),ABS(Q116))&gt;1,0,Q117*MIN(ABS(Q115),ABS(Q116)))</f>
        <v>0</v>
      </c>
      <c r="R118" s="219" t="n">
        <f aca="false">IF(R117*MIN(ABS(R115),ABS(R116))&gt;1,0,R117*MIN(ABS(R115),ABS(R116)))</f>
        <v>0</v>
      </c>
      <c r="S118" s="219" t="n">
        <f aca="false">IF(S117*MIN(ABS(S115),ABS(S116))&gt;1,0,S117*MIN(ABS(S115),ABS(S116)))</f>
        <v>0</v>
      </c>
    </row>
    <row r="119" customFormat="false" ht="15.6" hidden="false" customHeight="false" outlineLevel="0" collapsed="false">
      <c r="G119" s="0"/>
      <c r="H119" s="153" t="s">
        <v>299</v>
      </c>
      <c r="I119" s="153"/>
      <c r="J119" s="153"/>
      <c r="K119" s="153"/>
      <c r="L119" s="153"/>
      <c r="M119" s="153"/>
      <c r="N119" s="153"/>
      <c r="O119" s="153"/>
      <c r="P119" s="153"/>
      <c r="Q119" s="153"/>
      <c r="R119" s="153"/>
      <c r="S119" s="153"/>
    </row>
    <row r="120" customFormat="false" ht="15.6" hidden="false" customHeight="false" outlineLevel="0" collapsed="false">
      <c r="G120" s="165" t="s">
        <v>291</v>
      </c>
      <c r="H120" s="161" t="n">
        <f aca="false">H56/(H31+0.000001)</f>
        <v>0</v>
      </c>
      <c r="I120" s="161" t="n">
        <f aca="false">I56/(I31+0.000001)</f>
        <v>-0</v>
      </c>
      <c r="J120" s="161" t="n">
        <f aca="false">J56/(J31+0.000001)</f>
        <v>-0</v>
      </c>
      <c r="K120" s="161" t="n">
        <f aca="false">K56/(K31+0.000001)</f>
        <v>0</v>
      </c>
      <c r="L120" s="161" t="n">
        <f aca="false">L56/(L31+0.000001)</f>
        <v>0</v>
      </c>
      <c r="M120" s="161" t="n">
        <f aca="false">M56/(M31+0.000001)</f>
        <v>0</v>
      </c>
      <c r="N120" s="161" t="n">
        <f aca="false">N56/(N31+0.000001)</f>
        <v>0</v>
      </c>
      <c r="O120" s="161" t="n">
        <f aca="false">O56/(O31+0.000001)</f>
        <v>0</v>
      </c>
      <c r="P120" s="161" t="n">
        <f aca="false">P56/(P31+0.000001)</f>
        <v>0</v>
      </c>
      <c r="Q120" s="161" t="n">
        <f aca="false">Q56/(Q31+0.000001)</f>
        <v>0</v>
      </c>
      <c r="R120" s="161" t="n">
        <f aca="false">R56/(R31+0.000001)</f>
        <v>0</v>
      </c>
      <c r="S120" s="161" t="n">
        <f aca="false">S56/(S31+0.000001)</f>
        <v>0</v>
      </c>
    </row>
    <row r="121" customFormat="false" ht="15.6" hidden="false" customHeight="false" outlineLevel="0" collapsed="false">
      <c r="G121" s="165" t="s">
        <v>291</v>
      </c>
      <c r="H121" s="77" t="n">
        <f aca="false">H55/(H32+0.000001)</f>
        <v>0</v>
      </c>
      <c r="I121" s="77" t="n">
        <f aca="false">I55/(I32+0.000001)</f>
        <v>0</v>
      </c>
      <c r="J121" s="77" t="n">
        <f aca="false">J55/(J32+0.000001)</f>
        <v>0</v>
      </c>
      <c r="K121" s="77" t="n">
        <f aca="false">K55/(K32+0.000001)</f>
        <v>0</v>
      </c>
      <c r="L121" s="77" t="n">
        <f aca="false">L55/(L32+0.000001)</f>
        <v>0</v>
      </c>
      <c r="M121" s="77" t="n">
        <f aca="false">M55/(M32+0.000001)</f>
        <v>0</v>
      </c>
      <c r="N121" s="77" t="n">
        <f aca="false">N55/(N32+0.000001)</f>
        <v>0</v>
      </c>
      <c r="O121" s="77" t="n">
        <f aca="false">O55/(O32+0.000001)</f>
        <v>0</v>
      </c>
      <c r="P121" s="77" t="n">
        <f aca="false">P55/(P32+0.000001)</f>
        <v>0</v>
      </c>
      <c r="Q121" s="77" t="n">
        <f aca="false">Q55/(Q32+0.000001)</f>
        <v>0</v>
      </c>
      <c r="R121" s="77" t="n">
        <f aca="false">R55/(R32+0.000001)</f>
        <v>0</v>
      </c>
      <c r="S121" s="77" t="n">
        <f aca="false">S55/(S32+0.000001)</f>
        <v>0</v>
      </c>
    </row>
    <row r="122" customFormat="false" ht="15.6" hidden="false" customHeight="false" outlineLevel="0" collapsed="false">
      <c r="G122" s="77" t="s">
        <v>297</v>
      </c>
      <c r="H122" s="217" t="n">
        <f aca="false">SIGN(H120+0.000000000001)*SIGN(H121+0.000000000001)</f>
        <v>1</v>
      </c>
      <c r="I122" s="217" t="n">
        <f aca="false">SIGN(I120+0.000000000001)*SIGN(I121+0.000000000001)</f>
        <v>1</v>
      </c>
      <c r="J122" s="217" t="n">
        <f aca="false">SIGN(J120+0.000000000001)*SIGN(J121+0.000000000001)</f>
        <v>1</v>
      </c>
      <c r="K122" s="217" t="n">
        <f aca="false">SIGN(K120+0.000000000001)*SIGN(K121+0.000000000001)</f>
        <v>1</v>
      </c>
      <c r="L122" s="217" t="n">
        <f aca="false">SIGN(L120+0.000000000001)*SIGN(L121+0.000000000001)</f>
        <v>1</v>
      </c>
      <c r="M122" s="217" t="n">
        <f aca="false">SIGN(M120+0.000000000001)*SIGN(M121+0.000000000001)</f>
        <v>1</v>
      </c>
      <c r="N122" s="217" t="n">
        <f aca="false">SIGN(N120+0.000000000001)*SIGN(N121+0.000000000001)</f>
        <v>1</v>
      </c>
      <c r="O122" s="217" t="n">
        <f aca="false">SIGN(O120+0.000000000001)*SIGN(O121+0.000000000001)</f>
        <v>1</v>
      </c>
      <c r="P122" s="217" t="n">
        <f aca="false">SIGN(P120+0.000000000001)*SIGN(P121+0.000000000001)</f>
        <v>1</v>
      </c>
      <c r="Q122" s="217" t="n">
        <f aca="false">SIGN(Q120+0.000000000001)*SIGN(Q121+0.000000000001)</f>
        <v>1</v>
      </c>
      <c r="R122" s="217" t="n">
        <f aca="false">SIGN(R120+0.000000000001)*SIGN(R121+0.000000000001)</f>
        <v>1</v>
      </c>
      <c r="S122" s="217" t="n">
        <f aca="false">SIGN(S120+0.000000000001)*SIGN(S121+0.000000000001)</f>
        <v>1</v>
      </c>
    </row>
    <row r="123" customFormat="false" ht="15.6" hidden="false" customHeight="false" outlineLevel="0" collapsed="false">
      <c r="G123" s="77" t="s">
        <v>292</v>
      </c>
      <c r="H123" s="161" t="n">
        <f aca="false">IF(H122*MIN(ABS(H120),ABS(H121))&gt;1,0,H122*MIN(ABS(H120),ABS(H121)))</f>
        <v>0</v>
      </c>
      <c r="I123" s="161" t="n">
        <f aca="false">IF(I122*MIN(ABS(I120),ABS(I121))&gt;1,0,I122*MIN(ABS(I120),ABS(I121)))</f>
        <v>0</v>
      </c>
      <c r="J123" s="161" t="n">
        <f aca="false">IF(J122*MIN(ABS(J120),ABS(J121))&gt;1,0,J122*MIN(ABS(J120),ABS(J121)))</f>
        <v>0</v>
      </c>
      <c r="K123" s="161" t="n">
        <f aca="false">IF(K122*MIN(ABS(K120),ABS(K121))&gt;1,0,K122*MIN(ABS(K120),ABS(K121)))</f>
        <v>0</v>
      </c>
      <c r="L123" s="161" t="n">
        <f aca="false">IF(L122*MIN(ABS(L120),ABS(L121))&gt;1,0,L122*MIN(ABS(L120),ABS(L121)))</f>
        <v>0</v>
      </c>
      <c r="M123" s="161" t="n">
        <f aca="false">IF(M122*MIN(ABS(M120),ABS(M121))&gt;1,0,M122*MIN(ABS(M120),ABS(M121)))</f>
        <v>0</v>
      </c>
      <c r="N123" s="161" t="n">
        <f aca="false">IF(N122*MIN(ABS(N120),ABS(N121))&gt;1,0,N122*MIN(ABS(N120),ABS(N121)))</f>
        <v>0</v>
      </c>
      <c r="O123" s="161" t="n">
        <f aca="false">IF(O122*MIN(ABS(O120),ABS(O121))&gt;1,0,O122*MIN(ABS(O120),ABS(O121)))</f>
        <v>0</v>
      </c>
      <c r="P123" s="161" t="n">
        <f aca="false">IF(P122*MIN(ABS(P120),ABS(P121))&gt;1,0,P122*MIN(ABS(P120),ABS(P121)))</f>
        <v>0</v>
      </c>
      <c r="Q123" s="161" t="n">
        <f aca="false">IF(Q122*MIN(ABS(Q120),ABS(Q121))&gt;1,0,Q122*MIN(ABS(Q120),ABS(Q121)))</f>
        <v>0</v>
      </c>
      <c r="R123" s="161" t="n">
        <f aca="false">IF(R122*MIN(ABS(R120),ABS(R121))&gt;1,0,R122*MIN(ABS(R120),ABS(R121)))</f>
        <v>0</v>
      </c>
      <c r="S123" s="161" t="n">
        <f aca="false">IF(S122*MIN(ABS(S120),ABS(S121))&gt;1,0,S122*MIN(ABS(S120),ABS(S121)))</f>
        <v>0</v>
      </c>
    </row>
  </sheetData>
  <mergeCells count="9">
    <mergeCell ref="E3:M3"/>
    <mergeCell ref="E4:M4"/>
    <mergeCell ref="F5:F10"/>
    <mergeCell ref="A22:M22"/>
    <mergeCell ref="H29:S29"/>
    <mergeCell ref="A32:C34"/>
    <mergeCell ref="H34:K34"/>
    <mergeCell ref="H38:K38"/>
    <mergeCell ref="H64:H69"/>
  </mergeCells>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T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2" activeCellId="0" sqref="I2"/>
    </sheetView>
  </sheetViews>
  <sheetFormatPr defaultRowHeight="15.6"/>
  <cols>
    <col collapsed="false" hidden="false" max="1" min="1" style="77" width="46.4481481481482"/>
    <col collapsed="false" hidden="false" max="2" min="2" style="77" width="18.2259259259259"/>
    <col collapsed="false" hidden="false" max="3" min="3" style="77" width="33.6111111111111"/>
    <col collapsed="false" hidden="false" max="4" min="4" style="77" width="12.2481481481481"/>
    <col collapsed="false" hidden="false" max="6" min="5" style="77" width="7.34814814814815"/>
    <col collapsed="false" hidden="false" max="7" min="7" style="77" width="27.1444444444444"/>
    <col collapsed="false" hidden="false" max="8" min="8" style="77" width="13.8185185185185"/>
    <col collapsed="false" hidden="false" max="11" min="9" style="77" width="11.2703703703704"/>
    <col collapsed="false" hidden="false" max="12" min="12" style="77" width="16.5592592592593"/>
    <col collapsed="false" hidden="false" max="1025" min="13" style="77" width="11.2703703703704"/>
  </cols>
  <sheetData>
    <row r="1" customFormat="false" ht="15.6" hidden="false" customHeight="false" outlineLevel="0" collapsed="false">
      <c r="A1" s="132" t="str">
        <f aca="false">'CSs and Loads'!A276</f>
        <v>CS 9</v>
      </c>
      <c r="B1" s="132" t="str">
        <f aca="false">'CSs and Loads'!A286</f>
        <v>Thing 9</v>
      </c>
      <c r="C1" s="0"/>
      <c r="D1" s="0"/>
      <c r="E1" s="0"/>
      <c r="F1" s="0"/>
      <c r="G1" s="0"/>
      <c r="H1" s="0"/>
      <c r="I1" s="0"/>
      <c r="J1" s="0"/>
      <c r="K1" s="0"/>
      <c r="L1" s="0"/>
      <c r="M1" s="0"/>
      <c r="N1" s="0"/>
      <c r="O1" s="0"/>
      <c r="P1" s="0"/>
      <c r="Q1" s="0"/>
      <c r="R1" s="0"/>
      <c r="S1" s="0"/>
      <c r="T1" s="0"/>
    </row>
    <row r="2" customFormat="false" ht="16.2" hidden="false" customHeight="false" outlineLevel="0" collapsed="false">
      <c r="A2" s="134" t="s">
        <v>196</v>
      </c>
      <c r="B2" s="0"/>
      <c r="C2" s="0"/>
      <c r="D2" s="0"/>
      <c r="E2" s="136"/>
      <c r="F2" s="136"/>
      <c r="G2" s="136"/>
      <c r="H2" s="136"/>
      <c r="I2" s="191"/>
      <c r="J2" s="136"/>
      <c r="K2" s="136"/>
      <c r="L2" s="137"/>
      <c r="M2" s="137"/>
      <c r="N2" s="138"/>
      <c r="O2" s="0"/>
      <c r="P2" s="0"/>
      <c r="Q2" s="0"/>
      <c r="R2" s="0"/>
      <c r="S2" s="0"/>
      <c r="T2" s="0"/>
    </row>
    <row r="3" customFormat="false" ht="15.6" hidden="false" customHeight="false" outlineLevel="0" collapsed="false">
      <c r="A3" s="134" t="s">
        <v>197</v>
      </c>
      <c r="B3" s="0"/>
      <c r="C3" s="0"/>
      <c r="D3" s="220"/>
      <c r="E3" s="140" t="s">
        <v>198</v>
      </c>
      <c r="F3" s="140"/>
      <c r="G3" s="140"/>
      <c r="H3" s="140"/>
      <c r="I3" s="140"/>
      <c r="J3" s="140"/>
      <c r="K3" s="140"/>
      <c r="L3" s="140"/>
      <c r="M3" s="140"/>
      <c r="N3" s="141"/>
      <c r="O3" s="142"/>
      <c r="P3" s="142"/>
      <c r="Q3" s="142"/>
      <c r="R3" s="142"/>
      <c r="S3" s="0"/>
      <c r="T3" s="0"/>
    </row>
    <row r="4" customFormat="false" ht="15.6" hidden="false" customHeight="false" outlineLevel="0" collapsed="false">
      <c r="A4" s="134"/>
      <c r="B4" s="0"/>
      <c r="C4" s="134" t="s">
        <v>201</v>
      </c>
      <c r="D4" s="223"/>
      <c r="E4" s="260" t="s">
        <v>344</v>
      </c>
      <c r="F4" s="260"/>
      <c r="G4" s="260"/>
      <c r="H4" s="260"/>
      <c r="I4" s="260"/>
      <c r="J4" s="260"/>
      <c r="K4" s="260"/>
      <c r="L4" s="260"/>
      <c r="M4" s="260"/>
      <c r="N4" s="141"/>
      <c r="O4" s="142"/>
      <c r="P4" s="142"/>
      <c r="Q4" s="142"/>
      <c r="R4" s="142"/>
      <c r="S4" s="0"/>
      <c r="T4" s="0"/>
    </row>
    <row r="5" customFormat="false" ht="15.6" hidden="false" customHeight="false" outlineLevel="0" collapsed="false">
      <c r="A5" s="134"/>
      <c r="B5" s="0"/>
      <c r="C5" s="153" t="s">
        <v>205</v>
      </c>
      <c r="D5" s="223" t="n">
        <v>25</v>
      </c>
      <c r="E5" s="148" t="s">
        <v>206</v>
      </c>
      <c r="F5" s="149" t="s">
        <v>207</v>
      </c>
      <c r="G5" s="261" t="n">
        <v>0</v>
      </c>
      <c r="H5" s="261" t="n">
        <v>0</v>
      </c>
      <c r="I5" s="261" t="n">
        <v>0</v>
      </c>
      <c r="J5" s="261" t="n">
        <v>0</v>
      </c>
      <c r="K5" s="261" t="n">
        <v>0</v>
      </c>
      <c r="L5" s="261" t="n">
        <v>0</v>
      </c>
      <c r="M5" s="152" t="s">
        <v>208</v>
      </c>
      <c r="N5" s="141"/>
      <c r="O5" s="142"/>
      <c r="P5" s="142"/>
      <c r="Q5" s="142"/>
      <c r="R5" s="142"/>
      <c r="S5" s="0"/>
      <c r="T5" s="0"/>
    </row>
    <row r="6" customFormat="false" ht="15.6" hidden="false" customHeight="false" outlineLevel="0" collapsed="false">
      <c r="A6" s="134"/>
      <c r="B6" s="0"/>
      <c r="C6" s="153" t="s">
        <v>211</v>
      </c>
      <c r="D6" s="223" t="n">
        <f aca="false">1770*9.8</f>
        <v>17346</v>
      </c>
      <c r="E6" s="148" t="s">
        <v>212</v>
      </c>
      <c r="F6" s="149"/>
      <c r="G6" s="261" t="n">
        <v>0</v>
      </c>
      <c r="H6" s="261" t="n">
        <v>0</v>
      </c>
      <c r="I6" s="261" t="n">
        <v>0</v>
      </c>
      <c r="J6" s="261" t="n">
        <v>0</v>
      </c>
      <c r="K6" s="261" t="n">
        <v>0</v>
      </c>
      <c r="L6" s="261" t="n">
        <v>0</v>
      </c>
      <c r="M6" s="152" t="s">
        <v>213</v>
      </c>
      <c r="N6" s="141"/>
      <c r="O6" s="142"/>
      <c r="P6" s="142"/>
      <c r="Q6" s="142"/>
      <c r="R6" s="142"/>
      <c r="S6" s="0"/>
      <c r="T6" s="0"/>
    </row>
    <row r="7" customFormat="false" ht="15.6" hidden="false" customHeight="false" outlineLevel="0" collapsed="false">
      <c r="A7" s="134"/>
      <c r="B7" s="0"/>
      <c r="C7" s="153" t="s">
        <v>215</v>
      </c>
      <c r="D7" s="223" t="n">
        <f aca="false">647*1000</f>
        <v>647000</v>
      </c>
      <c r="E7" s="148" t="s">
        <v>216</v>
      </c>
      <c r="F7" s="149"/>
      <c r="G7" s="261" t="n">
        <v>0</v>
      </c>
      <c r="H7" s="261" t="n">
        <v>0</v>
      </c>
      <c r="I7" s="261" t="n">
        <v>0</v>
      </c>
      <c r="J7" s="261" t="n">
        <v>0</v>
      </c>
      <c r="K7" s="261" t="n">
        <v>0</v>
      </c>
      <c r="L7" s="261" t="n">
        <v>0</v>
      </c>
      <c r="M7" s="152" t="s">
        <v>217</v>
      </c>
      <c r="N7" s="141"/>
      <c r="O7" s="142"/>
      <c r="P7" s="142"/>
      <c r="Q7" s="142"/>
      <c r="R7" s="142"/>
      <c r="S7" s="0"/>
      <c r="T7" s="0"/>
    </row>
    <row r="8" customFormat="false" ht="15.6" hidden="false" customHeight="false" outlineLevel="0" collapsed="false">
      <c r="A8" s="134"/>
      <c r="B8" s="0"/>
      <c r="C8" s="153" t="s">
        <v>219</v>
      </c>
      <c r="D8" s="223" t="n">
        <v>3</v>
      </c>
      <c r="E8" s="148" t="s">
        <v>220</v>
      </c>
      <c r="F8" s="149"/>
      <c r="G8" s="261" t="n">
        <v>0</v>
      </c>
      <c r="H8" s="261" t="n">
        <v>0</v>
      </c>
      <c r="I8" s="261" t="n">
        <v>0</v>
      </c>
      <c r="J8" s="261" t="n">
        <v>0</v>
      </c>
      <c r="K8" s="261" t="n">
        <v>0</v>
      </c>
      <c r="L8" s="261" t="n">
        <v>0</v>
      </c>
      <c r="M8" s="152" t="s">
        <v>221</v>
      </c>
      <c r="N8" s="141"/>
      <c r="O8" s="142"/>
      <c r="P8" s="142"/>
      <c r="Q8" s="142"/>
      <c r="R8" s="142"/>
      <c r="S8" s="0"/>
      <c r="T8" s="0"/>
    </row>
    <row r="9" customFormat="false" ht="15.6" hidden="false" customHeight="false" outlineLevel="0" collapsed="false">
      <c r="A9" s="134"/>
      <c r="B9" s="0"/>
      <c r="C9" s="153" t="s">
        <v>223</v>
      </c>
      <c r="D9" s="223" t="n">
        <v>0.01</v>
      </c>
      <c r="E9" s="148" t="s">
        <v>224</v>
      </c>
      <c r="F9" s="149"/>
      <c r="G9" s="261" t="n">
        <v>0</v>
      </c>
      <c r="H9" s="261" t="n">
        <v>0</v>
      </c>
      <c r="I9" s="261" t="n">
        <v>0</v>
      </c>
      <c r="J9" s="261" t="n">
        <v>0</v>
      </c>
      <c r="K9" s="261" t="n">
        <v>0</v>
      </c>
      <c r="L9" s="261" t="n">
        <v>0</v>
      </c>
      <c r="M9" s="152" t="s">
        <v>225</v>
      </c>
      <c r="N9" s="141"/>
      <c r="O9" s="142"/>
      <c r="P9" s="142"/>
      <c r="Q9" s="142"/>
      <c r="R9" s="142"/>
      <c r="S9" s="0"/>
      <c r="T9" s="0"/>
    </row>
    <row r="10" customFormat="false" ht="16.2" hidden="false" customHeight="false" outlineLevel="0" collapsed="false">
      <c r="A10" s="134"/>
      <c r="B10" s="0"/>
      <c r="C10" s="153" t="s">
        <v>227</v>
      </c>
      <c r="D10" s="262" t="n">
        <f aca="false">D6/(D8*D9)</f>
        <v>578200</v>
      </c>
      <c r="E10" s="157" t="s">
        <v>228</v>
      </c>
      <c r="F10" s="149"/>
      <c r="G10" s="263" t="n">
        <v>0</v>
      </c>
      <c r="H10" s="263" t="n">
        <v>0</v>
      </c>
      <c r="I10" s="263" t="n">
        <v>0</v>
      </c>
      <c r="J10" s="263" t="n">
        <v>0</v>
      </c>
      <c r="K10" s="263" t="n">
        <v>0</v>
      </c>
      <c r="L10" s="263" t="n">
        <v>0</v>
      </c>
      <c r="M10" s="160" t="s">
        <v>229</v>
      </c>
      <c r="N10" s="141"/>
      <c r="O10" s="142"/>
      <c r="P10" s="142"/>
      <c r="Q10" s="142"/>
      <c r="R10" s="142"/>
      <c r="S10" s="0"/>
      <c r="T10" s="0"/>
    </row>
    <row r="11" customFormat="false" ht="15.6" hidden="false" customHeight="false" outlineLevel="0" collapsed="false">
      <c r="A11" s="134"/>
      <c r="B11" s="0"/>
      <c r="C11" s="153" t="s">
        <v>231</v>
      </c>
      <c r="D11" s="134" t="n">
        <v>25</v>
      </c>
      <c r="E11" s="187"/>
      <c r="F11" s="187"/>
      <c r="G11" s="187"/>
      <c r="H11" s="187"/>
      <c r="I11" s="187"/>
      <c r="J11" s="187"/>
      <c r="K11" s="187"/>
      <c r="L11" s="187"/>
      <c r="M11" s="187"/>
      <c r="N11" s="0"/>
      <c r="O11" s="142"/>
      <c r="P11" s="142"/>
      <c r="Q11" s="142"/>
      <c r="R11" s="142"/>
      <c r="S11" s="0"/>
      <c r="T11" s="0"/>
    </row>
    <row r="12" customFormat="false" ht="15.6" hidden="false" customHeight="false" outlineLevel="0" collapsed="false">
      <c r="A12" s="134"/>
      <c r="B12" s="0"/>
      <c r="C12" s="153" t="s">
        <v>233</v>
      </c>
      <c r="D12" s="155" t="n">
        <f aca="false">D7*D11^2/4</f>
        <v>101093750</v>
      </c>
      <c r="E12" s="0"/>
      <c r="F12" s="0"/>
      <c r="G12" s="0"/>
      <c r="H12" s="0"/>
      <c r="I12" s="0"/>
      <c r="J12" s="0"/>
      <c r="K12" s="0"/>
      <c r="L12" s="0"/>
      <c r="M12" s="0"/>
      <c r="N12" s="0"/>
      <c r="O12" s="142"/>
      <c r="P12" s="142"/>
      <c r="Q12" s="142"/>
      <c r="R12" s="142"/>
      <c r="S12" s="0"/>
      <c r="T12" s="0"/>
    </row>
    <row r="13" customFormat="false" ht="15.6" hidden="false" customHeight="false" outlineLevel="0" collapsed="false">
      <c r="A13" s="134"/>
      <c r="B13" s="0"/>
      <c r="C13" s="153" t="s">
        <v>235</v>
      </c>
      <c r="D13" s="155" t="n">
        <f aca="false">D7*D11^2/12</f>
        <v>33697916.6666667</v>
      </c>
      <c r="E13" s="0"/>
      <c r="F13" s="0"/>
      <c r="G13" s="0"/>
      <c r="H13" s="0"/>
      <c r="I13" s="0"/>
      <c r="J13" s="0"/>
      <c r="K13" s="0"/>
      <c r="L13" s="0"/>
      <c r="M13" s="0"/>
      <c r="N13" s="0"/>
      <c r="O13" s="142"/>
      <c r="P13" s="142"/>
      <c r="Q13" s="142"/>
      <c r="R13" s="142"/>
      <c r="S13" s="0"/>
      <c r="T13" s="0"/>
    </row>
    <row r="14" customFormat="false" ht="15.6" hidden="false" customHeight="false" outlineLevel="0" collapsed="false">
      <c r="A14" s="134"/>
      <c r="B14" s="0"/>
      <c r="C14" s="153" t="s">
        <v>237</v>
      </c>
      <c r="D14" s="155" t="n">
        <f aca="false">D13</f>
        <v>33697916.6666667</v>
      </c>
      <c r="E14" s="0"/>
      <c r="F14" s="0"/>
      <c r="G14" s="0"/>
      <c r="H14" s="0"/>
      <c r="I14" s="0"/>
      <c r="J14" s="0"/>
      <c r="K14" s="0"/>
      <c r="L14" s="0"/>
      <c r="M14" s="0"/>
      <c r="N14" s="0"/>
      <c r="O14" s="142"/>
      <c r="P14" s="142"/>
      <c r="Q14" s="142"/>
      <c r="R14" s="142"/>
      <c r="S14" s="0"/>
      <c r="T14" s="0"/>
    </row>
    <row r="15" customFormat="false" ht="15.6" hidden="false" customHeight="false" outlineLevel="0" collapsed="false">
      <c r="A15" s="134"/>
      <c r="B15" s="0"/>
      <c r="C15" s="247" t="s">
        <v>239</v>
      </c>
      <c r="D15" s="134"/>
      <c r="E15" s="0"/>
      <c r="F15" s="0"/>
      <c r="G15" s="0"/>
      <c r="H15" s="0"/>
      <c r="I15" s="0"/>
      <c r="J15" s="0"/>
      <c r="K15" s="0"/>
      <c r="L15" s="0"/>
      <c r="M15" s="0"/>
      <c r="N15" s="0"/>
      <c r="O15" s="142"/>
      <c r="P15" s="142"/>
      <c r="Q15" s="142"/>
      <c r="R15" s="142"/>
      <c r="S15" s="0"/>
      <c r="T15" s="0"/>
    </row>
    <row r="16" customFormat="false" ht="15.6" hidden="false" customHeight="false" outlineLevel="0" collapsed="false">
      <c r="A16" s="134"/>
      <c r="B16" s="0"/>
      <c r="C16" s="214" t="s">
        <v>241</v>
      </c>
      <c r="D16" s="134"/>
      <c r="E16" s="0"/>
      <c r="F16" s="0"/>
      <c r="G16" s="0"/>
      <c r="H16" s="0"/>
      <c r="I16" s="0"/>
      <c r="J16" s="0"/>
      <c r="K16" s="0"/>
      <c r="L16" s="0"/>
      <c r="M16" s="0"/>
      <c r="N16" s="0"/>
      <c r="O16" s="142"/>
      <c r="P16" s="142"/>
      <c r="Q16" s="142"/>
      <c r="R16" s="142"/>
      <c r="S16" s="0"/>
      <c r="T16" s="0"/>
    </row>
    <row r="17" customFormat="false" ht="15.6" hidden="false" customHeight="false" outlineLevel="0" collapsed="false">
      <c r="A17" s="134"/>
      <c r="B17" s="0"/>
      <c r="C17" s="242" t="s">
        <v>243</v>
      </c>
      <c r="D17" s="134" t="n">
        <v>18</v>
      </c>
      <c r="E17" s="0"/>
      <c r="F17" s="0"/>
      <c r="G17" s="0"/>
      <c r="H17" s="0"/>
      <c r="I17" s="0"/>
      <c r="J17" s="0"/>
      <c r="K17" s="0"/>
      <c r="L17" s="0"/>
      <c r="M17" s="0"/>
      <c r="N17" s="0"/>
      <c r="O17" s="142"/>
      <c r="P17" s="142"/>
      <c r="Q17" s="142"/>
      <c r="R17" s="142"/>
      <c r="S17" s="0"/>
      <c r="T17" s="0"/>
    </row>
    <row r="18" customFormat="false" ht="15.6" hidden="false" customHeight="false" outlineLevel="0" collapsed="false">
      <c r="A18" s="134"/>
      <c r="B18" s="0"/>
      <c r="C18" s="242" t="s">
        <v>232</v>
      </c>
      <c r="D18" s="134" t="n">
        <v>2500</v>
      </c>
      <c r="E18" s="0"/>
      <c r="F18" s="0"/>
      <c r="G18" s="0"/>
      <c r="H18" s="0"/>
      <c r="I18" s="0"/>
      <c r="J18" s="0"/>
      <c r="K18" s="0"/>
      <c r="L18" s="0"/>
      <c r="M18" s="0"/>
      <c r="N18" s="0"/>
      <c r="O18" s="142"/>
      <c r="P18" s="142"/>
      <c r="Q18" s="142"/>
      <c r="R18" s="142"/>
      <c r="S18" s="0"/>
      <c r="T18" s="0"/>
    </row>
    <row r="19" customFormat="false" ht="15.6" hidden="false" customHeight="false" outlineLevel="0" collapsed="false">
      <c r="A19" s="134"/>
      <c r="B19" s="0"/>
      <c r="C19" s="153" t="s">
        <v>246</v>
      </c>
      <c r="D19" s="264" t="n">
        <v>200000</v>
      </c>
      <c r="E19" s="0"/>
      <c r="F19" s="0"/>
      <c r="G19" s="0"/>
      <c r="H19" s="0"/>
      <c r="I19" s="0"/>
      <c r="J19" s="0"/>
      <c r="K19" s="0"/>
      <c r="L19" s="0"/>
      <c r="M19" s="0"/>
      <c r="N19" s="0"/>
      <c r="O19" s="142"/>
      <c r="P19" s="142"/>
      <c r="Q19" s="142"/>
      <c r="R19" s="142"/>
      <c r="S19" s="0"/>
      <c r="T19" s="0"/>
    </row>
    <row r="20" customFormat="false" ht="15.6" hidden="false" customHeight="false" outlineLevel="0" collapsed="false">
      <c r="A20" s="134"/>
      <c r="B20" s="0"/>
      <c r="C20" s="242" t="s">
        <v>248</v>
      </c>
      <c r="D20" s="175" t="n">
        <f aca="false">PI()*D17^2/4*D19/D18</f>
        <v>20357.5203952619</v>
      </c>
      <c r="E20" s="0"/>
      <c r="F20" s="0"/>
      <c r="G20" s="0"/>
      <c r="H20" s="0"/>
      <c r="I20" s="0"/>
      <c r="J20" s="0"/>
      <c r="K20" s="0"/>
      <c r="L20" s="0"/>
      <c r="M20" s="0"/>
      <c r="N20" s="0"/>
      <c r="O20" s="142"/>
      <c r="P20" s="142"/>
      <c r="Q20" s="142"/>
      <c r="R20" s="142"/>
      <c r="S20" s="0"/>
      <c r="T20" s="0"/>
    </row>
    <row r="21" customFormat="false" ht="16.2" hidden="false" customHeight="false" outlineLevel="0" collapsed="false">
      <c r="A21" s="259"/>
      <c r="B21" s="136"/>
      <c r="C21" s="178" t="s">
        <v>251</v>
      </c>
      <c r="D21" s="259" t="n">
        <v>3</v>
      </c>
      <c r="E21" s="136"/>
      <c r="F21" s="136"/>
      <c r="G21" s="136"/>
      <c r="H21" s="136"/>
      <c r="I21" s="136"/>
      <c r="J21" s="136"/>
      <c r="K21" s="136"/>
      <c r="L21" s="136"/>
      <c r="M21" s="136"/>
      <c r="N21" s="0"/>
      <c r="O21" s="142"/>
      <c r="P21" s="142"/>
      <c r="Q21" s="142"/>
      <c r="R21" s="142"/>
      <c r="S21" s="0"/>
      <c r="T21" s="0"/>
    </row>
    <row r="22" customFormat="false" ht="16.2" hidden="false" customHeight="false" outlineLevel="0" collapsed="false">
      <c r="A22" s="282" t="s">
        <v>340</v>
      </c>
      <c r="B22" s="282"/>
      <c r="C22" s="282"/>
      <c r="D22" s="282"/>
      <c r="E22" s="282"/>
      <c r="F22" s="282"/>
      <c r="G22" s="282"/>
      <c r="H22" s="282"/>
      <c r="I22" s="282"/>
      <c r="J22" s="282"/>
      <c r="K22" s="282"/>
      <c r="L22" s="282"/>
      <c r="M22" s="282"/>
      <c r="N22" s="141"/>
      <c r="O22" s="142"/>
      <c r="P22" s="142"/>
      <c r="Q22" s="142"/>
      <c r="R22" s="142"/>
      <c r="S22" s="0"/>
      <c r="T22" s="0"/>
    </row>
    <row r="23" customFormat="false" ht="31.2" hidden="false" customHeight="false" outlineLevel="0" collapsed="false">
      <c r="A23" s="184" t="s">
        <v>253</v>
      </c>
      <c r="B23" s="185"/>
      <c r="C23" s="186" t="s">
        <v>254</v>
      </c>
      <c r="D23" s="187"/>
      <c r="E23" s="187"/>
      <c r="F23" s="187"/>
      <c r="G23" s="187"/>
      <c r="H23" s="187"/>
      <c r="I23" s="187"/>
      <c r="J23" s="187"/>
      <c r="K23" s="187"/>
      <c r="L23" s="187"/>
      <c r="M23" s="187"/>
      <c r="N23" s="0"/>
      <c r="O23" s="142"/>
      <c r="P23" s="142"/>
      <c r="Q23" s="142"/>
      <c r="R23" s="142"/>
      <c r="S23" s="0"/>
      <c r="T23" s="0"/>
    </row>
    <row r="24" customFormat="false" ht="15.6" hidden="false" customHeight="false" outlineLevel="0" collapsed="false">
      <c r="A24" s="153" t="s">
        <v>255</v>
      </c>
      <c r="B24" s="25"/>
      <c r="C24" s="131"/>
      <c r="D24" s="0"/>
      <c r="E24" s="0"/>
      <c r="F24" s="0"/>
      <c r="G24" s="0"/>
      <c r="H24" s="0"/>
      <c r="I24" s="0"/>
      <c r="J24" s="0"/>
      <c r="K24" s="0"/>
      <c r="L24" s="0"/>
      <c r="M24" s="0"/>
      <c r="N24" s="0"/>
      <c r="O24" s="142"/>
      <c r="P24" s="142"/>
      <c r="Q24" s="142"/>
      <c r="R24" s="142"/>
      <c r="S24" s="0"/>
      <c r="T24" s="0"/>
    </row>
    <row r="25" customFormat="false" ht="15.6" hidden="false" customHeight="false" outlineLevel="0" collapsed="false">
      <c r="A25" s="87" t="s">
        <v>113</v>
      </c>
      <c r="B25" s="188" t="n">
        <f aca="false">SUM(H35:S35)+C25</f>
        <v>6785.84013175395</v>
      </c>
      <c r="C25" s="190" t="n">
        <f aca="false">D20/D21</f>
        <v>6785.84013175395</v>
      </c>
      <c r="D25" s="0"/>
      <c r="E25" s="0"/>
      <c r="F25" s="0"/>
      <c r="G25" s="0"/>
      <c r="H25" s="0"/>
      <c r="I25" s="0"/>
      <c r="J25" s="0"/>
      <c r="K25" s="0"/>
      <c r="L25" s="0"/>
      <c r="M25" s="0"/>
      <c r="N25" s="0"/>
      <c r="O25" s="142"/>
      <c r="P25" s="142"/>
      <c r="Q25" s="142"/>
      <c r="R25" s="142"/>
      <c r="S25" s="0"/>
      <c r="T25" s="0"/>
    </row>
    <row r="26" customFormat="false" ht="15.6" hidden="false" customHeight="false" outlineLevel="0" collapsed="false">
      <c r="A26" s="87" t="s">
        <v>116</v>
      </c>
      <c r="B26" s="188" t="n">
        <f aca="false">SUM(H36:S36)+C26</f>
        <v>2588000</v>
      </c>
      <c r="C26" s="189" t="n">
        <v>0</v>
      </c>
      <c r="D26" s="0"/>
      <c r="E26" s="0"/>
      <c r="F26" s="0"/>
      <c r="G26" s="191" t="s">
        <v>256</v>
      </c>
      <c r="H26" s="0"/>
      <c r="I26" s="0"/>
      <c r="J26" s="0"/>
      <c r="K26" s="0"/>
      <c r="L26" s="0"/>
      <c r="M26" s="0"/>
      <c r="N26" s="0"/>
      <c r="O26" s="142"/>
      <c r="P26" s="142"/>
      <c r="Q26" s="142"/>
      <c r="R26" s="142"/>
      <c r="S26" s="0"/>
      <c r="T26" s="0"/>
    </row>
    <row r="27" customFormat="false" ht="15.6" hidden="false" customHeight="false" outlineLevel="0" collapsed="false">
      <c r="A27" s="87" t="s">
        <v>118</v>
      </c>
      <c r="B27" s="188" t="n">
        <f aca="false">SUM(H37:S37)+C27</f>
        <v>2588000</v>
      </c>
      <c r="C27" s="189" t="n">
        <v>0</v>
      </c>
      <c r="D27" s="0"/>
      <c r="E27" s="0"/>
      <c r="F27" s="0"/>
      <c r="G27" s="134" t="s">
        <v>257</v>
      </c>
      <c r="H27" s="0"/>
      <c r="I27" s="0"/>
      <c r="J27" s="0"/>
      <c r="K27" s="0"/>
      <c r="L27" s="0"/>
      <c r="M27" s="0"/>
      <c r="N27" s="0"/>
      <c r="O27" s="142"/>
      <c r="P27" s="142"/>
      <c r="Q27" s="142"/>
      <c r="R27" s="142"/>
      <c r="S27" s="0"/>
      <c r="T27" s="0"/>
    </row>
    <row r="28" customFormat="false" ht="15.6" hidden="false" customHeight="false" outlineLevel="0" collapsed="false">
      <c r="A28" s="153" t="s">
        <v>258</v>
      </c>
      <c r="B28" s="25"/>
      <c r="C28" s="192"/>
      <c r="D28" s="87"/>
      <c r="E28" s="87"/>
      <c r="F28" s="87"/>
      <c r="G28" s="194" t="s">
        <v>259</v>
      </c>
      <c r="H28" s="195" t="n">
        <v>4</v>
      </c>
      <c r="I28" s="0"/>
      <c r="J28" s="0"/>
      <c r="K28" s="0"/>
      <c r="L28" s="0"/>
      <c r="M28" s="0"/>
      <c r="N28" s="0"/>
      <c r="O28" s="142"/>
      <c r="P28" s="142"/>
      <c r="Q28" s="142"/>
      <c r="R28" s="142"/>
      <c r="S28" s="0"/>
      <c r="T28" s="0"/>
    </row>
    <row r="29" customFormat="false" ht="15.6" hidden="false" customHeight="false" outlineLevel="0" collapsed="false">
      <c r="A29" s="87" t="s">
        <v>120</v>
      </c>
      <c r="B29" s="188" t="n">
        <f aca="false">SUM(H39:S39)+SUM(H43:S43)+C29</f>
        <v>6874375000</v>
      </c>
      <c r="C29" s="189" t="n">
        <v>0</v>
      </c>
      <c r="D29" s="87"/>
      <c r="E29" s="87"/>
      <c r="F29" s="87"/>
      <c r="G29" s="0"/>
      <c r="H29" s="76" t="s">
        <v>260</v>
      </c>
      <c r="I29" s="76"/>
      <c r="J29" s="76"/>
      <c r="K29" s="76"/>
      <c r="L29" s="76"/>
      <c r="M29" s="76"/>
      <c r="N29" s="76"/>
      <c r="O29" s="76"/>
      <c r="P29" s="76"/>
      <c r="Q29" s="76"/>
      <c r="R29" s="76"/>
      <c r="S29" s="76"/>
      <c r="T29" s="0"/>
    </row>
    <row r="30" customFormat="false" ht="15.6" hidden="false" customHeight="false" outlineLevel="0" collapsed="false">
      <c r="A30" s="87" t="s">
        <v>123</v>
      </c>
      <c r="B30" s="188" t="n">
        <f aca="false">SUM(H40:S40)+SUM(H44:S44)+C30</f>
        <v>6604791666.66667</v>
      </c>
      <c r="C30" s="189" t="n">
        <v>0</v>
      </c>
      <c r="D30" s="87"/>
      <c r="E30" s="87"/>
      <c r="F30" s="87"/>
      <c r="G30" s="134" t="s">
        <v>261</v>
      </c>
      <c r="H30" s="85" t="n">
        <v>1</v>
      </c>
      <c r="I30" s="85" t="n">
        <f aca="false">H30+1</f>
        <v>2</v>
      </c>
      <c r="J30" s="85" t="n">
        <f aca="false">I30+1</f>
        <v>3</v>
      </c>
      <c r="K30" s="85" t="n">
        <f aca="false">J30+1</f>
        <v>4</v>
      </c>
      <c r="L30" s="85" t="n">
        <f aca="false">K30+1</f>
        <v>5</v>
      </c>
      <c r="M30" s="85" t="n">
        <f aca="false">L30+1</f>
        <v>6</v>
      </c>
      <c r="N30" s="85" t="n">
        <f aca="false">M30+1</f>
        <v>7</v>
      </c>
      <c r="O30" s="85" t="n">
        <f aca="false">N30+1</f>
        <v>8</v>
      </c>
      <c r="P30" s="85" t="n">
        <f aca="false">O30+1</f>
        <v>9</v>
      </c>
      <c r="Q30" s="85" t="n">
        <f aca="false">P30+1</f>
        <v>10</v>
      </c>
      <c r="R30" s="85" t="n">
        <f aca="false">Q30+1</f>
        <v>11</v>
      </c>
      <c r="S30" s="85" t="n">
        <f aca="false">R30+1</f>
        <v>12</v>
      </c>
      <c r="T30" s="0"/>
    </row>
    <row r="31" customFormat="false" ht="15.6" hidden="false" customHeight="false" outlineLevel="0" collapsed="false">
      <c r="A31" s="87" t="s">
        <v>125</v>
      </c>
      <c r="B31" s="188" t="n">
        <f aca="false">SUM(H41:S41)+SUM(H45:S45)+C31</f>
        <v>6604791666.66667</v>
      </c>
      <c r="C31" s="189" t="n">
        <v>0</v>
      </c>
      <c r="D31" s="87"/>
      <c r="E31" s="87"/>
      <c r="F31" s="87"/>
      <c r="G31" s="153" t="s">
        <v>262</v>
      </c>
      <c r="H31" s="195" t="n">
        <v>50</v>
      </c>
      <c r="I31" s="195" t="n">
        <v>-50</v>
      </c>
      <c r="J31" s="195" t="n">
        <v>-50</v>
      </c>
      <c r="K31" s="195" t="n">
        <v>50</v>
      </c>
      <c r="L31" s="195" t="n">
        <v>0</v>
      </c>
      <c r="M31" s="195" t="n">
        <v>0</v>
      </c>
      <c r="N31" s="195" t="n">
        <v>0</v>
      </c>
      <c r="O31" s="195" t="n">
        <v>0</v>
      </c>
      <c r="P31" s="195" t="n">
        <v>0</v>
      </c>
      <c r="Q31" s="195" t="n">
        <v>0</v>
      </c>
      <c r="R31" s="195" t="n">
        <v>0</v>
      </c>
      <c r="S31" s="195" t="n">
        <v>0</v>
      </c>
      <c r="T31" s="0"/>
    </row>
    <row r="32" customFormat="false" ht="15.6" hidden="false" customHeight="true" outlineLevel="0" collapsed="false">
      <c r="A32" s="207" t="s">
        <v>264</v>
      </c>
      <c r="B32" s="207"/>
      <c r="C32" s="207"/>
      <c r="D32" s="87"/>
      <c r="E32" s="87"/>
      <c r="F32" s="87"/>
      <c r="G32" s="153" t="s">
        <v>265</v>
      </c>
      <c r="H32" s="195" t="n">
        <v>0</v>
      </c>
      <c r="I32" s="195" t="n">
        <v>0</v>
      </c>
      <c r="J32" s="195" t="n">
        <v>0</v>
      </c>
      <c r="K32" s="195" t="n">
        <v>0</v>
      </c>
      <c r="L32" s="195" t="n">
        <v>0</v>
      </c>
      <c r="M32" s="195" t="n">
        <v>0</v>
      </c>
      <c r="N32" s="195" t="n">
        <v>0</v>
      </c>
      <c r="O32" s="195" t="n">
        <v>0</v>
      </c>
      <c r="P32" s="195" t="n">
        <v>0</v>
      </c>
      <c r="Q32" s="195" t="n">
        <v>0</v>
      </c>
      <c r="R32" s="195" t="n">
        <v>0</v>
      </c>
      <c r="S32" s="195" t="n">
        <v>0</v>
      </c>
      <c r="T32" s="0"/>
    </row>
    <row r="33" customFormat="false" ht="15.6" hidden="false" customHeight="false" outlineLevel="0" collapsed="false">
      <c r="A33" s="207"/>
      <c r="B33" s="207"/>
      <c r="C33" s="207"/>
      <c r="D33" s="87"/>
      <c r="E33" s="87"/>
      <c r="F33" s="87"/>
      <c r="G33" s="153" t="s">
        <v>267</v>
      </c>
      <c r="H33" s="195" t="n">
        <v>50</v>
      </c>
      <c r="I33" s="195" t="n">
        <v>50</v>
      </c>
      <c r="J33" s="195" t="n">
        <v>-50</v>
      </c>
      <c r="K33" s="195" t="n">
        <v>-50</v>
      </c>
      <c r="L33" s="195" t="n">
        <v>0</v>
      </c>
      <c r="M33" s="195" t="n">
        <v>0</v>
      </c>
      <c r="N33" s="195" t="n">
        <v>0</v>
      </c>
      <c r="O33" s="195" t="n">
        <v>0</v>
      </c>
      <c r="P33" s="195" t="n">
        <v>0</v>
      </c>
      <c r="Q33" s="195" t="n">
        <v>0</v>
      </c>
      <c r="R33" s="195" t="n">
        <v>0</v>
      </c>
      <c r="S33" s="195" t="n">
        <v>0</v>
      </c>
      <c r="T33" s="0"/>
    </row>
    <row r="34" customFormat="false" ht="15.6" hidden="false" customHeight="false" outlineLevel="0" collapsed="false">
      <c r="A34" s="207"/>
      <c r="B34" s="207"/>
      <c r="C34" s="207"/>
      <c r="D34" s="0"/>
      <c r="E34" s="0"/>
      <c r="F34" s="0"/>
      <c r="G34" s="134" t="s">
        <v>270</v>
      </c>
      <c r="H34" s="238"/>
      <c r="I34" s="238"/>
      <c r="J34" s="238"/>
      <c r="K34" s="238"/>
      <c r="L34" s="0"/>
      <c r="M34" s="0"/>
      <c r="N34" s="0"/>
      <c r="O34" s="0"/>
      <c r="P34" s="0"/>
      <c r="Q34" s="0"/>
      <c r="R34" s="0"/>
      <c r="S34" s="0"/>
      <c r="T34" s="0"/>
    </row>
    <row r="35" customFormat="false" ht="15.6" hidden="false" customHeight="false" outlineLevel="0" collapsed="false">
      <c r="A35" s="201" t="s">
        <v>271</v>
      </c>
      <c r="B35" s="195"/>
      <c r="C35" s="195"/>
      <c r="D35" s="87"/>
      <c r="E35" s="87"/>
      <c r="F35" s="87"/>
      <c r="G35" s="153" t="s">
        <v>113</v>
      </c>
      <c r="H35" s="202" t="n">
        <v>0</v>
      </c>
      <c r="I35" s="202" t="n">
        <v>0</v>
      </c>
      <c r="J35" s="202" t="n">
        <v>0</v>
      </c>
      <c r="K35" s="202" t="n">
        <v>0</v>
      </c>
      <c r="L35" s="195" t="n">
        <v>0</v>
      </c>
      <c r="M35" s="195" t="n">
        <v>0</v>
      </c>
      <c r="N35" s="195" t="n">
        <v>0</v>
      </c>
      <c r="O35" s="195" t="n">
        <v>0</v>
      </c>
      <c r="P35" s="195" t="n">
        <v>0</v>
      </c>
      <c r="Q35" s="195" t="n">
        <v>0</v>
      </c>
      <c r="R35" s="195" t="n">
        <v>0</v>
      </c>
      <c r="S35" s="195" t="n">
        <v>0</v>
      </c>
      <c r="T35" s="0"/>
    </row>
    <row r="36" customFormat="false" ht="15.6" hidden="false" customHeight="false" outlineLevel="0" collapsed="false">
      <c r="A36" s="77" t="s">
        <v>28</v>
      </c>
      <c r="B36" s="0"/>
      <c r="C36" s="0"/>
      <c r="D36" s="87"/>
      <c r="E36" s="87"/>
      <c r="F36" s="87"/>
      <c r="G36" s="153" t="s">
        <v>116</v>
      </c>
      <c r="H36" s="202" t="n">
        <f aca="false">'ref bearings, servo, structure'!B5</f>
        <v>647000</v>
      </c>
      <c r="I36" s="202" t="n">
        <f aca="false">H36</f>
        <v>647000</v>
      </c>
      <c r="J36" s="202" t="n">
        <f aca="false">I36</f>
        <v>647000</v>
      </c>
      <c r="K36" s="202" t="n">
        <f aca="false">J36</f>
        <v>647000</v>
      </c>
      <c r="L36" s="195" t="n">
        <v>0</v>
      </c>
      <c r="M36" s="195" t="n">
        <v>0</v>
      </c>
      <c r="N36" s="195" t="n">
        <v>0</v>
      </c>
      <c r="O36" s="195" t="n">
        <v>0</v>
      </c>
      <c r="P36" s="195" t="n">
        <v>0</v>
      </c>
      <c r="Q36" s="195" t="n">
        <v>0</v>
      </c>
      <c r="R36" s="195" t="n">
        <v>0</v>
      </c>
      <c r="S36" s="195" t="n">
        <v>0</v>
      </c>
      <c r="T36" s="0"/>
    </row>
    <row r="37" customFormat="false" ht="15.6" hidden="false" customHeight="false" outlineLevel="0" collapsed="false">
      <c r="A37" s="153" t="s">
        <v>273</v>
      </c>
      <c r="B37" s="195" t="n">
        <v>0</v>
      </c>
      <c r="C37" s="0"/>
      <c r="D37" s="87"/>
      <c r="E37" s="87"/>
      <c r="F37" s="87"/>
      <c r="G37" s="153" t="s">
        <v>118</v>
      </c>
      <c r="H37" s="202" t="n">
        <f aca="false">H36</f>
        <v>647000</v>
      </c>
      <c r="I37" s="202" t="n">
        <f aca="false">I36</f>
        <v>647000</v>
      </c>
      <c r="J37" s="202" t="n">
        <f aca="false">J36</f>
        <v>647000</v>
      </c>
      <c r="K37" s="202" t="n">
        <f aca="false">K36</f>
        <v>647000</v>
      </c>
      <c r="L37" s="195" t="n">
        <v>0</v>
      </c>
      <c r="M37" s="195" t="n">
        <v>0</v>
      </c>
      <c r="N37" s="195" t="n">
        <v>0</v>
      </c>
      <c r="O37" s="195" t="n">
        <v>0</v>
      </c>
      <c r="P37" s="195" t="n">
        <v>0</v>
      </c>
      <c r="Q37" s="195" t="n">
        <v>0</v>
      </c>
      <c r="R37" s="195" t="n">
        <v>0</v>
      </c>
      <c r="S37" s="195" t="n">
        <v>0</v>
      </c>
      <c r="T37" s="0"/>
    </row>
    <row r="38" customFormat="false" ht="15.6" hidden="false" customHeight="false" outlineLevel="0" collapsed="false">
      <c r="A38" s="153" t="s">
        <v>274</v>
      </c>
      <c r="B38" s="195" t="n">
        <v>0</v>
      </c>
      <c r="C38" s="0"/>
      <c r="D38" s="87"/>
      <c r="E38" s="87"/>
      <c r="F38" s="87"/>
      <c r="G38" s="134" t="s">
        <v>275</v>
      </c>
      <c r="H38" s="238"/>
      <c r="I38" s="238"/>
      <c r="J38" s="238"/>
      <c r="K38" s="238"/>
      <c r="L38" s="0"/>
      <c r="M38" s="0"/>
      <c r="N38" s="0"/>
      <c r="O38" s="0"/>
      <c r="P38" s="0"/>
      <c r="Q38" s="0"/>
      <c r="R38" s="0"/>
      <c r="S38" s="0"/>
      <c r="T38" s="0"/>
    </row>
    <row r="39" customFormat="false" ht="15.6" hidden="false" customHeight="false" outlineLevel="0" collapsed="false">
      <c r="A39" s="153" t="s">
        <v>276</v>
      </c>
      <c r="B39" s="195" t="n">
        <v>0</v>
      </c>
      <c r="C39" s="0"/>
      <c r="D39" s="87"/>
      <c r="E39" s="87"/>
      <c r="F39" s="87"/>
      <c r="G39" s="153" t="s">
        <v>120</v>
      </c>
      <c r="H39" s="202" t="n">
        <f aca="false">'ref bearings, servo, structure'!B10</f>
        <v>101093750</v>
      </c>
      <c r="I39" s="202" t="n">
        <f aca="false">H39</f>
        <v>101093750</v>
      </c>
      <c r="J39" s="202" t="n">
        <f aca="false">I39</f>
        <v>101093750</v>
      </c>
      <c r="K39" s="202" t="n">
        <f aca="false">J39</f>
        <v>101093750</v>
      </c>
      <c r="L39" s="195" t="n">
        <v>0</v>
      </c>
      <c r="M39" s="195" t="n">
        <v>0</v>
      </c>
      <c r="N39" s="195" t="n">
        <v>0</v>
      </c>
      <c r="O39" s="195" t="n">
        <v>0</v>
      </c>
      <c r="P39" s="195" t="n">
        <v>0</v>
      </c>
      <c r="Q39" s="195" t="n">
        <v>0</v>
      </c>
      <c r="R39" s="195" t="n">
        <v>0</v>
      </c>
      <c r="S39" s="195" t="n">
        <v>0</v>
      </c>
      <c r="T39" s="0"/>
    </row>
    <row r="40" customFormat="false" ht="15.6" hidden="false" customHeight="false" outlineLevel="0" collapsed="false">
      <c r="A40" s="165" t="s">
        <v>29</v>
      </c>
      <c r="B40" s="0"/>
      <c r="C40" s="0"/>
      <c r="D40" s="87"/>
      <c r="E40" s="87"/>
      <c r="F40" s="87"/>
      <c r="G40" s="153" t="s">
        <v>123</v>
      </c>
      <c r="H40" s="202" t="n">
        <f aca="false">'ref bearings, servo, structure'!B12</f>
        <v>33697916.6666667</v>
      </c>
      <c r="I40" s="202" t="n">
        <f aca="false">H40</f>
        <v>33697916.6666667</v>
      </c>
      <c r="J40" s="202" t="n">
        <f aca="false">I40</f>
        <v>33697916.6666667</v>
      </c>
      <c r="K40" s="202" t="n">
        <f aca="false">J40</f>
        <v>33697916.6666667</v>
      </c>
      <c r="L40" s="195" t="n">
        <v>0</v>
      </c>
      <c r="M40" s="195" t="n">
        <v>0</v>
      </c>
      <c r="N40" s="195" t="n">
        <v>0</v>
      </c>
      <c r="O40" s="195" t="n">
        <v>0</v>
      </c>
      <c r="P40" s="195" t="n">
        <v>0</v>
      </c>
      <c r="Q40" s="195" t="n">
        <v>0</v>
      </c>
      <c r="R40" s="195" t="n">
        <v>0</v>
      </c>
      <c r="S40" s="195" t="n">
        <v>0</v>
      </c>
      <c r="T40" s="0"/>
    </row>
    <row r="41" customFormat="false" ht="15.6" hidden="false" customHeight="false" outlineLevel="0" collapsed="false">
      <c r="A41" s="153" t="s">
        <v>273</v>
      </c>
      <c r="B41" s="195" t="n">
        <v>0</v>
      </c>
      <c r="C41" s="0"/>
      <c r="D41" s="0"/>
      <c r="E41" s="0"/>
      <c r="F41" s="0"/>
      <c r="G41" s="153" t="s">
        <v>125</v>
      </c>
      <c r="H41" s="202" t="n">
        <f aca="false">'ref bearings, servo, structure'!B11</f>
        <v>33697916.6666667</v>
      </c>
      <c r="I41" s="202" t="n">
        <f aca="false">H41</f>
        <v>33697916.6666667</v>
      </c>
      <c r="J41" s="202" t="n">
        <f aca="false">I41</f>
        <v>33697916.6666667</v>
      </c>
      <c r="K41" s="202" t="n">
        <f aca="false">J41</f>
        <v>33697916.6666667</v>
      </c>
      <c r="L41" s="195" t="n">
        <v>0</v>
      </c>
      <c r="M41" s="195" t="n">
        <v>0</v>
      </c>
      <c r="N41" s="195" t="n">
        <v>0</v>
      </c>
      <c r="O41" s="195" t="n">
        <v>0</v>
      </c>
      <c r="P41" s="195" t="n">
        <v>0</v>
      </c>
      <c r="Q41" s="195" t="n">
        <v>0</v>
      </c>
      <c r="R41" s="195" t="n">
        <v>0</v>
      </c>
      <c r="S41" s="195" t="n">
        <v>0</v>
      </c>
      <c r="T41" s="0"/>
    </row>
    <row r="42" customFormat="false" ht="15.6" hidden="false" customHeight="false" outlineLevel="0" collapsed="false">
      <c r="A42" s="153" t="s">
        <v>274</v>
      </c>
      <c r="B42" s="195" t="n">
        <v>0</v>
      </c>
      <c r="C42" s="0"/>
      <c r="D42" s="205"/>
      <c r="E42" s="205"/>
      <c r="F42" s="205"/>
      <c r="G42" s="134" t="s">
        <v>277</v>
      </c>
      <c r="H42" s="0"/>
      <c r="I42" s="0"/>
      <c r="J42" s="0"/>
      <c r="K42" s="0"/>
      <c r="L42" s="0"/>
      <c r="M42" s="0"/>
      <c r="N42" s="0"/>
      <c r="O42" s="0"/>
      <c r="P42" s="0"/>
      <c r="Q42" s="0"/>
      <c r="R42" s="0"/>
      <c r="S42" s="0"/>
      <c r="T42" s="0"/>
    </row>
    <row r="43" customFormat="false" ht="15.6" hidden="false" customHeight="false" outlineLevel="0" collapsed="false">
      <c r="A43" s="153" t="s">
        <v>276</v>
      </c>
      <c r="B43" s="195" t="n">
        <v>0</v>
      </c>
      <c r="C43" s="0"/>
      <c r="D43" s="131"/>
      <c r="E43" s="131"/>
      <c r="F43" s="131"/>
      <c r="G43" s="153" t="s">
        <v>120</v>
      </c>
      <c r="H43" s="188" t="n">
        <f aca="false">H36*H33^2+H37*H32^2</f>
        <v>1617500000</v>
      </c>
      <c r="I43" s="188" t="n">
        <f aca="false">I36*I33^2+I37*I32^2</f>
        <v>1617500000</v>
      </c>
      <c r="J43" s="188" t="n">
        <f aca="false">J36*J33^2+J37*J32^2</f>
        <v>1617500000</v>
      </c>
      <c r="K43" s="188" t="n">
        <f aca="false">K36*K33^2+K37*K32^2</f>
        <v>1617500000</v>
      </c>
      <c r="L43" s="24" t="n">
        <f aca="false">L36*L33^2+L37*L32^2</f>
        <v>0</v>
      </c>
      <c r="M43" s="24" t="n">
        <f aca="false">M36*M33^2+M37*M32^2</f>
        <v>0</v>
      </c>
      <c r="N43" s="24" t="n">
        <f aca="false">N36*N33^2+N37*N32^2</f>
        <v>0</v>
      </c>
      <c r="O43" s="24" t="n">
        <f aca="false">O36*O33^2+O37*O32^2</f>
        <v>0</v>
      </c>
      <c r="P43" s="24" t="n">
        <f aca="false">P36*P33^2+P37*P32^2</f>
        <v>0</v>
      </c>
      <c r="Q43" s="24" t="n">
        <f aca="false">Q36*Q33^2+Q37*Q32^2</f>
        <v>0</v>
      </c>
      <c r="R43" s="24" t="n">
        <f aca="false">R36*R33^2+R37*R32^2</f>
        <v>0</v>
      </c>
      <c r="S43" s="24" t="n">
        <f aca="false">S36*S33^2+S37*S32^2</f>
        <v>0</v>
      </c>
      <c r="T43" s="0"/>
    </row>
    <row r="44" customFormat="false" ht="15.6" hidden="false" customHeight="false" outlineLevel="0" collapsed="false">
      <c r="A44" s="76" t="s">
        <v>278</v>
      </c>
      <c r="B44" s="0"/>
      <c r="C44" s="0"/>
      <c r="D44" s="189"/>
      <c r="E44" s="189"/>
      <c r="F44" s="189"/>
      <c r="G44" s="153" t="s">
        <v>123</v>
      </c>
      <c r="H44" s="188" t="n">
        <f aca="false">H35*H33^2+H37*H31^2</f>
        <v>1617500000</v>
      </c>
      <c r="I44" s="188" t="n">
        <f aca="false">I35*I33^2+I37*I31^2</f>
        <v>1617500000</v>
      </c>
      <c r="J44" s="188" t="n">
        <f aca="false">J35*J33^2+J37*J31^2</f>
        <v>1617500000</v>
      </c>
      <c r="K44" s="188" t="n">
        <f aca="false">K35*K33^2+K37*K31^2</f>
        <v>1617500000</v>
      </c>
      <c r="L44" s="24" t="n">
        <f aca="false">L35*L33^2+L37*L31^2</f>
        <v>0</v>
      </c>
      <c r="M44" s="24" t="n">
        <f aca="false">M35*M33^2+M37*M31^2</f>
        <v>0</v>
      </c>
      <c r="N44" s="24" t="n">
        <f aca="false">N35*N33^2+N37*N31^2</f>
        <v>0</v>
      </c>
      <c r="O44" s="24" t="n">
        <f aca="false">O35*O33^2+O37*O31^2</f>
        <v>0</v>
      </c>
      <c r="P44" s="24" t="n">
        <f aca="false">P35*P33^2+P37*P31^2</f>
        <v>0</v>
      </c>
      <c r="Q44" s="24" t="n">
        <f aca="false">Q35*Q33^2+Q37*Q31^2</f>
        <v>0</v>
      </c>
      <c r="R44" s="24" t="n">
        <f aca="false">R35*R33^2+R37*R31^2</f>
        <v>0</v>
      </c>
      <c r="S44" s="24" t="n">
        <f aca="false">S35*S33^2+S37*S31^2</f>
        <v>0</v>
      </c>
      <c r="T44" s="0"/>
    </row>
    <row r="45" customFormat="false" ht="15.6" hidden="false" customHeight="false" outlineLevel="0" collapsed="false">
      <c r="A45" s="153" t="s">
        <v>279</v>
      </c>
      <c r="B45" s="24" t="n">
        <f aca="false">SQRT((H47^2+I47^2+J47^2+K47^2+L47^2+M47^2+N47^2+O47^2+P47^2+Q47^2+R47^2+S47^2)/H$28)</f>
        <v>0.005</v>
      </c>
      <c r="C45" s="87"/>
      <c r="D45" s="189"/>
      <c r="E45" s="189"/>
      <c r="F45" s="189"/>
      <c r="G45" s="153" t="s">
        <v>125</v>
      </c>
      <c r="H45" s="188" t="n">
        <f aca="false">H35*H32^2+H36*H31^2</f>
        <v>1617500000</v>
      </c>
      <c r="I45" s="188" t="n">
        <f aca="false">I35*I32^2+I36*I31^2</f>
        <v>1617500000</v>
      </c>
      <c r="J45" s="188" t="n">
        <f aca="false">J35*J32^2+J36*J31^2</f>
        <v>1617500000</v>
      </c>
      <c r="K45" s="188" t="n">
        <f aca="false">K35*K32^2+K36*K31^2</f>
        <v>1617500000</v>
      </c>
      <c r="L45" s="24" t="n">
        <f aca="false">L35*L32^2+L36*L31^2</f>
        <v>0</v>
      </c>
      <c r="M45" s="24" t="n">
        <f aca="false">M35*M32^2+M36*M31^2</f>
        <v>0</v>
      </c>
      <c r="N45" s="24" t="n">
        <f aca="false">N35*N32^2+N36*N31^2</f>
        <v>0</v>
      </c>
      <c r="O45" s="24" t="n">
        <f aca="false">O35*O32^2+O36*O31^2</f>
        <v>0</v>
      </c>
      <c r="P45" s="24" t="n">
        <f aca="false">P35*P32^2+P36*P31^2</f>
        <v>0</v>
      </c>
      <c r="Q45" s="24" t="n">
        <f aca="false">Q35*Q32^2+Q36*Q31^2</f>
        <v>0</v>
      </c>
      <c r="R45" s="24" t="n">
        <f aca="false">R35*R32^2+R36*R31^2</f>
        <v>0</v>
      </c>
      <c r="S45" s="24" t="n">
        <f aca="false">S35*S32^2+S36*S31^2</f>
        <v>0</v>
      </c>
      <c r="T45" s="0"/>
    </row>
    <row r="46" customFormat="false" ht="15.6" hidden="false" customHeight="false" outlineLevel="0" collapsed="false">
      <c r="A46" s="153" t="s">
        <v>280</v>
      </c>
      <c r="B46" s="24" t="n">
        <f aca="false">SQRT((H48^2+I48^2+J48^2+K48^2+L48^2+M48^2+N48^2+O48^2+P48^2+Q48^2+R48^2+S48^2)/H$28)</f>
        <v>0.005</v>
      </c>
      <c r="C46" s="87"/>
      <c r="D46" s="189"/>
      <c r="E46" s="189"/>
      <c r="F46" s="189"/>
      <c r="G46" s="134" t="s">
        <v>281</v>
      </c>
      <c r="H46" s="0"/>
      <c r="I46" s="0"/>
      <c r="J46" s="0"/>
      <c r="K46" s="0"/>
      <c r="L46" s="0"/>
      <c r="M46" s="0"/>
      <c r="N46" s="0"/>
      <c r="O46" s="0"/>
      <c r="P46" s="0"/>
      <c r="Q46" s="0"/>
      <c r="R46" s="0"/>
      <c r="S46" s="0"/>
      <c r="T46" s="0"/>
    </row>
    <row r="47" customFormat="false" ht="15.6" hidden="false" customHeight="false" outlineLevel="0" collapsed="false">
      <c r="A47" s="153" t="s">
        <v>282</v>
      </c>
      <c r="B47" s="24" t="n">
        <f aca="false">SQRT((H49^2+I49^2+J49^2+K49^2+L49^2+M49^2+N49^2+O49^2+P49^2+Q49^2+R49^2+S49^2)/H$28)</f>
        <v>0.005</v>
      </c>
      <c r="C47" s="87"/>
      <c r="D47" s="192"/>
      <c r="E47" s="192"/>
      <c r="F47" s="192"/>
      <c r="G47" s="153" t="s">
        <v>279</v>
      </c>
      <c r="H47" s="195" t="n">
        <f aca="false">0.005</f>
        <v>0.005</v>
      </c>
      <c r="I47" s="195" t="n">
        <f aca="false">0.005</f>
        <v>0.005</v>
      </c>
      <c r="J47" s="195" t="n">
        <f aca="false">0.005</f>
        <v>0.005</v>
      </c>
      <c r="K47" s="195" t="n">
        <f aca="false">0.005</f>
        <v>0.005</v>
      </c>
      <c r="L47" s="195" t="n">
        <v>0</v>
      </c>
      <c r="M47" s="195" t="n">
        <v>0</v>
      </c>
      <c r="N47" s="195" t="n">
        <v>0</v>
      </c>
      <c r="O47" s="195" t="n">
        <v>0</v>
      </c>
      <c r="P47" s="195" t="n">
        <v>0</v>
      </c>
      <c r="Q47" s="195" t="n">
        <v>0</v>
      </c>
      <c r="R47" s="195" t="n">
        <v>0</v>
      </c>
      <c r="S47" s="195" t="n">
        <v>0</v>
      </c>
      <c r="T47" s="0"/>
    </row>
    <row r="48" customFormat="false" ht="15.6" hidden="false" customHeight="false" outlineLevel="0" collapsed="false">
      <c r="A48" s="153" t="s">
        <v>97</v>
      </c>
      <c r="B48" s="24" t="n">
        <f aca="false">SQRT((H51^2+I51^2+J51^2+K51^2+L51^2+M51^2+N51^2+O51^2+P51^2+Q51^2+R51^2+S51^2+B37^2)/H$28)</f>
        <v>0.0001</v>
      </c>
      <c r="C48" s="87"/>
      <c r="D48" s="189"/>
      <c r="E48" s="189"/>
      <c r="F48" s="189"/>
      <c r="G48" s="153" t="s">
        <v>280</v>
      </c>
      <c r="H48" s="195" t="n">
        <f aca="false">0.005</f>
        <v>0.005</v>
      </c>
      <c r="I48" s="195" t="n">
        <f aca="false">0.005</f>
        <v>0.005</v>
      </c>
      <c r="J48" s="195" t="n">
        <f aca="false">0.005</f>
        <v>0.005</v>
      </c>
      <c r="K48" s="195" t="n">
        <f aca="false">0.005</f>
        <v>0.005</v>
      </c>
      <c r="L48" s="195" t="n">
        <v>0</v>
      </c>
      <c r="M48" s="195" t="n">
        <v>0</v>
      </c>
      <c r="N48" s="195" t="n">
        <v>0</v>
      </c>
      <c r="O48" s="195" t="n">
        <v>0</v>
      </c>
      <c r="P48" s="195" t="n">
        <v>0</v>
      </c>
      <c r="Q48" s="195" t="n">
        <v>0</v>
      </c>
      <c r="R48" s="195" t="n">
        <v>0</v>
      </c>
      <c r="S48" s="195" t="n">
        <v>0</v>
      </c>
      <c r="T48" s="0"/>
    </row>
    <row r="49" customFormat="false" ht="15.6" hidden="false" customHeight="false" outlineLevel="0" collapsed="false">
      <c r="A49" s="153" t="s">
        <v>100</v>
      </c>
      <c r="B49" s="24" t="n">
        <f aca="false">SQRT((H52^2+I52^2+J52^2+K52^2+L52^2+M52^2+N52^2+O52^2+P52^2+Q52^2+R52^2+S52^2+B38^2)/H$28)</f>
        <v>9.99999990000001E-005</v>
      </c>
      <c r="C49" s="87"/>
      <c r="D49" s="189"/>
      <c r="E49" s="189"/>
      <c r="F49" s="189"/>
      <c r="G49" s="153" t="s">
        <v>282</v>
      </c>
      <c r="H49" s="195" t="n">
        <f aca="false">0.005</f>
        <v>0.005</v>
      </c>
      <c r="I49" s="195" t="n">
        <f aca="false">0.005</f>
        <v>0.005</v>
      </c>
      <c r="J49" s="195" t="n">
        <f aca="false">0.005</f>
        <v>0.005</v>
      </c>
      <c r="K49" s="195" t="n">
        <f aca="false">0.005</f>
        <v>0.005</v>
      </c>
      <c r="L49" s="195" t="n">
        <v>0</v>
      </c>
      <c r="M49" s="195" t="n">
        <v>0</v>
      </c>
      <c r="N49" s="195" t="n">
        <v>0</v>
      </c>
      <c r="O49" s="195" t="n">
        <v>0</v>
      </c>
      <c r="P49" s="195" t="n">
        <v>0</v>
      </c>
      <c r="Q49" s="195" t="n">
        <v>0</v>
      </c>
      <c r="R49" s="195" t="n">
        <v>0</v>
      </c>
      <c r="S49" s="195" t="n">
        <v>0</v>
      </c>
      <c r="T49" s="0"/>
    </row>
    <row r="50" customFormat="false" ht="15.6" hidden="false" customHeight="false" outlineLevel="0" collapsed="false">
      <c r="A50" s="153" t="s">
        <v>104</v>
      </c>
      <c r="B50" s="24" t="n">
        <f aca="false">SQRT((H53^2+I53^2+J53^2+K53^2+L53^2+M53^2+N53^2+O53^2+P53^2+Q53^2+R53^2+S53^2+B39^2)/H$28)</f>
        <v>0.0001</v>
      </c>
      <c r="C50" s="87"/>
      <c r="D50" s="189"/>
      <c r="E50" s="189"/>
      <c r="F50" s="189"/>
      <c r="G50" s="134" t="s">
        <v>283</v>
      </c>
      <c r="H50" s="0"/>
      <c r="I50" s="0"/>
      <c r="J50" s="0"/>
      <c r="K50" s="0"/>
      <c r="L50" s="0"/>
      <c r="M50" s="0"/>
      <c r="N50" s="0"/>
      <c r="O50" s="0"/>
      <c r="P50" s="0"/>
      <c r="Q50" s="0"/>
      <c r="R50" s="0"/>
      <c r="S50" s="0"/>
      <c r="T50" s="0"/>
    </row>
    <row r="51" customFormat="false" ht="46.8" hidden="false" customHeight="false" outlineLevel="0" collapsed="false">
      <c r="A51" s="206" t="s">
        <v>284</v>
      </c>
      <c r="B51" s="25"/>
      <c r="C51" s="0"/>
      <c r="D51" s="207"/>
      <c r="E51" s="207"/>
      <c r="F51" s="207"/>
      <c r="G51" s="153" t="s">
        <v>97</v>
      </c>
      <c r="H51" s="188" t="n">
        <f aca="false">H98</f>
        <v>9.99999980000001E-005</v>
      </c>
      <c r="I51" s="188" t="n">
        <f aca="false">I98</f>
        <v>9.99999980000001E-005</v>
      </c>
      <c r="J51" s="188" t="n">
        <f aca="false">J98</f>
        <v>0.000100000002</v>
      </c>
      <c r="K51" s="188" t="n">
        <f aca="false">K98</f>
        <v>0.000100000002</v>
      </c>
      <c r="L51" s="188" t="n">
        <f aca="false">L98</f>
        <v>0</v>
      </c>
      <c r="M51" s="188" t="n">
        <f aca="false">M98</f>
        <v>0</v>
      </c>
      <c r="N51" s="188" t="n">
        <f aca="false">N98</f>
        <v>0</v>
      </c>
      <c r="O51" s="188" t="n">
        <f aca="false">O98</f>
        <v>0</v>
      </c>
      <c r="P51" s="188" t="n">
        <f aca="false">P98</f>
        <v>0</v>
      </c>
      <c r="Q51" s="188" t="n">
        <f aca="false">Q98</f>
        <v>0</v>
      </c>
      <c r="R51" s="188" t="n">
        <f aca="false">R98</f>
        <v>0</v>
      </c>
      <c r="S51" s="188" t="n">
        <f aca="false">S98</f>
        <v>0</v>
      </c>
      <c r="T51" s="0"/>
    </row>
    <row r="52" customFormat="false" ht="15.6" hidden="false" customHeight="false" outlineLevel="0" collapsed="false">
      <c r="A52" s="153" t="s">
        <v>279</v>
      </c>
      <c r="B52" s="24" t="n">
        <f aca="false">SQRT((H55^2+I55^2+J55^2+K55^2+L55^2+M55^2+N55^2+O55^2+P55^2+Q55^2+R55^2+S55^2)/H$28)</f>
        <v>0</v>
      </c>
      <c r="C52" s="87"/>
      <c r="D52" s="207"/>
      <c r="E52" s="207"/>
      <c r="F52" s="207"/>
      <c r="G52" s="153" t="s">
        <v>100</v>
      </c>
      <c r="H52" s="188" t="n">
        <f aca="false">H102</f>
        <v>9.99999980000001E-005</v>
      </c>
      <c r="I52" s="188" t="n">
        <f aca="false">I102</f>
        <v>9.99999980000001E-005</v>
      </c>
      <c r="J52" s="188" t="n">
        <f aca="false">J102</f>
        <v>0.000100000002</v>
      </c>
      <c r="K52" s="188" t="n">
        <f aca="false">K102</f>
        <v>9.99999980000001E-005</v>
      </c>
      <c r="L52" s="188" t="n">
        <f aca="false">L102</f>
        <v>0</v>
      </c>
      <c r="M52" s="188" t="n">
        <f aca="false">M102</f>
        <v>0</v>
      </c>
      <c r="N52" s="188" t="n">
        <f aca="false">N102</f>
        <v>0</v>
      </c>
      <c r="O52" s="188" t="n">
        <f aca="false">O102</f>
        <v>0</v>
      </c>
      <c r="P52" s="188" t="n">
        <f aca="false">P102</f>
        <v>0</v>
      </c>
      <c r="Q52" s="188" t="n">
        <f aca="false">Q102</f>
        <v>0</v>
      </c>
      <c r="R52" s="188" t="n">
        <f aca="false">R102</f>
        <v>0</v>
      </c>
      <c r="S52" s="188" t="n">
        <f aca="false">S102</f>
        <v>0</v>
      </c>
      <c r="T52" s="208"/>
    </row>
    <row r="53" customFormat="false" ht="15.6" hidden="false" customHeight="false" outlineLevel="0" collapsed="false">
      <c r="A53" s="153" t="s">
        <v>280</v>
      </c>
      <c r="B53" s="24" t="n">
        <f aca="false">SQRT((H56^2+I56^2+J56^2+K56^2+L56^2+M56^2+N56^2+O56^2+P56^2+Q56^2+R56^2+S56^2)/H$28)</f>
        <v>0</v>
      </c>
      <c r="C53" s="87"/>
      <c r="D53" s="207"/>
      <c r="E53" s="207"/>
      <c r="F53" s="207"/>
      <c r="G53" s="153" t="s">
        <v>104</v>
      </c>
      <c r="H53" s="188" t="n">
        <f aca="false">H106</f>
        <v>9.99999980000001E-005</v>
      </c>
      <c r="I53" s="188" t="n">
        <f aca="false">I106</f>
        <v>0.000100000002</v>
      </c>
      <c r="J53" s="188" t="n">
        <f aca="false">J106</f>
        <v>0.000100000002</v>
      </c>
      <c r="K53" s="188" t="n">
        <f aca="false">K106</f>
        <v>9.99999980000001E-005</v>
      </c>
      <c r="L53" s="188" t="n">
        <f aca="false">L106</f>
        <v>0</v>
      </c>
      <c r="M53" s="188" t="n">
        <f aca="false">M106</f>
        <v>0</v>
      </c>
      <c r="N53" s="188" t="n">
        <f aca="false">N106</f>
        <v>0</v>
      </c>
      <c r="O53" s="188" t="n">
        <f aca="false">O106</f>
        <v>0</v>
      </c>
      <c r="P53" s="188" t="n">
        <f aca="false">P106</f>
        <v>0</v>
      </c>
      <c r="Q53" s="188" t="n">
        <f aca="false">Q106</f>
        <v>0</v>
      </c>
      <c r="R53" s="188" t="n">
        <f aca="false">R106</f>
        <v>0</v>
      </c>
      <c r="S53" s="188" t="n">
        <f aca="false">S106</f>
        <v>0</v>
      </c>
    </row>
    <row r="54" customFormat="false" ht="15.6" hidden="false" customHeight="false" outlineLevel="0" collapsed="false">
      <c r="A54" s="153" t="s">
        <v>282</v>
      </c>
      <c r="B54" s="24" t="n">
        <f aca="false">SQRT((H57^2+I57^2+J57^2+K57^2+L57^2+M57^2+N57^2+O57^2+P57^2+Q57^2+R57^2+S57^2)/H$28)</f>
        <v>0</v>
      </c>
      <c r="C54" s="87"/>
      <c r="D54" s="195"/>
      <c r="E54" s="195"/>
      <c r="F54" s="195"/>
      <c r="G54" s="134" t="s">
        <v>285</v>
      </c>
      <c r="H54" s="0"/>
      <c r="I54" s="0"/>
      <c r="J54" s="0"/>
      <c r="K54" s="0"/>
      <c r="L54" s="0"/>
      <c r="M54" s="0"/>
      <c r="N54" s="0"/>
      <c r="O54" s="0"/>
      <c r="P54" s="0"/>
      <c r="Q54" s="0"/>
      <c r="R54" s="0"/>
      <c r="S54" s="0"/>
    </row>
    <row r="55" customFormat="false" ht="15.6" hidden="false" customHeight="false" outlineLevel="0" collapsed="false">
      <c r="A55" s="153" t="s">
        <v>97</v>
      </c>
      <c r="B55" s="24" t="n">
        <f aca="false">SQRT((H59^2+I59^2+J59^2+K59^2+L59^2+M59^2+N59^2+O59^2+P59^2+Q59^2+R59^2+S59^2+B41^2)/H$28)</f>
        <v>0</v>
      </c>
      <c r="C55" s="87"/>
      <c r="G55" s="153" t="s">
        <v>279</v>
      </c>
      <c r="H55" s="195" t="n">
        <v>0</v>
      </c>
      <c r="I55" s="195" t="n">
        <v>0</v>
      </c>
      <c r="J55" s="195" t="n">
        <v>0</v>
      </c>
      <c r="K55" s="195" t="n">
        <v>0</v>
      </c>
      <c r="L55" s="195" t="n">
        <v>0</v>
      </c>
      <c r="M55" s="195" t="n">
        <v>0</v>
      </c>
      <c r="N55" s="195" t="n">
        <v>0</v>
      </c>
      <c r="O55" s="195" t="n">
        <v>0</v>
      </c>
      <c r="P55" s="195" t="n">
        <v>0</v>
      </c>
      <c r="Q55" s="195" t="n">
        <v>0</v>
      </c>
      <c r="R55" s="195" t="n">
        <v>0</v>
      </c>
      <c r="S55" s="195" t="n">
        <v>0</v>
      </c>
    </row>
    <row r="56" customFormat="false" ht="15.6" hidden="false" customHeight="false" outlineLevel="0" collapsed="false">
      <c r="A56" s="153" t="s">
        <v>100</v>
      </c>
      <c r="B56" s="24" t="n">
        <f aca="false">SQRT((H60^2+I60^2+J60^2+K60^2+L60^2+M60^2+N60^2+O60^2+P60^2+Q60^2+R60^2+S60^2+B42^2)/H$28)</f>
        <v>0</v>
      </c>
      <c r="C56" s="87"/>
      <c r="G56" s="153" t="s">
        <v>280</v>
      </c>
      <c r="H56" s="195" t="n">
        <v>0</v>
      </c>
      <c r="I56" s="195" t="n">
        <v>0</v>
      </c>
      <c r="J56" s="195" t="n">
        <v>0</v>
      </c>
      <c r="K56" s="195" t="n">
        <v>0</v>
      </c>
      <c r="L56" s="195" t="n">
        <v>0</v>
      </c>
      <c r="M56" s="195" t="n">
        <v>0</v>
      </c>
      <c r="N56" s="195" t="n">
        <v>0</v>
      </c>
      <c r="O56" s="195" t="n">
        <v>0</v>
      </c>
      <c r="P56" s="195" t="n">
        <v>0</v>
      </c>
      <c r="Q56" s="195" t="n">
        <v>0</v>
      </c>
      <c r="R56" s="195" t="n">
        <v>0</v>
      </c>
      <c r="S56" s="195" t="n">
        <v>0</v>
      </c>
    </row>
    <row r="57" customFormat="false" ht="15.6" hidden="false" customHeight="false" outlineLevel="0" collapsed="false">
      <c r="A57" s="153" t="s">
        <v>104</v>
      </c>
      <c r="B57" s="24" t="n">
        <f aca="false">SQRT((H61^2+I61^2+J61^2+K61^2+L61^2+M61^2+N61^2+O61^2+P61^2+Q61^2+R61^2+S61^2+B43^2)/H$28)</f>
        <v>0</v>
      </c>
      <c r="C57" s="87"/>
      <c r="G57" s="153" t="s">
        <v>282</v>
      </c>
      <c r="H57" s="195" t="n">
        <v>0</v>
      </c>
      <c r="I57" s="195" t="n">
        <v>0</v>
      </c>
      <c r="J57" s="195" t="n">
        <v>0</v>
      </c>
      <c r="K57" s="195" t="n">
        <v>0</v>
      </c>
      <c r="L57" s="195" t="n">
        <v>0</v>
      </c>
      <c r="M57" s="195" t="n">
        <v>0</v>
      </c>
      <c r="N57" s="195" t="n">
        <v>0</v>
      </c>
      <c r="O57" s="195" t="n">
        <v>0</v>
      </c>
      <c r="P57" s="195" t="n">
        <v>0</v>
      </c>
      <c r="Q57" s="195" t="n">
        <v>0</v>
      </c>
      <c r="R57" s="195" t="n">
        <v>0</v>
      </c>
      <c r="S57" s="195" t="n">
        <v>0</v>
      </c>
    </row>
    <row r="58" customFormat="false" ht="15.6" hidden="false" customHeight="false" outlineLevel="0" collapsed="false">
      <c r="A58" s="0"/>
      <c r="B58" s="25"/>
      <c r="G58" s="134" t="s">
        <v>286</v>
      </c>
      <c r="H58" s="0"/>
      <c r="I58" s="0"/>
      <c r="J58" s="0"/>
      <c r="K58" s="0"/>
      <c r="L58" s="0"/>
      <c r="M58" s="0"/>
      <c r="N58" s="0"/>
      <c r="O58" s="0"/>
      <c r="P58" s="0"/>
      <c r="Q58" s="0"/>
      <c r="R58" s="0"/>
      <c r="S58" s="0"/>
    </row>
    <row r="59" customFormat="false" ht="15.6" hidden="false" customHeight="false" outlineLevel="0" collapsed="false">
      <c r="A59" s="0"/>
      <c r="B59" s="0"/>
      <c r="G59" s="153" t="s">
        <v>97</v>
      </c>
      <c r="H59" s="188" t="n">
        <f aca="false">H113</f>
        <v>0</v>
      </c>
      <c r="I59" s="188" t="n">
        <f aca="false">I113</f>
        <v>0</v>
      </c>
      <c r="J59" s="188" t="n">
        <f aca="false">J113</f>
        <v>0</v>
      </c>
      <c r="K59" s="188" t="n">
        <f aca="false">K113</f>
        <v>0</v>
      </c>
      <c r="L59" s="188" t="n">
        <f aca="false">L113</f>
        <v>0</v>
      </c>
      <c r="M59" s="188" t="n">
        <f aca="false">M113</f>
        <v>0</v>
      </c>
      <c r="N59" s="188" t="n">
        <f aca="false">N113</f>
        <v>0</v>
      </c>
      <c r="O59" s="188" t="n">
        <f aca="false">O113</f>
        <v>0</v>
      </c>
      <c r="P59" s="188" t="n">
        <f aca="false">P113</f>
        <v>0</v>
      </c>
      <c r="Q59" s="188" t="n">
        <f aca="false">Q113</f>
        <v>0</v>
      </c>
      <c r="R59" s="188" t="n">
        <f aca="false">R113</f>
        <v>0</v>
      </c>
      <c r="S59" s="188" t="n">
        <f aca="false">S113</f>
        <v>0</v>
      </c>
    </row>
    <row r="60" customFormat="false" ht="15.6" hidden="false" customHeight="false" outlineLevel="0" collapsed="false">
      <c r="A60" s="0"/>
      <c r="B60" s="0"/>
      <c r="G60" s="153" t="s">
        <v>100</v>
      </c>
      <c r="H60" s="188" t="n">
        <f aca="false">H118</f>
        <v>0</v>
      </c>
      <c r="I60" s="188" t="n">
        <f aca="false">I118</f>
        <v>0</v>
      </c>
      <c r="J60" s="188" t="n">
        <f aca="false">J118</f>
        <v>0</v>
      </c>
      <c r="K60" s="188" t="n">
        <f aca="false">K118</f>
        <v>0</v>
      </c>
      <c r="L60" s="188" t="n">
        <f aca="false">L118</f>
        <v>0</v>
      </c>
      <c r="M60" s="188" t="n">
        <f aca="false">M118</f>
        <v>0</v>
      </c>
      <c r="N60" s="188" t="n">
        <f aca="false">N118</f>
        <v>0</v>
      </c>
      <c r="O60" s="188" t="n">
        <f aca="false">O118</f>
        <v>0</v>
      </c>
      <c r="P60" s="188" t="n">
        <f aca="false">P118</f>
        <v>0</v>
      </c>
      <c r="Q60" s="188" t="n">
        <f aca="false">Q118</f>
        <v>0</v>
      </c>
      <c r="R60" s="188" t="n">
        <f aca="false">R118</f>
        <v>0</v>
      </c>
      <c r="S60" s="188" t="n">
        <f aca="false">S118</f>
        <v>0</v>
      </c>
    </row>
    <row r="61" customFormat="false" ht="15.6" hidden="false" customHeight="false" outlineLevel="0" collapsed="false">
      <c r="A61" s="0"/>
      <c r="B61" s="0"/>
      <c r="G61" s="153" t="s">
        <v>104</v>
      </c>
      <c r="H61" s="188" t="n">
        <f aca="false">H123</f>
        <v>0</v>
      </c>
      <c r="I61" s="188" t="n">
        <f aca="false">I123</f>
        <v>0</v>
      </c>
      <c r="J61" s="188" t="n">
        <f aca="false">J123</f>
        <v>0</v>
      </c>
      <c r="K61" s="188" t="n">
        <f aca="false">K123</f>
        <v>0</v>
      </c>
      <c r="L61" s="188" t="n">
        <f aca="false">L123</f>
        <v>0</v>
      </c>
      <c r="M61" s="188" t="n">
        <f aca="false">M123</f>
        <v>0</v>
      </c>
      <c r="N61" s="188" t="n">
        <f aca="false">N123</f>
        <v>0</v>
      </c>
      <c r="O61" s="188" t="n">
        <f aca="false">O123</f>
        <v>0</v>
      </c>
      <c r="P61" s="188" t="n">
        <f aca="false">P123</f>
        <v>0</v>
      </c>
      <c r="Q61" s="188" t="n">
        <f aca="false">Q123</f>
        <v>0</v>
      </c>
      <c r="R61" s="188" t="n">
        <f aca="false">R123</f>
        <v>0</v>
      </c>
      <c r="S61" s="188" t="n">
        <f aca="false">S123</f>
        <v>0</v>
      </c>
    </row>
    <row r="62" customFormat="false" ht="15.6" hidden="false" customHeight="false" outlineLevel="0" collapsed="false">
      <c r="A62" s="0"/>
      <c r="B62" s="0"/>
      <c r="G62" s="76"/>
      <c r="H62" s="0"/>
      <c r="I62" s="0"/>
      <c r="J62" s="0"/>
      <c r="K62" s="0"/>
      <c r="L62" s="0"/>
      <c r="M62" s="0"/>
      <c r="N62" s="0"/>
      <c r="O62" s="0"/>
      <c r="P62" s="0"/>
      <c r="Q62" s="0"/>
      <c r="R62" s="0"/>
      <c r="S62" s="0"/>
    </row>
    <row r="63" customFormat="false" ht="15.6" hidden="false" customHeight="false" outlineLevel="0" collapsed="false">
      <c r="A63" s="0"/>
      <c r="B63" s="0"/>
      <c r="G63" s="0"/>
      <c r="H63" s="0"/>
      <c r="I63" s="143"/>
      <c r="J63" s="143"/>
      <c r="K63" s="143"/>
      <c r="L63" s="143"/>
      <c r="M63" s="143"/>
      <c r="N63" s="143"/>
      <c r="O63" s="0"/>
      <c r="P63" s="0"/>
      <c r="Q63" s="0"/>
      <c r="R63" s="0"/>
      <c r="S63" s="0"/>
    </row>
    <row r="64" customFormat="false" ht="15.6" hidden="false" customHeight="false" outlineLevel="0" collapsed="false">
      <c r="A64" s="0"/>
      <c r="B64" s="0"/>
      <c r="G64" s="209"/>
      <c r="H64" s="210"/>
      <c r="I64" s="211"/>
      <c r="J64" s="211"/>
      <c r="K64" s="211"/>
      <c r="L64" s="211"/>
      <c r="M64" s="211"/>
      <c r="N64" s="211"/>
      <c r="O64" s="143"/>
      <c r="P64" s="0"/>
      <c r="Q64" s="0"/>
      <c r="R64" s="0"/>
      <c r="S64" s="0"/>
    </row>
    <row r="65" customFormat="false" ht="15.6" hidden="false" customHeight="false" outlineLevel="0" collapsed="false">
      <c r="A65" s="0"/>
      <c r="B65" s="0"/>
      <c r="G65" s="209"/>
      <c r="H65" s="210"/>
      <c r="I65" s="211"/>
      <c r="J65" s="211"/>
      <c r="K65" s="211"/>
      <c r="L65" s="211"/>
      <c r="M65" s="211"/>
      <c r="N65" s="211"/>
      <c r="O65" s="143"/>
      <c r="P65" s="0"/>
      <c r="Q65" s="0"/>
      <c r="R65" s="0"/>
      <c r="S65" s="0"/>
    </row>
    <row r="66" customFormat="false" ht="15.6" hidden="false" customHeight="false" outlineLevel="0" collapsed="false">
      <c r="A66" s="0"/>
      <c r="B66" s="0"/>
      <c r="G66" s="209"/>
      <c r="H66" s="210"/>
      <c r="I66" s="211"/>
      <c r="J66" s="211"/>
      <c r="K66" s="211"/>
      <c r="L66" s="211"/>
      <c r="M66" s="211"/>
      <c r="N66" s="211"/>
      <c r="O66" s="143"/>
      <c r="P66" s="0"/>
      <c r="Q66" s="0"/>
      <c r="R66" s="0"/>
      <c r="S66" s="0"/>
    </row>
    <row r="67" customFormat="false" ht="15.6" hidden="false" customHeight="false" outlineLevel="0" collapsed="false">
      <c r="A67" s="0"/>
      <c r="B67" s="0"/>
      <c r="G67" s="209"/>
      <c r="H67" s="210"/>
      <c r="I67" s="211"/>
      <c r="J67" s="211"/>
      <c r="K67" s="211"/>
      <c r="L67" s="211"/>
      <c r="M67" s="211"/>
      <c r="N67" s="211"/>
      <c r="O67" s="143"/>
      <c r="P67" s="0"/>
      <c r="Q67" s="0"/>
      <c r="R67" s="0"/>
      <c r="S67" s="0"/>
    </row>
    <row r="68" customFormat="false" ht="15.6" hidden="false" customHeight="false" outlineLevel="0" collapsed="false">
      <c r="A68" s="0"/>
      <c r="B68" s="0"/>
      <c r="G68" s="209"/>
      <c r="H68" s="210"/>
      <c r="I68" s="211"/>
      <c r="J68" s="211"/>
      <c r="K68" s="211"/>
      <c r="L68" s="211"/>
      <c r="M68" s="211"/>
      <c r="N68" s="211"/>
      <c r="O68" s="143"/>
      <c r="P68" s="0"/>
      <c r="Q68" s="0"/>
      <c r="R68" s="0"/>
      <c r="S68" s="0"/>
    </row>
    <row r="69" customFormat="false" ht="15.6" hidden="false" customHeight="false" outlineLevel="0" collapsed="false">
      <c r="A69" s="0"/>
      <c r="B69" s="0"/>
      <c r="G69" s="209"/>
      <c r="H69" s="210"/>
      <c r="I69" s="211"/>
      <c r="J69" s="211"/>
      <c r="K69" s="211"/>
      <c r="L69" s="211"/>
      <c r="M69" s="211"/>
      <c r="N69" s="211"/>
      <c r="O69" s="143"/>
      <c r="P69" s="0"/>
      <c r="Q69" s="0"/>
      <c r="R69" s="0"/>
      <c r="S69" s="0"/>
    </row>
    <row r="70" customFormat="false" ht="15.6" hidden="false" customHeight="false" outlineLevel="0" collapsed="false">
      <c r="A70" s="0"/>
      <c r="B70" s="0"/>
      <c r="G70" s="209"/>
      <c r="H70" s="210"/>
      <c r="I70" s="211"/>
      <c r="J70" s="211"/>
      <c r="K70" s="211"/>
      <c r="L70" s="211"/>
      <c r="M70" s="211"/>
      <c r="N70" s="211"/>
      <c r="O70" s="143"/>
      <c r="P70" s="0"/>
      <c r="Q70" s="0"/>
      <c r="R70" s="0"/>
      <c r="S70" s="0"/>
    </row>
    <row r="71" customFormat="false" ht="15.6" hidden="false" customHeight="false" outlineLevel="0" collapsed="false">
      <c r="A71" s="0"/>
      <c r="B71" s="0"/>
      <c r="G71" s="209"/>
      <c r="H71" s="210"/>
      <c r="I71" s="211"/>
      <c r="J71" s="211"/>
      <c r="K71" s="211"/>
      <c r="L71" s="211"/>
      <c r="M71" s="211"/>
      <c r="N71" s="211"/>
      <c r="O71" s="143"/>
      <c r="P71" s="0"/>
      <c r="Q71" s="0"/>
      <c r="R71" s="0"/>
      <c r="S71" s="0"/>
    </row>
    <row r="72" customFormat="false" ht="15.6" hidden="false" customHeight="false" outlineLevel="0" collapsed="false">
      <c r="A72" s="0"/>
      <c r="B72" s="0"/>
      <c r="G72" s="209"/>
      <c r="H72" s="210"/>
      <c r="I72" s="211"/>
      <c r="J72" s="211"/>
      <c r="K72" s="211"/>
      <c r="L72" s="211"/>
      <c r="M72" s="211"/>
      <c r="N72" s="211"/>
      <c r="O72" s="143"/>
      <c r="P72" s="0"/>
      <c r="Q72" s="0"/>
      <c r="R72" s="0"/>
      <c r="S72" s="0"/>
    </row>
    <row r="73" customFormat="false" ht="15.6" hidden="false" customHeight="false" outlineLevel="0" collapsed="false">
      <c r="A73" s="0"/>
      <c r="B73" s="0"/>
      <c r="G73" s="209"/>
      <c r="H73" s="210"/>
      <c r="I73" s="211"/>
      <c r="J73" s="211"/>
      <c r="K73" s="211"/>
      <c r="L73" s="211"/>
      <c r="M73" s="211"/>
      <c r="N73" s="211"/>
      <c r="O73" s="143"/>
      <c r="P73" s="0"/>
      <c r="Q73" s="0"/>
      <c r="R73" s="0"/>
      <c r="S73" s="0"/>
    </row>
    <row r="74" customFormat="false" ht="15.6" hidden="false" customHeight="false" outlineLevel="0" collapsed="false">
      <c r="A74" s="0"/>
      <c r="B74" s="0"/>
      <c r="G74" s="209"/>
      <c r="H74" s="210"/>
      <c r="I74" s="211"/>
      <c r="J74" s="211"/>
      <c r="K74" s="211"/>
      <c r="L74" s="211"/>
      <c r="M74" s="211"/>
      <c r="N74" s="211"/>
      <c r="O74" s="143"/>
      <c r="P74" s="0"/>
      <c r="Q74" s="0"/>
      <c r="R74" s="0"/>
      <c r="S74" s="0"/>
    </row>
    <row r="75" customFormat="false" ht="15.6" hidden="false" customHeight="false" outlineLevel="0" collapsed="false">
      <c r="A75" s="0"/>
      <c r="B75" s="0"/>
      <c r="G75" s="209"/>
      <c r="H75" s="210"/>
      <c r="I75" s="211"/>
      <c r="J75" s="211"/>
      <c r="K75" s="211"/>
      <c r="L75" s="211"/>
      <c r="M75" s="211"/>
      <c r="N75" s="211"/>
      <c r="O75" s="143"/>
      <c r="P75" s="0"/>
      <c r="Q75" s="0"/>
      <c r="R75" s="0"/>
      <c r="S75" s="0"/>
    </row>
    <row r="76" customFormat="false" ht="15.6" hidden="false" customHeight="false" outlineLevel="0" collapsed="false">
      <c r="A76" s="0"/>
      <c r="B76" s="0"/>
      <c r="G76" s="209"/>
      <c r="H76" s="210"/>
      <c r="I76" s="211"/>
      <c r="J76" s="211"/>
      <c r="K76" s="211"/>
      <c r="L76" s="211"/>
      <c r="M76" s="211"/>
      <c r="N76" s="211"/>
      <c r="O76" s="143"/>
      <c r="P76" s="0"/>
      <c r="Q76" s="0"/>
      <c r="R76" s="0"/>
      <c r="S76" s="0"/>
    </row>
    <row r="77" customFormat="false" ht="15.6" hidden="false" customHeight="false" outlineLevel="0" collapsed="false">
      <c r="A77" s="0"/>
      <c r="B77" s="0"/>
      <c r="G77" s="209"/>
      <c r="H77" s="210"/>
      <c r="I77" s="211"/>
      <c r="J77" s="211"/>
      <c r="K77" s="211"/>
      <c r="L77" s="211"/>
      <c r="M77" s="211"/>
      <c r="N77" s="211"/>
      <c r="O77" s="143"/>
      <c r="P77" s="0"/>
      <c r="Q77" s="0"/>
      <c r="R77" s="0"/>
      <c r="S77" s="0"/>
    </row>
    <row r="78" customFormat="false" ht="15.6" hidden="false" customHeight="false" outlineLevel="0" collapsed="false">
      <c r="A78" s="0"/>
      <c r="B78" s="0"/>
      <c r="G78" s="209"/>
      <c r="H78" s="210"/>
      <c r="I78" s="211"/>
      <c r="J78" s="211"/>
      <c r="K78" s="211"/>
      <c r="L78" s="211"/>
      <c r="M78" s="211"/>
      <c r="N78" s="211"/>
      <c r="O78" s="143"/>
      <c r="P78" s="0"/>
      <c r="Q78" s="0"/>
      <c r="R78" s="0"/>
      <c r="S78" s="0"/>
    </row>
    <row r="79" customFormat="false" ht="15.6" hidden="false" customHeight="false" outlineLevel="0" collapsed="false">
      <c r="A79" s="0"/>
      <c r="B79" s="0"/>
      <c r="G79" s="209"/>
      <c r="H79" s="210"/>
      <c r="I79" s="211"/>
      <c r="J79" s="211"/>
      <c r="K79" s="211"/>
      <c r="L79" s="211"/>
      <c r="M79" s="211"/>
      <c r="N79" s="211"/>
      <c r="O79" s="143"/>
      <c r="P79" s="0"/>
      <c r="Q79" s="0"/>
      <c r="R79" s="0"/>
      <c r="S79" s="0"/>
    </row>
    <row r="80" customFormat="false" ht="15.6" hidden="false" customHeight="false" outlineLevel="0" collapsed="false">
      <c r="A80" s="153"/>
      <c r="B80" s="142"/>
      <c r="G80" s="209"/>
      <c r="H80" s="210"/>
      <c r="I80" s="211"/>
      <c r="J80" s="211"/>
      <c r="K80" s="211"/>
      <c r="L80" s="211"/>
      <c r="M80" s="211"/>
      <c r="N80" s="211"/>
      <c r="O80" s="143"/>
      <c r="P80" s="0"/>
      <c r="Q80" s="0"/>
      <c r="R80" s="0"/>
      <c r="S80" s="0"/>
    </row>
    <row r="81" customFormat="false" ht="15.6" hidden="false" customHeight="false" outlineLevel="0" collapsed="false">
      <c r="A81" s="153"/>
      <c r="B81" s="142"/>
      <c r="G81" s="209"/>
      <c r="H81" s="210"/>
      <c r="I81" s="211"/>
      <c r="J81" s="211"/>
      <c r="K81" s="211"/>
      <c r="L81" s="211"/>
      <c r="M81" s="211"/>
      <c r="N81" s="211"/>
      <c r="O81" s="143"/>
      <c r="P81" s="0"/>
      <c r="Q81" s="0"/>
      <c r="R81" s="0"/>
      <c r="S81" s="0"/>
    </row>
    <row r="82" customFormat="false" ht="15.6" hidden="false" customHeight="false" outlineLevel="0" collapsed="false">
      <c r="A82" s="153"/>
      <c r="B82" s="142"/>
      <c r="G82" s="209"/>
      <c r="H82" s="210"/>
      <c r="I82" s="211"/>
      <c r="J82" s="211"/>
      <c r="K82" s="211"/>
      <c r="L82" s="211"/>
      <c r="M82" s="211"/>
      <c r="N82" s="211"/>
      <c r="O82" s="143"/>
      <c r="P82" s="0"/>
      <c r="Q82" s="0"/>
      <c r="R82" s="0"/>
      <c r="S82" s="0"/>
    </row>
    <row r="83" customFormat="false" ht="15.6" hidden="false" customHeight="false" outlineLevel="0" collapsed="false">
      <c r="A83" s="153"/>
      <c r="B83" s="142"/>
      <c r="G83" s="209"/>
      <c r="H83" s="210"/>
      <c r="I83" s="211"/>
      <c r="J83" s="211"/>
      <c r="K83" s="211"/>
      <c r="L83" s="211"/>
      <c r="M83" s="211"/>
      <c r="N83" s="211"/>
      <c r="O83" s="143"/>
      <c r="P83" s="0"/>
      <c r="Q83" s="0"/>
      <c r="R83" s="0"/>
      <c r="S83" s="0"/>
    </row>
    <row r="84" customFormat="false" ht="15.6" hidden="false" customHeight="false" outlineLevel="0" collapsed="false">
      <c r="A84" s="153"/>
      <c r="B84" s="142"/>
      <c r="G84" s="209"/>
      <c r="H84" s="210"/>
      <c r="I84" s="211"/>
      <c r="J84" s="211"/>
      <c r="K84" s="211"/>
      <c r="L84" s="211"/>
      <c r="M84" s="211"/>
      <c r="N84" s="211"/>
      <c r="O84" s="143"/>
      <c r="P84" s="0"/>
      <c r="Q84" s="0"/>
      <c r="R84" s="0"/>
      <c r="S84" s="0"/>
    </row>
    <row r="85" customFormat="false" ht="15.6" hidden="false" customHeight="false" outlineLevel="0" collapsed="false">
      <c r="A85" s="153"/>
      <c r="B85" s="142"/>
      <c r="G85" s="209"/>
      <c r="H85" s="210"/>
      <c r="I85" s="211"/>
      <c r="J85" s="211"/>
      <c r="K85" s="211"/>
      <c r="L85" s="211"/>
      <c r="M85" s="211"/>
      <c r="N85" s="211"/>
      <c r="O85" s="143"/>
      <c r="P85" s="0"/>
      <c r="Q85" s="0"/>
      <c r="R85" s="0"/>
      <c r="S85" s="0"/>
    </row>
    <row r="86" customFormat="false" ht="15.6" hidden="false" customHeight="false" outlineLevel="0" collapsed="false">
      <c r="A86" s="153"/>
      <c r="B86" s="142"/>
      <c r="G86" s="209"/>
      <c r="H86" s="210"/>
      <c r="I86" s="211"/>
      <c r="J86" s="211"/>
      <c r="K86" s="211"/>
      <c r="L86" s="211"/>
      <c r="M86" s="211"/>
      <c r="N86" s="211"/>
      <c r="O86" s="143"/>
      <c r="P86" s="0"/>
      <c r="Q86" s="0"/>
      <c r="R86" s="0"/>
      <c r="S86" s="0"/>
    </row>
    <row r="87" customFormat="false" ht="15.6" hidden="false" customHeight="false" outlineLevel="0" collapsed="false">
      <c r="A87" s="153"/>
      <c r="B87" s="142"/>
      <c r="G87" s="209"/>
      <c r="H87" s="210"/>
      <c r="I87" s="211"/>
      <c r="J87" s="211"/>
      <c r="K87" s="211"/>
      <c r="L87" s="211"/>
      <c r="M87" s="211"/>
      <c r="N87" s="211"/>
      <c r="O87" s="143"/>
      <c r="P87" s="0"/>
      <c r="Q87" s="0"/>
      <c r="R87" s="0"/>
      <c r="S87" s="0"/>
    </row>
    <row r="88" customFormat="false" ht="15.6" hidden="false" customHeight="false" outlineLevel="0" collapsed="false">
      <c r="A88" s="153"/>
      <c r="B88" s="142"/>
      <c r="G88" s="209"/>
      <c r="H88" s="210"/>
      <c r="I88" s="211"/>
      <c r="J88" s="211"/>
      <c r="K88" s="211"/>
      <c r="L88" s="211"/>
      <c r="M88" s="211"/>
      <c r="N88" s="211"/>
      <c r="O88" s="143"/>
      <c r="P88" s="0"/>
      <c r="Q88" s="0"/>
      <c r="R88" s="0"/>
      <c r="S88" s="0"/>
    </row>
    <row r="89" customFormat="false" ht="15.6" hidden="false" customHeight="false" outlineLevel="0" collapsed="false">
      <c r="A89" s="153"/>
      <c r="B89" s="142"/>
      <c r="G89" s="209"/>
      <c r="H89" s="210"/>
      <c r="I89" s="211"/>
      <c r="J89" s="211"/>
      <c r="K89" s="211"/>
      <c r="L89" s="211"/>
      <c r="M89" s="211"/>
      <c r="N89" s="211"/>
      <c r="O89" s="143"/>
      <c r="P89" s="0"/>
      <c r="Q89" s="0"/>
      <c r="R89" s="0"/>
      <c r="S89" s="0"/>
    </row>
    <row r="90" customFormat="false" ht="15.6" hidden="false" customHeight="false" outlineLevel="0" collapsed="false">
      <c r="A90" s="153"/>
      <c r="B90" s="142"/>
      <c r="G90" s="209"/>
      <c r="H90" s="210"/>
      <c r="I90" s="211"/>
      <c r="J90" s="211"/>
      <c r="K90" s="211"/>
      <c r="L90" s="211"/>
      <c r="M90" s="211"/>
      <c r="N90" s="211"/>
      <c r="O90" s="143"/>
      <c r="P90" s="0"/>
      <c r="Q90" s="0"/>
      <c r="R90" s="0"/>
      <c r="S90" s="0"/>
    </row>
    <row r="91" customFormat="false" ht="15.6" hidden="false" customHeight="false" outlineLevel="0" collapsed="false">
      <c r="A91" s="153"/>
      <c r="B91" s="142"/>
      <c r="G91" s="0"/>
      <c r="H91" s="0"/>
      <c r="I91" s="0"/>
      <c r="J91" s="0"/>
      <c r="K91" s="0"/>
      <c r="L91" s="0"/>
      <c r="M91" s="0"/>
      <c r="N91" s="0"/>
      <c r="O91" s="0"/>
      <c r="P91" s="0"/>
      <c r="Q91" s="0"/>
      <c r="R91" s="0"/>
      <c r="S91" s="0"/>
    </row>
    <row r="92" customFormat="false" ht="15.6" hidden="false" customHeight="false" outlineLevel="0" collapsed="false">
      <c r="A92" s="153"/>
      <c r="B92" s="142"/>
      <c r="G92" s="0"/>
      <c r="H92" s="0"/>
      <c r="I92" s="0"/>
      <c r="J92" s="0"/>
      <c r="K92" s="0"/>
      <c r="L92" s="0"/>
      <c r="M92" s="0"/>
      <c r="N92" s="0"/>
      <c r="O92" s="0"/>
      <c r="P92" s="0"/>
      <c r="Q92" s="0"/>
      <c r="R92" s="0"/>
      <c r="S92" s="0"/>
    </row>
    <row r="93" customFormat="false" ht="15.6" hidden="false" customHeight="false" outlineLevel="0" collapsed="false">
      <c r="A93" s="153"/>
      <c r="B93" s="142"/>
      <c r="G93" s="0"/>
      <c r="H93" s="0"/>
      <c r="I93" s="0"/>
      <c r="J93" s="0"/>
      <c r="K93" s="0"/>
      <c r="L93" s="0"/>
      <c r="M93" s="0"/>
      <c r="N93" s="0"/>
      <c r="O93" s="0"/>
      <c r="P93" s="0"/>
      <c r="Q93" s="0"/>
      <c r="R93" s="0"/>
      <c r="S93" s="0"/>
    </row>
    <row r="94" customFormat="false" ht="15.6" hidden="false" customHeight="false" outlineLevel="0" collapsed="false">
      <c r="A94" s="153"/>
      <c r="B94" s="142"/>
      <c r="G94" s="212" t="s">
        <v>289</v>
      </c>
      <c r="H94" s="0"/>
      <c r="I94" s="0"/>
      <c r="J94" s="0"/>
      <c r="K94" s="0"/>
      <c r="L94" s="0"/>
      <c r="M94" s="0"/>
      <c r="N94" s="0"/>
      <c r="O94" s="0"/>
      <c r="P94" s="0"/>
      <c r="Q94" s="0"/>
      <c r="R94" s="0"/>
      <c r="S94" s="0"/>
    </row>
    <row r="95" customFormat="false" ht="15.6" hidden="false" customHeight="false" outlineLevel="0" collapsed="false">
      <c r="A95" s="153"/>
      <c r="B95" s="142"/>
      <c r="G95" s="213"/>
      <c r="H95" s="165" t="s">
        <v>290</v>
      </c>
      <c r="I95" s="0"/>
      <c r="J95" s="0"/>
      <c r="K95" s="0"/>
      <c r="L95" s="0"/>
      <c r="M95" s="0"/>
      <c r="N95" s="0"/>
      <c r="O95" s="0"/>
      <c r="P95" s="0"/>
      <c r="Q95" s="0"/>
      <c r="R95" s="0"/>
      <c r="S95" s="0"/>
    </row>
    <row r="96" customFormat="false" ht="15.6" hidden="false" customHeight="false" outlineLevel="0" collapsed="false">
      <c r="A96" s="153"/>
      <c r="B96" s="142"/>
      <c r="G96" s="165" t="s">
        <v>291</v>
      </c>
      <c r="H96" s="77" t="n">
        <f aca="false">H48/ABS(H33+0.000001)</f>
        <v>9.99999980000001E-005</v>
      </c>
      <c r="I96" s="77" t="n">
        <f aca="false">I48/ABS(I33+0.000001)</f>
        <v>9.99999980000001E-005</v>
      </c>
      <c r="J96" s="77" t="n">
        <f aca="false">J48/ABS(J33+0.000001)</f>
        <v>0.000100000002</v>
      </c>
      <c r="K96" s="77" t="n">
        <f aca="false">K48/ABS(K33+0.000001)</f>
        <v>0.000100000002</v>
      </c>
      <c r="L96" s="77" t="n">
        <f aca="false">L48/ABS(L33+0.000001)</f>
        <v>0</v>
      </c>
      <c r="M96" s="77" t="n">
        <f aca="false">M48/ABS(M33+0.000001)</f>
        <v>0</v>
      </c>
      <c r="N96" s="77" t="n">
        <f aca="false">N48/ABS(N33+0.000001)</f>
        <v>0</v>
      </c>
      <c r="O96" s="77" t="n">
        <f aca="false">O48/ABS(O33+0.000001)</f>
        <v>0</v>
      </c>
      <c r="P96" s="77" t="n">
        <f aca="false">P48/ABS(P33+0.000001)</f>
        <v>0</v>
      </c>
      <c r="Q96" s="77" t="n">
        <f aca="false">Q48/ABS(Q33+0.000001)</f>
        <v>0</v>
      </c>
      <c r="R96" s="77" t="n">
        <f aca="false">R48/ABS(R33+0.000001)</f>
        <v>0</v>
      </c>
      <c r="S96" s="77" t="n">
        <f aca="false">S48/ABS(S33+0.000001)</f>
        <v>0</v>
      </c>
    </row>
    <row r="97" customFormat="false" ht="15.6" hidden="false" customHeight="false" outlineLevel="0" collapsed="false">
      <c r="A97" s="153"/>
      <c r="B97" s="142"/>
      <c r="G97" s="165" t="s">
        <v>291</v>
      </c>
      <c r="H97" s="77" t="n">
        <f aca="false">H49/ABS(H32+0.000001)</f>
        <v>5000</v>
      </c>
      <c r="I97" s="77" t="n">
        <f aca="false">I49/ABS(I32+0.000001)</f>
        <v>5000</v>
      </c>
      <c r="J97" s="77" t="n">
        <f aca="false">J49/ABS(J32+0.000001)</f>
        <v>5000</v>
      </c>
      <c r="K97" s="77" t="n">
        <f aca="false">K49/ABS(K32+0.000001)</f>
        <v>5000</v>
      </c>
      <c r="L97" s="77" t="n">
        <f aca="false">L49/ABS(L32+0.000001)</f>
        <v>0</v>
      </c>
      <c r="M97" s="77" t="n">
        <f aca="false">M49/ABS(M32+0.000001)</f>
        <v>0</v>
      </c>
      <c r="N97" s="77" t="n">
        <f aca="false">N49/ABS(N32+0.000001)</f>
        <v>0</v>
      </c>
      <c r="O97" s="77" t="n">
        <f aca="false">O49/ABS(O32+0.000001)</f>
        <v>0</v>
      </c>
      <c r="P97" s="77" t="n">
        <f aca="false">P49/ABS(P32+0.000001)</f>
        <v>0</v>
      </c>
      <c r="Q97" s="77" t="n">
        <f aca="false">Q49/ABS(Q32+0.000001)</f>
        <v>0</v>
      </c>
      <c r="R97" s="77" t="n">
        <f aca="false">R49/ABS(R32+0.000001)</f>
        <v>0</v>
      </c>
      <c r="S97" s="77" t="n">
        <f aca="false">S49/ABS(S32+0.000001)</f>
        <v>0</v>
      </c>
    </row>
    <row r="98" customFormat="false" ht="15.6" hidden="false" customHeight="false" outlineLevel="0" collapsed="false">
      <c r="A98" s="153"/>
      <c r="B98" s="142"/>
      <c r="G98" s="77" t="s">
        <v>292</v>
      </c>
      <c r="H98" s="161" t="n">
        <f aca="false">IF(MIN(H96,H97)&gt;1,0,MIN(H96,H97))</f>
        <v>9.99999980000001E-005</v>
      </c>
      <c r="I98" s="161" t="n">
        <f aca="false">IF(MIN(I96,I97)&gt;1,0,MIN(I96,I97))</f>
        <v>9.99999980000001E-005</v>
      </c>
      <c r="J98" s="161" t="n">
        <f aca="false">IF(MIN(J96,J97)&gt;1,0,MIN(J96,J97))</f>
        <v>0.000100000002</v>
      </c>
      <c r="K98" s="161" t="n">
        <f aca="false">IF(MIN(K96,K97)&gt;1,0,MIN(K96,K97))</f>
        <v>0.000100000002</v>
      </c>
      <c r="L98" s="161" t="n">
        <f aca="false">IF(MIN(L96,L97)&gt;1,0,MIN(L96,L97))</f>
        <v>0</v>
      </c>
      <c r="M98" s="161" t="n">
        <f aca="false">IF(MIN(M96,M97)&gt;1,0,MIN(M96,M97))</f>
        <v>0</v>
      </c>
      <c r="N98" s="161" t="n">
        <f aca="false">IF(MIN(N96,N97)&gt;1,0,MIN(N96,N97))</f>
        <v>0</v>
      </c>
      <c r="O98" s="161" t="n">
        <f aca="false">IF(MIN(O96,O97)&gt;1,0,MIN(O96,O97))</f>
        <v>0</v>
      </c>
      <c r="P98" s="161" t="n">
        <f aca="false">IF(MIN(P96,P97)&gt;1,0,MIN(P96,P97))</f>
        <v>0</v>
      </c>
      <c r="Q98" s="161" t="n">
        <f aca="false">IF(MIN(Q96,Q97)&gt;1,0,MIN(Q96,Q97))</f>
        <v>0</v>
      </c>
      <c r="R98" s="161" t="n">
        <f aca="false">IF(MIN(R96,R97)&gt;1,0,MIN(R96,R97))</f>
        <v>0</v>
      </c>
      <c r="S98" s="161" t="n">
        <f aca="false">IF(MIN(S96,S97)&gt;1,0,MIN(S96,S97))</f>
        <v>0</v>
      </c>
    </row>
    <row r="99" customFormat="false" ht="15.6" hidden="false" customHeight="false" outlineLevel="0" collapsed="false">
      <c r="A99" s="153"/>
      <c r="B99" s="142"/>
      <c r="G99" s="0"/>
      <c r="H99" s="165" t="s">
        <v>293</v>
      </c>
      <c r="I99" s="165"/>
      <c r="J99" s="165"/>
      <c r="K99" s="165"/>
      <c r="L99" s="165"/>
      <c r="M99" s="165"/>
      <c r="N99" s="165"/>
      <c r="O99" s="165"/>
      <c r="P99" s="165"/>
      <c r="Q99" s="165"/>
      <c r="R99" s="165"/>
      <c r="S99" s="165"/>
    </row>
    <row r="100" customFormat="false" ht="15.6" hidden="false" customHeight="false" outlineLevel="0" collapsed="false">
      <c r="A100" s="153"/>
      <c r="B100" s="142"/>
      <c r="G100" s="214" t="s">
        <v>291</v>
      </c>
      <c r="H100" s="131" t="n">
        <f aca="false">H49/ABS(H31+0.000001)</f>
        <v>9.99999980000001E-005</v>
      </c>
      <c r="I100" s="131" t="n">
        <f aca="false">I49/ABS(I31+0.000001)</f>
        <v>0.000100000002</v>
      </c>
      <c r="J100" s="131" t="n">
        <f aca="false">J49/ABS(J31+0.000001)</f>
        <v>0.000100000002</v>
      </c>
      <c r="K100" s="131" t="n">
        <f aca="false">K49/ABS(K31+0.000001)</f>
        <v>9.99999980000001E-005</v>
      </c>
      <c r="L100" s="131" t="n">
        <f aca="false">L49/ABS(L31+0.000001)</f>
        <v>0</v>
      </c>
      <c r="M100" s="131" t="n">
        <f aca="false">M49/ABS(M31+0.000001)</f>
        <v>0</v>
      </c>
      <c r="N100" s="131" t="n">
        <f aca="false">N49/ABS(N31+0.000001)</f>
        <v>0</v>
      </c>
      <c r="O100" s="131" t="n">
        <f aca="false">O49/ABS(O31+0.000001)</f>
        <v>0</v>
      </c>
      <c r="P100" s="131" t="n">
        <f aca="false">P49/ABS(P31+0.000001)</f>
        <v>0</v>
      </c>
      <c r="Q100" s="131" t="n">
        <f aca="false">Q49/ABS(Q31+0.000001)</f>
        <v>0</v>
      </c>
      <c r="R100" s="131" t="n">
        <f aca="false">R49/ABS(R31+0.000001)</f>
        <v>0</v>
      </c>
      <c r="S100" s="131" t="n">
        <f aca="false">S49/ABS(S31+0.000001)</f>
        <v>0</v>
      </c>
    </row>
    <row r="101" customFormat="false" ht="15.6" hidden="false" customHeight="false" outlineLevel="0" collapsed="false">
      <c r="A101" s="153"/>
      <c r="B101" s="142"/>
      <c r="G101" s="214" t="s">
        <v>291</v>
      </c>
      <c r="H101" s="215" t="n">
        <f aca="false">H47/ABS(H33+0.000001)</f>
        <v>9.99999980000001E-005</v>
      </c>
      <c r="I101" s="215" t="n">
        <f aca="false">I47/ABS(I33+0.000001)</f>
        <v>9.99999980000001E-005</v>
      </c>
      <c r="J101" s="215" t="n">
        <f aca="false">J47/ABS(J33+0.000001)</f>
        <v>0.000100000002</v>
      </c>
      <c r="K101" s="215" t="n">
        <f aca="false">K47/ABS(K33+0.000001)</f>
        <v>0.000100000002</v>
      </c>
      <c r="L101" s="215" t="n">
        <f aca="false">L47/ABS(L33+0.000001)</f>
        <v>0</v>
      </c>
      <c r="M101" s="215" t="n">
        <f aca="false">M47/ABS(M33+0.000001)</f>
        <v>0</v>
      </c>
      <c r="N101" s="215" t="n">
        <f aca="false">N47/ABS(N33+0.000001)</f>
        <v>0</v>
      </c>
      <c r="O101" s="215" t="n">
        <f aca="false">O47/ABS(O33+0.000001)</f>
        <v>0</v>
      </c>
      <c r="P101" s="215" t="n">
        <f aca="false">P47/ABS(P33+0.000001)</f>
        <v>0</v>
      </c>
      <c r="Q101" s="215" t="n">
        <f aca="false">Q47/ABS(Q33+0.000001)</f>
        <v>0</v>
      </c>
      <c r="R101" s="215" t="n">
        <f aca="false">R47/ABS(R33+0.000001)</f>
        <v>0</v>
      </c>
      <c r="S101" s="215" t="n">
        <f aca="false">S47/ABS(S33+0.000001)</f>
        <v>0</v>
      </c>
    </row>
    <row r="102" customFormat="false" ht="15.6" hidden="false" customHeight="false" outlineLevel="0" collapsed="false">
      <c r="A102" s="153"/>
      <c r="B102" s="142"/>
      <c r="G102" s="77" t="s">
        <v>292</v>
      </c>
      <c r="H102" s="161" t="n">
        <f aca="false">IF(MIN(H100,H101)&gt;1,0,MIN(H100,H101))</f>
        <v>9.99999980000001E-005</v>
      </c>
      <c r="I102" s="161" t="n">
        <f aca="false">IF(MIN(I100,I101)&gt;1,0,MIN(I100,I101))</f>
        <v>9.99999980000001E-005</v>
      </c>
      <c r="J102" s="161" t="n">
        <f aca="false">IF(MIN(J100,J101)&gt;1,0,MIN(J100,J101))</f>
        <v>0.000100000002</v>
      </c>
      <c r="K102" s="161" t="n">
        <f aca="false">IF(MIN(K100,K101)&gt;1,0,MIN(K100,K101))</f>
        <v>9.99999980000001E-005</v>
      </c>
      <c r="L102" s="161" t="n">
        <f aca="false">IF(MIN(L100,L101)&gt;1,0,MIN(L100,L101))</f>
        <v>0</v>
      </c>
      <c r="M102" s="161" t="n">
        <f aca="false">IF(MIN(M100,M101)&gt;1,0,MIN(M100,M101))</f>
        <v>0</v>
      </c>
      <c r="N102" s="161" t="n">
        <f aca="false">IF(MIN(N100,N101)&gt;1,0,MIN(N100,N101))</f>
        <v>0</v>
      </c>
      <c r="O102" s="161" t="n">
        <f aca="false">IF(MIN(O100,O101)&gt;1,0,MIN(O100,O101))</f>
        <v>0</v>
      </c>
      <c r="P102" s="161" t="n">
        <f aca="false">IF(MIN(P100,P101)&gt;1,0,MIN(P100,P101))</f>
        <v>0</v>
      </c>
      <c r="Q102" s="161" t="n">
        <f aca="false">IF(MIN(Q100,Q101)&gt;1,0,MIN(Q100,Q101))</f>
        <v>0</v>
      </c>
      <c r="R102" s="161" t="n">
        <f aca="false">IF(MIN(R100,R101)&gt;1,0,MIN(R100,R101))</f>
        <v>0</v>
      </c>
      <c r="S102" s="161" t="n">
        <f aca="false">IF(MIN(S100,S101)&gt;1,0,MIN(S100,S101))</f>
        <v>0</v>
      </c>
    </row>
    <row r="103" customFormat="false" ht="15.6" hidden="false" customHeight="false" outlineLevel="0" collapsed="false">
      <c r="A103" s="153"/>
      <c r="B103" s="142"/>
      <c r="G103" s="0"/>
      <c r="H103" s="77" t="s">
        <v>294</v>
      </c>
      <c r="I103" s="0"/>
      <c r="J103" s="0"/>
      <c r="K103" s="0"/>
      <c r="L103" s="0"/>
      <c r="M103" s="0"/>
      <c r="N103" s="0"/>
      <c r="O103" s="0"/>
      <c r="P103" s="0"/>
      <c r="Q103" s="0"/>
      <c r="R103" s="0"/>
      <c r="S103" s="0"/>
    </row>
    <row r="104" customFormat="false" ht="15.6" hidden="false" customHeight="false" outlineLevel="0" collapsed="false">
      <c r="A104" s="153"/>
      <c r="B104" s="142"/>
      <c r="G104" s="165" t="s">
        <v>291</v>
      </c>
      <c r="H104" s="77" t="n">
        <f aca="false">H48/ABS(H31+0.000001)</f>
        <v>9.99999980000001E-005</v>
      </c>
      <c r="I104" s="77" t="n">
        <f aca="false">I48/ABS(I31+0.000001)</f>
        <v>0.000100000002</v>
      </c>
      <c r="J104" s="77" t="n">
        <f aca="false">J48/ABS(J31+0.000001)</f>
        <v>0.000100000002</v>
      </c>
      <c r="K104" s="77" t="n">
        <f aca="false">K48/ABS(K31+0.000001)</f>
        <v>9.99999980000001E-005</v>
      </c>
      <c r="L104" s="77" t="n">
        <f aca="false">L48/ABS(L31+0.000001)</f>
        <v>0</v>
      </c>
      <c r="M104" s="77" t="n">
        <f aca="false">M48/ABS(M31+0.000001)</f>
        <v>0</v>
      </c>
      <c r="N104" s="77" t="n">
        <f aca="false">N48/ABS(N31+0.000001)</f>
        <v>0</v>
      </c>
      <c r="O104" s="77" t="n">
        <f aca="false">O48/ABS(O31+0.000001)</f>
        <v>0</v>
      </c>
      <c r="P104" s="77" t="n">
        <f aca="false">P48/ABS(P31+0.000001)</f>
        <v>0</v>
      </c>
      <c r="Q104" s="77" t="n">
        <f aca="false">Q48/ABS(Q31+0.000001)</f>
        <v>0</v>
      </c>
      <c r="R104" s="77" t="n">
        <f aca="false">R48/ABS(R31+0.000001)</f>
        <v>0</v>
      </c>
      <c r="S104" s="77" t="n">
        <f aca="false">S48/ABS(S31+0.000001)</f>
        <v>0</v>
      </c>
    </row>
    <row r="105" customFormat="false" ht="15.6" hidden="false" customHeight="false" outlineLevel="0" collapsed="false">
      <c r="A105" s="153"/>
      <c r="B105" s="142"/>
      <c r="G105" s="165" t="s">
        <v>291</v>
      </c>
      <c r="H105" s="77" t="n">
        <f aca="false">H47/ABS(H32+0.000001)</f>
        <v>5000</v>
      </c>
      <c r="I105" s="77" t="n">
        <f aca="false">I47/ABS(I32+0.000001)</f>
        <v>5000</v>
      </c>
      <c r="J105" s="77" t="n">
        <f aca="false">J47/ABS(J32+0.000001)</f>
        <v>5000</v>
      </c>
      <c r="K105" s="77" t="n">
        <f aca="false">K47/ABS(K32+0.000001)</f>
        <v>5000</v>
      </c>
      <c r="L105" s="77" t="n">
        <f aca="false">L47/ABS(L32+0.000001)</f>
        <v>0</v>
      </c>
      <c r="M105" s="77" t="n">
        <f aca="false">M47/ABS(M32+0.000001)</f>
        <v>0</v>
      </c>
      <c r="N105" s="77" t="n">
        <f aca="false">N47/ABS(N32+0.000001)</f>
        <v>0</v>
      </c>
      <c r="O105" s="77" t="n">
        <f aca="false">O47/ABS(O32+0.000001)</f>
        <v>0</v>
      </c>
      <c r="P105" s="77" t="n">
        <f aca="false">P47/ABS(P32+0.000001)</f>
        <v>0</v>
      </c>
      <c r="Q105" s="77" t="n">
        <f aca="false">Q47/ABS(Q32+0.000001)</f>
        <v>0</v>
      </c>
      <c r="R105" s="77" t="n">
        <f aca="false">R47/ABS(R32+0.000001)</f>
        <v>0</v>
      </c>
      <c r="S105" s="77" t="n">
        <f aca="false">S47/ABS(S32+0.000001)</f>
        <v>0</v>
      </c>
    </row>
    <row r="106" customFormat="false" ht="15.6" hidden="false" customHeight="false" outlineLevel="0" collapsed="false">
      <c r="A106" s="153"/>
      <c r="B106" s="142"/>
      <c r="G106" s="77" t="s">
        <v>292</v>
      </c>
      <c r="H106" s="161" t="n">
        <f aca="false">IF(MIN(H104,H105)&gt;1,0,MIN(H104,H105))</f>
        <v>9.99999980000001E-005</v>
      </c>
      <c r="I106" s="161" t="n">
        <f aca="false">IF(MIN(I104,I105)&gt;1,0,MIN(I104,I105))</f>
        <v>0.000100000002</v>
      </c>
      <c r="J106" s="161" t="n">
        <f aca="false">IF(MIN(J104,J105)&gt;1,0,MIN(J104,J105))</f>
        <v>0.000100000002</v>
      </c>
      <c r="K106" s="161" t="n">
        <f aca="false">IF(MIN(K104,K105)&gt;1,0,MIN(K104,K105))</f>
        <v>9.99999980000001E-005</v>
      </c>
      <c r="L106" s="161" t="n">
        <f aca="false">IF(MIN(L104,L105)&gt;1,0,MIN(L104,L105))</f>
        <v>0</v>
      </c>
      <c r="M106" s="161" t="n">
        <f aca="false">IF(MIN(M104,M105)&gt;1,0,MIN(M104,M105))</f>
        <v>0</v>
      </c>
      <c r="N106" s="161" t="n">
        <f aca="false">IF(MIN(N104,N105)&gt;1,0,MIN(N104,N105))</f>
        <v>0</v>
      </c>
      <c r="O106" s="161" t="n">
        <f aca="false">IF(MIN(O104,O105)&gt;1,0,MIN(O104,O105))</f>
        <v>0</v>
      </c>
      <c r="P106" s="161" t="n">
        <f aca="false">IF(MIN(P104,P105)&gt;1,0,MIN(P104,P105))</f>
        <v>0</v>
      </c>
      <c r="Q106" s="161" t="n">
        <f aca="false">IF(MIN(Q104,Q105)&gt;1,0,MIN(Q104,Q105))</f>
        <v>0</v>
      </c>
      <c r="R106" s="161" t="n">
        <f aca="false">IF(MIN(R104,R105)&gt;1,0,MIN(R104,R105))</f>
        <v>0</v>
      </c>
      <c r="S106" s="161" t="n">
        <f aca="false">IF(MIN(S104,S105)&gt;1,0,MIN(S104,S105))</f>
        <v>0</v>
      </c>
    </row>
    <row r="107" customFormat="false" ht="15.6" hidden="false" customHeight="false" outlineLevel="0" collapsed="false">
      <c r="A107" s="153"/>
      <c r="B107" s="142"/>
      <c r="G107" s="0"/>
      <c r="H107" s="0"/>
      <c r="I107" s="0"/>
      <c r="J107" s="0"/>
      <c r="K107" s="0"/>
      <c r="L107" s="0"/>
      <c r="M107" s="0"/>
      <c r="N107" s="0"/>
      <c r="O107" s="0"/>
      <c r="P107" s="0"/>
      <c r="Q107" s="0"/>
      <c r="R107" s="0"/>
      <c r="S107" s="0"/>
    </row>
    <row r="108" customFormat="false" ht="15.6" hidden="false" customHeight="false" outlineLevel="0" collapsed="false">
      <c r="A108" s="153"/>
      <c r="B108" s="142"/>
      <c r="G108" s="212" t="s">
        <v>295</v>
      </c>
      <c r="H108" s="212"/>
      <c r="I108" s="212"/>
      <c r="J108" s="212"/>
      <c r="K108" s="212"/>
      <c r="L108" s="212"/>
      <c r="M108" s="212"/>
      <c r="N108" s="212"/>
      <c r="O108" s="212"/>
      <c r="P108" s="212"/>
      <c r="Q108" s="0"/>
      <c r="R108" s="0"/>
      <c r="S108" s="0"/>
    </row>
    <row r="109" customFormat="false" ht="15.6" hidden="false" customHeight="false" outlineLevel="0" collapsed="false">
      <c r="A109" s="153"/>
      <c r="B109" s="142"/>
      <c r="G109" s="0"/>
      <c r="H109" s="153" t="s">
        <v>296</v>
      </c>
      <c r="I109" s="153"/>
      <c r="J109" s="153"/>
      <c r="K109" s="153"/>
      <c r="L109" s="153"/>
      <c r="M109" s="153"/>
      <c r="N109" s="153"/>
      <c r="O109" s="153"/>
      <c r="P109" s="153"/>
      <c r="Q109" s="153"/>
      <c r="R109" s="153"/>
      <c r="S109" s="153"/>
    </row>
    <row r="110" customFormat="false" ht="15.6" hidden="false" customHeight="false" outlineLevel="0" collapsed="false">
      <c r="G110" s="165" t="s">
        <v>291</v>
      </c>
      <c r="H110" s="161" t="n">
        <f aca="false">H56/(H33+0.000001)</f>
        <v>0</v>
      </c>
      <c r="I110" s="161" t="n">
        <f aca="false">I56/(I33+0.000001)</f>
        <v>0</v>
      </c>
      <c r="J110" s="161" t="n">
        <f aca="false">J56/(J33+0.000001)</f>
        <v>-0</v>
      </c>
      <c r="K110" s="161" t="n">
        <f aca="false">K56/(K33+0.000001)</f>
        <v>-0</v>
      </c>
      <c r="L110" s="161" t="n">
        <f aca="false">L56/(L33+0.000001)</f>
        <v>0</v>
      </c>
      <c r="M110" s="161" t="n">
        <f aca="false">M56/(M33+0.000001)</f>
        <v>0</v>
      </c>
      <c r="N110" s="161" t="n">
        <f aca="false">N56/(N33+0.000001)</f>
        <v>0</v>
      </c>
      <c r="O110" s="161" t="n">
        <f aca="false">O56/(O33+0.000001)</f>
        <v>0</v>
      </c>
      <c r="P110" s="161" t="n">
        <f aca="false">P56/(P33+0.000001)</f>
        <v>0</v>
      </c>
      <c r="Q110" s="161" t="n">
        <f aca="false">Q56/(Q33+0.000001)</f>
        <v>0</v>
      </c>
      <c r="R110" s="161" t="n">
        <f aca="false">R56/(R33+0.000001)</f>
        <v>0</v>
      </c>
      <c r="S110" s="161" t="n">
        <f aca="false">S56/(S33+0.000001)</f>
        <v>0</v>
      </c>
    </row>
    <row r="111" customFormat="false" ht="15.6" hidden="false" customHeight="false" outlineLevel="0" collapsed="false">
      <c r="G111" s="165" t="s">
        <v>291</v>
      </c>
      <c r="H111" s="216" t="n">
        <f aca="false">H57/(H32+0.000001)</f>
        <v>0</v>
      </c>
      <c r="I111" s="216" t="n">
        <f aca="false">I57/(I32+0.000001)</f>
        <v>0</v>
      </c>
      <c r="J111" s="216" t="n">
        <f aca="false">J57/(J32+0.000001)</f>
        <v>0</v>
      </c>
      <c r="K111" s="216" t="n">
        <f aca="false">K57/(K32+0.000001)</f>
        <v>0</v>
      </c>
      <c r="L111" s="216" t="n">
        <f aca="false">L57/(L32+0.000001)</f>
        <v>0</v>
      </c>
      <c r="M111" s="216" t="n">
        <f aca="false">M57/(M32+0.000001)</f>
        <v>0</v>
      </c>
      <c r="N111" s="216" t="n">
        <f aca="false">N57/(N32+0.000001)</f>
        <v>0</v>
      </c>
      <c r="O111" s="216" t="n">
        <f aca="false">O57/(O32+0.000001)</f>
        <v>0</v>
      </c>
      <c r="P111" s="216" t="n">
        <f aca="false">P57/(P32+0.000001)</f>
        <v>0</v>
      </c>
      <c r="Q111" s="216" t="n">
        <f aca="false">Q57/(Q32+0.000001)</f>
        <v>0</v>
      </c>
      <c r="R111" s="216" t="n">
        <f aca="false">R57/(R32+0.000001)</f>
        <v>0</v>
      </c>
      <c r="S111" s="216" t="n">
        <f aca="false">S57/(S32+0.000001)</f>
        <v>0</v>
      </c>
    </row>
    <row r="112" customFormat="false" ht="15.6" hidden="false" customHeight="false" outlineLevel="0" collapsed="false">
      <c r="G112" s="77" t="s">
        <v>297</v>
      </c>
      <c r="H112" s="217" t="n">
        <f aca="false">SIGN(H110+0.000000000001)*SIGN(H111+0.000000000001)</f>
        <v>1</v>
      </c>
      <c r="I112" s="217" t="n">
        <f aca="false">SIGN(I110+0.000000000001)*SIGN(I111+0.000000000001)</f>
        <v>1</v>
      </c>
      <c r="J112" s="217" t="n">
        <f aca="false">SIGN(J110+0.000000000001)*SIGN(J111+0.000000000001)</f>
        <v>1</v>
      </c>
      <c r="K112" s="217" t="n">
        <f aca="false">SIGN(K110+0.000000000001)*SIGN(K111+0.000000000001)</f>
        <v>1</v>
      </c>
      <c r="L112" s="217" t="n">
        <f aca="false">SIGN(L110+0.000000000001)*SIGN(L111+0.000000000001)</f>
        <v>1</v>
      </c>
      <c r="M112" s="217" t="n">
        <f aca="false">SIGN(M110+0.000000000001)*SIGN(M111+0.000000000001)</f>
        <v>1</v>
      </c>
      <c r="N112" s="217" t="n">
        <f aca="false">SIGN(N110+0.000000000001)*SIGN(N111+0.000000000001)</f>
        <v>1</v>
      </c>
      <c r="O112" s="217" t="n">
        <f aca="false">SIGN(O110+0.000000000001)*SIGN(O111+0.000000000001)</f>
        <v>1</v>
      </c>
      <c r="P112" s="217" t="n">
        <f aca="false">SIGN(P110+0.000000000001)*SIGN(P111+0.000000000001)</f>
        <v>1</v>
      </c>
      <c r="Q112" s="217" t="n">
        <f aca="false">SIGN(Q110+0.000000000001)*SIGN(Q111+0.000000000001)</f>
        <v>1</v>
      </c>
      <c r="R112" s="217" t="n">
        <f aca="false">SIGN(R110+0.000000000001)*SIGN(R111+0.000000000001)</f>
        <v>1</v>
      </c>
      <c r="S112" s="217" t="n">
        <f aca="false">SIGN(S110+0.000000000001)*SIGN(S111+0.000000000001)</f>
        <v>1</v>
      </c>
    </row>
    <row r="113" customFormat="false" ht="15.6" hidden="false" customHeight="false" outlineLevel="0" collapsed="false">
      <c r="G113" s="77" t="s">
        <v>292</v>
      </c>
      <c r="H113" s="161" t="n">
        <f aca="false">IF(H112*MIN(ABS(H110),ABS(H111))&gt;1,0,H112*MIN(ABS(H110),ABS(H111)))</f>
        <v>0</v>
      </c>
      <c r="I113" s="161" t="n">
        <f aca="false">IF(I112*MIN(ABS(I110),ABS(I111))&gt;1,0,I112*MIN(ABS(I110),ABS(I111)))</f>
        <v>0</v>
      </c>
      <c r="J113" s="161" t="n">
        <f aca="false">IF(J112*MIN(ABS(J110),ABS(J111))&gt;1,0,J112*MIN(ABS(J110),ABS(J111)))</f>
        <v>0</v>
      </c>
      <c r="K113" s="161" t="n">
        <f aca="false">IF(K112*MIN(ABS(K110),ABS(K111))&gt;1,0,K112*MIN(ABS(K110),ABS(K111)))</f>
        <v>0</v>
      </c>
      <c r="L113" s="161" t="n">
        <f aca="false">IF(L112*MIN(ABS(L110),ABS(L111))&gt;1,0,L112*MIN(ABS(L110),ABS(L111)))</f>
        <v>0</v>
      </c>
      <c r="M113" s="161" t="n">
        <f aca="false">IF(M112*MIN(ABS(M110),ABS(M111))&gt;1,0,M112*MIN(ABS(M110),ABS(M111)))</f>
        <v>0</v>
      </c>
      <c r="N113" s="161" t="n">
        <f aca="false">IF(N112*MIN(ABS(N110),ABS(N111))&gt;1,0,N112*MIN(ABS(N110),ABS(N111)))</f>
        <v>0</v>
      </c>
      <c r="O113" s="161" t="n">
        <f aca="false">IF(O112*MIN(ABS(O110),ABS(O111))&gt;1,0,O112*MIN(ABS(O110),ABS(O111)))</f>
        <v>0</v>
      </c>
      <c r="P113" s="161" t="n">
        <f aca="false">IF(P112*MIN(ABS(P110),ABS(P111))&gt;1,0,P112*MIN(ABS(P110),ABS(P111)))</f>
        <v>0</v>
      </c>
      <c r="Q113" s="161" t="n">
        <f aca="false">IF(Q112*MIN(ABS(Q110),ABS(Q111))&gt;1,0,Q112*MIN(ABS(Q110),ABS(Q111)))</f>
        <v>0</v>
      </c>
      <c r="R113" s="161" t="n">
        <f aca="false">IF(R112*MIN(ABS(R110),ABS(R111))&gt;1,0,R112*MIN(ABS(R110),ABS(R111)))</f>
        <v>0</v>
      </c>
      <c r="S113" s="161" t="n">
        <f aca="false">IF(S112*MIN(ABS(S110),ABS(S111))&gt;1,0,S112*MIN(ABS(S110),ABS(S111)))</f>
        <v>0</v>
      </c>
    </row>
    <row r="114" customFormat="false" ht="15.6" hidden="false" customHeight="false" outlineLevel="0" collapsed="false">
      <c r="G114" s="0"/>
      <c r="H114" s="153" t="s">
        <v>298</v>
      </c>
      <c r="I114" s="153"/>
      <c r="J114" s="153"/>
      <c r="K114" s="153"/>
      <c r="L114" s="153"/>
      <c r="M114" s="153"/>
      <c r="N114" s="153"/>
      <c r="O114" s="153"/>
      <c r="P114" s="153"/>
      <c r="Q114" s="153"/>
      <c r="R114" s="153"/>
      <c r="S114" s="153"/>
    </row>
    <row r="115" customFormat="false" ht="15.6" hidden="false" customHeight="false" outlineLevel="0" collapsed="false">
      <c r="G115" s="214" t="s">
        <v>291</v>
      </c>
      <c r="H115" s="131" t="n">
        <f aca="false">-H57/(H31+0.000001)</f>
        <v>-0</v>
      </c>
      <c r="I115" s="131" t="n">
        <f aca="false">-I57/(I31+0.000001)</f>
        <v>0</v>
      </c>
      <c r="J115" s="131" t="n">
        <f aca="false">-J57/(J31+0.000001)</f>
        <v>0</v>
      </c>
      <c r="K115" s="131" t="n">
        <f aca="false">-K57/(K31+0.000001)</f>
        <v>-0</v>
      </c>
      <c r="L115" s="131" t="n">
        <f aca="false">-L57/(L31+0.000001)</f>
        <v>-0</v>
      </c>
      <c r="M115" s="131" t="n">
        <f aca="false">-M57/(M31+0.000001)</f>
        <v>-0</v>
      </c>
      <c r="N115" s="131" t="n">
        <f aca="false">-N57/(N31+0.000001)</f>
        <v>-0</v>
      </c>
      <c r="O115" s="131" t="n">
        <f aca="false">-O57/(O31+0.000001)</f>
        <v>-0</v>
      </c>
      <c r="P115" s="131" t="n">
        <f aca="false">-P57/(P31+0.000001)</f>
        <v>-0</v>
      </c>
      <c r="Q115" s="131" t="n">
        <f aca="false">-Q57/(Q31+0.000001)</f>
        <v>-0</v>
      </c>
      <c r="R115" s="131" t="n">
        <f aca="false">-R57/(R31+0.000001)</f>
        <v>-0</v>
      </c>
      <c r="S115" s="131" t="n">
        <f aca="false">-S57/(S31+0.000001)</f>
        <v>-0</v>
      </c>
    </row>
    <row r="116" customFormat="false" ht="15.6" hidden="false" customHeight="false" outlineLevel="0" collapsed="false">
      <c r="G116" s="214" t="s">
        <v>291</v>
      </c>
      <c r="H116" s="131" t="n">
        <f aca="false">H55/(H33+0.000001)</f>
        <v>0</v>
      </c>
      <c r="I116" s="131" t="n">
        <f aca="false">I55/(I33+0.000001)</f>
        <v>0</v>
      </c>
      <c r="J116" s="131" t="n">
        <f aca="false">J55/(J33+0.000001)</f>
        <v>-0</v>
      </c>
      <c r="K116" s="131" t="n">
        <f aca="false">K55/(K33+0.000001)</f>
        <v>-0</v>
      </c>
      <c r="L116" s="131" t="n">
        <f aca="false">L55/(L33+0.000001)</f>
        <v>0</v>
      </c>
      <c r="M116" s="131" t="n">
        <f aca="false">M55/(M33+0.000001)</f>
        <v>0</v>
      </c>
      <c r="N116" s="131" t="n">
        <f aca="false">N55/(N33+0.000001)</f>
        <v>0</v>
      </c>
      <c r="O116" s="131" t="n">
        <f aca="false">O55/(O33+0.000001)</f>
        <v>0</v>
      </c>
      <c r="P116" s="131" t="n">
        <f aca="false">P55/(P33+0.000001)</f>
        <v>0</v>
      </c>
      <c r="Q116" s="131" t="n">
        <f aca="false">Q55/(Q33+0.000001)</f>
        <v>0</v>
      </c>
      <c r="R116" s="131" t="n">
        <f aca="false">R55/(R33+0.000001)</f>
        <v>0</v>
      </c>
      <c r="S116" s="131" t="n">
        <f aca="false">S55/(S33+0.000001)</f>
        <v>0</v>
      </c>
    </row>
    <row r="117" customFormat="false" ht="15.6" hidden="false" customHeight="false" outlineLevel="0" collapsed="false">
      <c r="G117" s="131" t="s">
        <v>297</v>
      </c>
      <c r="H117" s="218" t="n">
        <f aca="false">SIGN(H115+0.000000000001)*SIGN(H116+0.000000000001)</f>
        <v>1</v>
      </c>
      <c r="I117" s="218" t="n">
        <f aca="false">SIGN(I115+0.000000000001)*SIGN(I116+0.000000000001)</f>
        <v>1</v>
      </c>
      <c r="J117" s="218" t="n">
        <f aca="false">SIGN(J115+0.000000000001)*SIGN(J116+0.000000000001)</f>
        <v>1</v>
      </c>
      <c r="K117" s="218" t="n">
        <f aca="false">SIGN(K115+0.000000000001)*SIGN(K116+0.000000000001)</f>
        <v>1</v>
      </c>
      <c r="L117" s="218" t="n">
        <f aca="false">SIGN(L115+0.000000000001)*SIGN(L116+0.000000000001)</f>
        <v>1</v>
      </c>
      <c r="M117" s="218" t="n">
        <f aca="false">SIGN(M115+0.000000000001)*SIGN(M116+0.000000000001)</f>
        <v>1</v>
      </c>
      <c r="N117" s="218" t="n">
        <f aca="false">SIGN(N115+0.000000000001)*SIGN(N116+0.000000000001)</f>
        <v>1</v>
      </c>
      <c r="O117" s="218" t="n">
        <f aca="false">SIGN(O115+0.000000000001)*SIGN(O116+0.000000000001)</f>
        <v>1</v>
      </c>
      <c r="P117" s="218" t="n">
        <f aca="false">SIGN(P115+0.000000000001)*SIGN(P116+0.000000000001)</f>
        <v>1</v>
      </c>
      <c r="Q117" s="218" t="n">
        <f aca="false">SIGN(Q115+0.000000000001)*SIGN(Q116+0.000000000001)</f>
        <v>1</v>
      </c>
      <c r="R117" s="218" t="n">
        <f aca="false">SIGN(R115+0.000000000001)*SIGN(R116+0.000000000001)</f>
        <v>1</v>
      </c>
      <c r="S117" s="218" t="n">
        <f aca="false">SIGN(S115+0.000000000001)*SIGN(S116+0.000000000001)</f>
        <v>1</v>
      </c>
    </row>
    <row r="118" customFormat="false" ht="15.6" hidden="false" customHeight="false" outlineLevel="0" collapsed="false">
      <c r="G118" s="131" t="s">
        <v>292</v>
      </c>
      <c r="H118" s="219" t="n">
        <f aca="false">IF(H117*MIN(ABS(H115),ABS(H116))&gt;1,0,H117*MIN(ABS(H115),ABS(H116)))</f>
        <v>0</v>
      </c>
      <c r="I118" s="219" t="n">
        <f aca="false">IF(I117*MIN(ABS(I115),ABS(I116))&gt;1,0,I117*MIN(ABS(I115),ABS(I116)))</f>
        <v>0</v>
      </c>
      <c r="J118" s="219" t="n">
        <f aca="false">IF(J117*MIN(ABS(J115),ABS(J116))&gt;1,0,J117*MIN(ABS(J115),ABS(J116)))</f>
        <v>0</v>
      </c>
      <c r="K118" s="219" t="n">
        <f aca="false">IF(K117*MIN(ABS(K115),ABS(K116))&gt;1,0,K117*MIN(ABS(K115),ABS(K116)))</f>
        <v>0</v>
      </c>
      <c r="L118" s="219" t="n">
        <f aca="false">IF(L117*MIN(ABS(L115),ABS(L116))&gt;1,0,L117*MIN(ABS(L115),ABS(L116)))</f>
        <v>0</v>
      </c>
      <c r="M118" s="219" t="n">
        <f aca="false">IF(M117*MIN(ABS(M115),ABS(M116))&gt;1,0,M117*MIN(ABS(M115),ABS(M116)))</f>
        <v>0</v>
      </c>
      <c r="N118" s="219" t="n">
        <f aca="false">IF(N117*MIN(ABS(N115),ABS(N116))&gt;1,0,N117*MIN(ABS(N115),ABS(N116)))</f>
        <v>0</v>
      </c>
      <c r="O118" s="219" t="n">
        <f aca="false">IF(O117*MIN(ABS(O115),ABS(O116))&gt;1,0,O117*MIN(ABS(O115),ABS(O116)))</f>
        <v>0</v>
      </c>
      <c r="P118" s="219" t="n">
        <f aca="false">IF(P117*MIN(ABS(P115),ABS(P116))&gt;1,0,P117*MIN(ABS(P115),ABS(P116)))</f>
        <v>0</v>
      </c>
      <c r="Q118" s="219" t="n">
        <f aca="false">IF(Q117*MIN(ABS(Q115),ABS(Q116))&gt;1,0,Q117*MIN(ABS(Q115),ABS(Q116)))</f>
        <v>0</v>
      </c>
      <c r="R118" s="219" t="n">
        <f aca="false">IF(R117*MIN(ABS(R115),ABS(R116))&gt;1,0,R117*MIN(ABS(R115),ABS(R116)))</f>
        <v>0</v>
      </c>
      <c r="S118" s="219" t="n">
        <f aca="false">IF(S117*MIN(ABS(S115),ABS(S116))&gt;1,0,S117*MIN(ABS(S115),ABS(S116)))</f>
        <v>0</v>
      </c>
    </row>
    <row r="119" customFormat="false" ht="15.6" hidden="false" customHeight="false" outlineLevel="0" collapsed="false">
      <c r="G119" s="0"/>
      <c r="H119" s="153" t="s">
        <v>299</v>
      </c>
      <c r="I119" s="153"/>
      <c r="J119" s="153"/>
      <c r="K119" s="153"/>
      <c r="L119" s="153"/>
      <c r="M119" s="153"/>
      <c r="N119" s="153"/>
      <c r="O119" s="153"/>
      <c r="P119" s="153"/>
      <c r="Q119" s="153"/>
      <c r="R119" s="153"/>
      <c r="S119" s="153"/>
    </row>
    <row r="120" customFormat="false" ht="15.6" hidden="false" customHeight="false" outlineLevel="0" collapsed="false">
      <c r="G120" s="165" t="s">
        <v>291</v>
      </c>
      <c r="H120" s="161" t="n">
        <f aca="false">H56/(H31+0.000001)</f>
        <v>0</v>
      </c>
      <c r="I120" s="161" t="n">
        <f aca="false">I56/(I31+0.000001)</f>
        <v>-0</v>
      </c>
      <c r="J120" s="161" t="n">
        <f aca="false">J56/(J31+0.000001)</f>
        <v>-0</v>
      </c>
      <c r="K120" s="161" t="n">
        <f aca="false">K56/(K31+0.000001)</f>
        <v>0</v>
      </c>
      <c r="L120" s="161" t="n">
        <f aca="false">L56/(L31+0.000001)</f>
        <v>0</v>
      </c>
      <c r="M120" s="161" t="n">
        <f aca="false">M56/(M31+0.000001)</f>
        <v>0</v>
      </c>
      <c r="N120" s="161" t="n">
        <f aca="false">N56/(N31+0.000001)</f>
        <v>0</v>
      </c>
      <c r="O120" s="161" t="n">
        <f aca="false">O56/(O31+0.000001)</f>
        <v>0</v>
      </c>
      <c r="P120" s="161" t="n">
        <f aca="false">P56/(P31+0.000001)</f>
        <v>0</v>
      </c>
      <c r="Q120" s="161" t="n">
        <f aca="false">Q56/(Q31+0.000001)</f>
        <v>0</v>
      </c>
      <c r="R120" s="161" t="n">
        <f aca="false">R56/(R31+0.000001)</f>
        <v>0</v>
      </c>
      <c r="S120" s="161" t="n">
        <f aca="false">S56/(S31+0.000001)</f>
        <v>0</v>
      </c>
    </row>
    <row r="121" customFormat="false" ht="15.6" hidden="false" customHeight="false" outlineLevel="0" collapsed="false">
      <c r="G121" s="165" t="s">
        <v>291</v>
      </c>
      <c r="H121" s="77" t="n">
        <f aca="false">H55/(H32+0.000001)</f>
        <v>0</v>
      </c>
      <c r="I121" s="77" t="n">
        <f aca="false">I55/(I32+0.000001)</f>
        <v>0</v>
      </c>
      <c r="J121" s="77" t="n">
        <f aca="false">J55/(J32+0.000001)</f>
        <v>0</v>
      </c>
      <c r="K121" s="77" t="n">
        <f aca="false">K55/(K32+0.000001)</f>
        <v>0</v>
      </c>
      <c r="L121" s="77" t="n">
        <f aca="false">L55/(L32+0.000001)</f>
        <v>0</v>
      </c>
      <c r="M121" s="77" t="n">
        <f aca="false">M55/(M32+0.000001)</f>
        <v>0</v>
      </c>
      <c r="N121" s="77" t="n">
        <f aca="false">N55/(N32+0.000001)</f>
        <v>0</v>
      </c>
      <c r="O121" s="77" t="n">
        <f aca="false">O55/(O32+0.000001)</f>
        <v>0</v>
      </c>
      <c r="P121" s="77" t="n">
        <f aca="false">P55/(P32+0.000001)</f>
        <v>0</v>
      </c>
      <c r="Q121" s="77" t="n">
        <f aca="false">Q55/(Q32+0.000001)</f>
        <v>0</v>
      </c>
      <c r="R121" s="77" t="n">
        <f aca="false">R55/(R32+0.000001)</f>
        <v>0</v>
      </c>
      <c r="S121" s="77" t="n">
        <f aca="false">S55/(S32+0.000001)</f>
        <v>0</v>
      </c>
    </row>
    <row r="122" customFormat="false" ht="15.6" hidden="false" customHeight="false" outlineLevel="0" collapsed="false">
      <c r="G122" s="77" t="s">
        <v>297</v>
      </c>
      <c r="H122" s="217" t="n">
        <f aca="false">SIGN(H120+0.000000000001)*SIGN(H121+0.000000000001)</f>
        <v>1</v>
      </c>
      <c r="I122" s="217" t="n">
        <f aca="false">SIGN(I120+0.000000000001)*SIGN(I121+0.000000000001)</f>
        <v>1</v>
      </c>
      <c r="J122" s="217" t="n">
        <f aca="false">SIGN(J120+0.000000000001)*SIGN(J121+0.000000000001)</f>
        <v>1</v>
      </c>
      <c r="K122" s="217" t="n">
        <f aca="false">SIGN(K120+0.000000000001)*SIGN(K121+0.000000000001)</f>
        <v>1</v>
      </c>
      <c r="L122" s="217" t="n">
        <f aca="false">SIGN(L120+0.000000000001)*SIGN(L121+0.000000000001)</f>
        <v>1</v>
      </c>
      <c r="M122" s="217" t="n">
        <f aca="false">SIGN(M120+0.000000000001)*SIGN(M121+0.000000000001)</f>
        <v>1</v>
      </c>
      <c r="N122" s="217" t="n">
        <f aca="false">SIGN(N120+0.000000000001)*SIGN(N121+0.000000000001)</f>
        <v>1</v>
      </c>
      <c r="O122" s="217" t="n">
        <f aca="false">SIGN(O120+0.000000000001)*SIGN(O121+0.000000000001)</f>
        <v>1</v>
      </c>
      <c r="P122" s="217" t="n">
        <f aca="false">SIGN(P120+0.000000000001)*SIGN(P121+0.000000000001)</f>
        <v>1</v>
      </c>
      <c r="Q122" s="217" t="n">
        <f aca="false">SIGN(Q120+0.000000000001)*SIGN(Q121+0.000000000001)</f>
        <v>1</v>
      </c>
      <c r="R122" s="217" t="n">
        <f aca="false">SIGN(R120+0.000000000001)*SIGN(R121+0.000000000001)</f>
        <v>1</v>
      </c>
      <c r="S122" s="217" t="n">
        <f aca="false">SIGN(S120+0.000000000001)*SIGN(S121+0.000000000001)</f>
        <v>1</v>
      </c>
    </row>
    <row r="123" customFormat="false" ht="15.6" hidden="false" customHeight="false" outlineLevel="0" collapsed="false">
      <c r="G123" s="77" t="s">
        <v>292</v>
      </c>
      <c r="H123" s="161" t="n">
        <f aca="false">IF(H122*MIN(ABS(H120),ABS(H121))&gt;1,0,H122*MIN(ABS(H120),ABS(H121)))</f>
        <v>0</v>
      </c>
      <c r="I123" s="161" t="n">
        <f aca="false">IF(I122*MIN(ABS(I120),ABS(I121))&gt;1,0,I122*MIN(ABS(I120),ABS(I121)))</f>
        <v>0</v>
      </c>
      <c r="J123" s="161" t="n">
        <f aca="false">IF(J122*MIN(ABS(J120),ABS(J121))&gt;1,0,J122*MIN(ABS(J120),ABS(J121)))</f>
        <v>0</v>
      </c>
      <c r="K123" s="161" t="n">
        <f aca="false">IF(K122*MIN(ABS(K120),ABS(K121))&gt;1,0,K122*MIN(ABS(K120),ABS(K121)))</f>
        <v>0</v>
      </c>
      <c r="L123" s="161" t="n">
        <f aca="false">IF(L122*MIN(ABS(L120),ABS(L121))&gt;1,0,L122*MIN(ABS(L120),ABS(L121)))</f>
        <v>0</v>
      </c>
      <c r="M123" s="161" t="n">
        <f aca="false">IF(M122*MIN(ABS(M120),ABS(M121))&gt;1,0,M122*MIN(ABS(M120),ABS(M121)))</f>
        <v>0</v>
      </c>
      <c r="N123" s="161" t="n">
        <f aca="false">IF(N122*MIN(ABS(N120),ABS(N121))&gt;1,0,N122*MIN(ABS(N120),ABS(N121)))</f>
        <v>0</v>
      </c>
      <c r="O123" s="161" t="n">
        <f aca="false">IF(O122*MIN(ABS(O120),ABS(O121))&gt;1,0,O122*MIN(ABS(O120),ABS(O121)))</f>
        <v>0</v>
      </c>
      <c r="P123" s="161" t="n">
        <f aca="false">IF(P122*MIN(ABS(P120),ABS(P121))&gt;1,0,P122*MIN(ABS(P120),ABS(P121)))</f>
        <v>0</v>
      </c>
      <c r="Q123" s="161" t="n">
        <f aca="false">IF(Q122*MIN(ABS(Q120),ABS(Q121))&gt;1,0,Q122*MIN(ABS(Q120),ABS(Q121)))</f>
        <v>0</v>
      </c>
      <c r="R123" s="161" t="n">
        <f aca="false">IF(R122*MIN(ABS(R120),ABS(R121))&gt;1,0,R122*MIN(ABS(R120),ABS(R121)))</f>
        <v>0</v>
      </c>
      <c r="S123" s="161" t="n">
        <f aca="false">IF(S122*MIN(ABS(S120),ABS(S121))&gt;1,0,S122*MIN(ABS(S120),ABS(S121)))</f>
        <v>0</v>
      </c>
    </row>
  </sheetData>
  <mergeCells count="9">
    <mergeCell ref="E3:M3"/>
    <mergeCell ref="E4:M4"/>
    <mergeCell ref="F5:F10"/>
    <mergeCell ref="A22:M22"/>
    <mergeCell ref="H29:S29"/>
    <mergeCell ref="A32:C34"/>
    <mergeCell ref="H34:K34"/>
    <mergeCell ref="H38:K38"/>
    <mergeCell ref="H64:H69"/>
  </mergeCells>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T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15" activeCellId="0" sqref="G15"/>
    </sheetView>
  </sheetViews>
  <sheetFormatPr defaultRowHeight="15.6"/>
  <cols>
    <col collapsed="false" hidden="false" max="1" min="1" style="77" width="46.4481481481482"/>
    <col collapsed="false" hidden="false" max="2" min="2" style="77" width="22.0481481481481"/>
    <col collapsed="false" hidden="false" max="3" min="3" style="77" width="41.1592592592593"/>
    <col collapsed="false" hidden="false" max="4" min="4" style="77" width="12.2481481481481"/>
    <col collapsed="false" hidden="false" max="6" min="5" style="77" width="7.34814814814815"/>
    <col collapsed="false" hidden="false" max="7" min="7" style="77" width="27.1444444444444"/>
    <col collapsed="false" hidden="false" max="8" min="8" style="77" width="13.8185185185185"/>
    <col collapsed="false" hidden="false" max="11" min="9" style="77" width="11.2703703703704"/>
    <col collapsed="false" hidden="false" max="12" min="12" style="77" width="16.5592592592593"/>
    <col collapsed="false" hidden="false" max="1025" min="13" style="77" width="11.2703703703704"/>
  </cols>
  <sheetData>
    <row r="1" customFormat="false" ht="15.6" hidden="false" customHeight="false" outlineLevel="0" collapsed="false">
      <c r="A1" s="132" t="str">
        <f aca="false">'CSs and Loads'!A309</f>
        <v>CS 10</v>
      </c>
      <c r="B1" s="132" t="str">
        <f aca="false">'CSs and Loads'!A319</f>
        <v>Thing 10</v>
      </c>
      <c r="C1" s="0"/>
      <c r="D1" s="0"/>
      <c r="E1" s="0"/>
      <c r="F1" s="0"/>
      <c r="G1" s="0"/>
      <c r="H1" s="0"/>
      <c r="I1" s="0"/>
      <c r="J1" s="0"/>
      <c r="K1" s="0"/>
      <c r="L1" s="0"/>
      <c r="M1" s="0"/>
      <c r="N1" s="0"/>
      <c r="O1" s="0"/>
      <c r="P1" s="0"/>
      <c r="Q1" s="0"/>
      <c r="R1" s="0"/>
      <c r="S1" s="0"/>
      <c r="T1" s="0"/>
    </row>
    <row r="2" customFormat="false" ht="16.2" hidden="false" customHeight="false" outlineLevel="0" collapsed="false">
      <c r="A2" s="134" t="s">
        <v>196</v>
      </c>
      <c r="B2" s="0"/>
      <c r="C2" s="0"/>
      <c r="D2" s="0"/>
      <c r="E2" s="136"/>
      <c r="F2" s="136"/>
      <c r="G2" s="136"/>
      <c r="H2" s="136"/>
      <c r="I2" s="191"/>
      <c r="J2" s="136"/>
      <c r="K2" s="136"/>
      <c r="L2" s="137"/>
      <c r="M2" s="137"/>
      <c r="N2" s="138"/>
      <c r="O2" s="0"/>
      <c r="P2" s="0"/>
      <c r="Q2" s="0"/>
      <c r="R2" s="0"/>
      <c r="S2" s="0"/>
      <c r="T2" s="0"/>
    </row>
    <row r="3" customFormat="false" ht="15.6" hidden="false" customHeight="false" outlineLevel="0" collapsed="false">
      <c r="A3" s="134" t="s">
        <v>197</v>
      </c>
      <c r="B3" s="0"/>
      <c r="C3" s="0"/>
      <c r="D3" s="220"/>
      <c r="E3" s="140" t="s">
        <v>198</v>
      </c>
      <c r="F3" s="140"/>
      <c r="G3" s="140"/>
      <c r="H3" s="140"/>
      <c r="I3" s="140"/>
      <c r="J3" s="140"/>
      <c r="K3" s="140"/>
      <c r="L3" s="140"/>
      <c r="M3" s="140"/>
      <c r="N3" s="141"/>
      <c r="O3" s="142"/>
      <c r="P3" s="142"/>
      <c r="Q3" s="142"/>
      <c r="R3" s="142"/>
      <c r="S3" s="0"/>
      <c r="T3" s="0"/>
    </row>
    <row r="4" customFormat="false" ht="15.6" hidden="false" customHeight="false" outlineLevel="0" collapsed="false">
      <c r="A4" s="134"/>
      <c r="B4" s="0"/>
      <c r="C4" s="134" t="s">
        <v>201</v>
      </c>
      <c r="D4" s="223"/>
      <c r="E4" s="260" t="s">
        <v>344</v>
      </c>
      <c r="F4" s="260"/>
      <c r="G4" s="260"/>
      <c r="H4" s="260"/>
      <c r="I4" s="260"/>
      <c r="J4" s="260"/>
      <c r="K4" s="260"/>
      <c r="L4" s="260"/>
      <c r="M4" s="260"/>
      <c r="N4" s="141"/>
      <c r="O4" s="142"/>
      <c r="P4" s="142"/>
      <c r="Q4" s="142"/>
      <c r="R4" s="142"/>
      <c r="S4" s="0"/>
      <c r="T4" s="0"/>
    </row>
    <row r="5" customFormat="false" ht="15.6" hidden="false" customHeight="false" outlineLevel="0" collapsed="false">
      <c r="A5" s="134"/>
      <c r="B5" s="0"/>
      <c r="C5" s="153" t="s">
        <v>205</v>
      </c>
      <c r="D5" s="223" t="n">
        <v>25</v>
      </c>
      <c r="E5" s="148" t="s">
        <v>206</v>
      </c>
      <c r="F5" s="149" t="s">
        <v>207</v>
      </c>
      <c r="G5" s="261" t="n">
        <v>0</v>
      </c>
      <c r="H5" s="261" t="n">
        <v>0</v>
      </c>
      <c r="I5" s="261" t="n">
        <v>0</v>
      </c>
      <c r="J5" s="261" t="n">
        <v>0</v>
      </c>
      <c r="K5" s="261" t="n">
        <v>0</v>
      </c>
      <c r="L5" s="261" t="n">
        <v>0</v>
      </c>
      <c r="M5" s="152" t="s">
        <v>208</v>
      </c>
      <c r="N5" s="141"/>
      <c r="O5" s="142"/>
      <c r="P5" s="142"/>
      <c r="Q5" s="142"/>
      <c r="R5" s="142"/>
      <c r="S5" s="0"/>
      <c r="T5" s="0"/>
    </row>
    <row r="6" customFormat="false" ht="15.6" hidden="false" customHeight="false" outlineLevel="0" collapsed="false">
      <c r="A6" s="134"/>
      <c r="B6" s="0"/>
      <c r="C6" s="153" t="s">
        <v>211</v>
      </c>
      <c r="D6" s="223" t="n">
        <f aca="false">1770*9.8</f>
        <v>17346</v>
      </c>
      <c r="E6" s="148" t="s">
        <v>212</v>
      </c>
      <c r="F6" s="149"/>
      <c r="G6" s="261" t="n">
        <v>0</v>
      </c>
      <c r="H6" s="261" t="n">
        <v>0</v>
      </c>
      <c r="I6" s="261" t="n">
        <v>0</v>
      </c>
      <c r="J6" s="261" t="n">
        <v>0</v>
      </c>
      <c r="K6" s="261" t="n">
        <v>0</v>
      </c>
      <c r="L6" s="261" t="n">
        <v>0</v>
      </c>
      <c r="M6" s="152" t="s">
        <v>213</v>
      </c>
      <c r="N6" s="141"/>
      <c r="O6" s="142"/>
      <c r="P6" s="142"/>
      <c r="Q6" s="142"/>
      <c r="R6" s="142"/>
      <c r="S6" s="0"/>
      <c r="T6" s="0"/>
    </row>
    <row r="7" customFormat="false" ht="15.6" hidden="false" customHeight="false" outlineLevel="0" collapsed="false">
      <c r="A7" s="134"/>
      <c r="B7" s="0"/>
      <c r="C7" s="153" t="s">
        <v>215</v>
      </c>
      <c r="D7" s="223" t="n">
        <f aca="false">647*1000</f>
        <v>647000</v>
      </c>
      <c r="E7" s="148" t="s">
        <v>216</v>
      </c>
      <c r="F7" s="149"/>
      <c r="G7" s="261" t="n">
        <v>0</v>
      </c>
      <c r="H7" s="261" t="n">
        <v>0</v>
      </c>
      <c r="I7" s="261" t="n">
        <v>0</v>
      </c>
      <c r="J7" s="261" t="n">
        <v>0</v>
      </c>
      <c r="K7" s="261" t="n">
        <v>0</v>
      </c>
      <c r="L7" s="261" t="n">
        <v>0</v>
      </c>
      <c r="M7" s="152" t="s">
        <v>217</v>
      </c>
      <c r="N7" s="141"/>
      <c r="O7" s="142"/>
      <c r="P7" s="142"/>
      <c r="Q7" s="142"/>
      <c r="R7" s="142"/>
      <c r="S7" s="0"/>
      <c r="T7" s="0"/>
    </row>
    <row r="8" customFormat="false" ht="15.6" hidden="false" customHeight="false" outlineLevel="0" collapsed="false">
      <c r="A8" s="134"/>
      <c r="B8" s="0"/>
      <c r="C8" s="153" t="s">
        <v>219</v>
      </c>
      <c r="D8" s="223" t="n">
        <v>3</v>
      </c>
      <c r="E8" s="148" t="s">
        <v>220</v>
      </c>
      <c r="F8" s="149"/>
      <c r="G8" s="261" t="n">
        <v>0</v>
      </c>
      <c r="H8" s="261" t="n">
        <v>0</v>
      </c>
      <c r="I8" s="261" t="n">
        <v>0</v>
      </c>
      <c r="J8" s="261" t="n">
        <v>0</v>
      </c>
      <c r="K8" s="261" t="n">
        <v>0</v>
      </c>
      <c r="L8" s="261" t="n">
        <v>0</v>
      </c>
      <c r="M8" s="152" t="s">
        <v>221</v>
      </c>
      <c r="N8" s="141"/>
      <c r="O8" s="142"/>
      <c r="P8" s="142"/>
      <c r="Q8" s="142"/>
      <c r="R8" s="142"/>
      <c r="S8" s="0"/>
      <c r="T8" s="0"/>
    </row>
    <row r="9" customFormat="false" ht="15.6" hidden="false" customHeight="false" outlineLevel="0" collapsed="false">
      <c r="A9" s="134"/>
      <c r="B9" s="0"/>
      <c r="C9" s="153" t="s">
        <v>223</v>
      </c>
      <c r="D9" s="223" t="n">
        <v>0.01</v>
      </c>
      <c r="E9" s="148" t="s">
        <v>224</v>
      </c>
      <c r="F9" s="149"/>
      <c r="G9" s="261" t="n">
        <v>0</v>
      </c>
      <c r="H9" s="261" t="n">
        <v>0</v>
      </c>
      <c r="I9" s="261" t="n">
        <v>0</v>
      </c>
      <c r="J9" s="261" t="n">
        <v>0</v>
      </c>
      <c r="K9" s="261" t="n">
        <v>0</v>
      </c>
      <c r="L9" s="261" t="n">
        <v>0</v>
      </c>
      <c r="M9" s="152" t="s">
        <v>225</v>
      </c>
      <c r="N9" s="141"/>
      <c r="O9" s="142"/>
      <c r="P9" s="142"/>
      <c r="Q9" s="142"/>
      <c r="R9" s="142"/>
      <c r="S9" s="0"/>
      <c r="T9" s="0"/>
    </row>
    <row r="10" customFormat="false" ht="16.2" hidden="false" customHeight="false" outlineLevel="0" collapsed="false">
      <c r="A10" s="134"/>
      <c r="B10" s="0"/>
      <c r="C10" s="153" t="s">
        <v>227</v>
      </c>
      <c r="D10" s="262" t="n">
        <f aca="false">D6/(D8*D9)</f>
        <v>578200</v>
      </c>
      <c r="E10" s="157" t="s">
        <v>228</v>
      </c>
      <c r="F10" s="149"/>
      <c r="G10" s="263" t="n">
        <v>0</v>
      </c>
      <c r="H10" s="263" t="n">
        <v>0</v>
      </c>
      <c r="I10" s="263" t="n">
        <v>0</v>
      </c>
      <c r="J10" s="263" t="n">
        <v>0</v>
      </c>
      <c r="K10" s="263" t="n">
        <v>0</v>
      </c>
      <c r="L10" s="263" t="n">
        <v>0</v>
      </c>
      <c r="M10" s="160" t="s">
        <v>229</v>
      </c>
      <c r="N10" s="141"/>
      <c r="O10" s="142"/>
      <c r="P10" s="142"/>
      <c r="Q10" s="142"/>
      <c r="R10" s="142"/>
      <c r="S10" s="0"/>
      <c r="T10" s="0"/>
    </row>
    <row r="11" customFormat="false" ht="15.6" hidden="false" customHeight="false" outlineLevel="0" collapsed="false">
      <c r="A11" s="134"/>
      <c r="B11" s="0"/>
      <c r="C11" s="153" t="s">
        <v>231</v>
      </c>
      <c r="D11" s="134" t="n">
        <v>25</v>
      </c>
      <c r="E11" s="187"/>
      <c r="F11" s="187"/>
      <c r="G11" s="187"/>
      <c r="H11" s="187"/>
      <c r="I11" s="187"/>
      <c r="J11" s="187"/>
      <c r="K11" s="187"/>
      <c r="L11" s="187"/>
      <c r="M11" s="187"/>
      <c r="N11" s="0"/>
      <c r="O11" s="142"/>
      <c r="P11" s="142"/>
      <c r="Q11" s="142"/>
      <c r="R11" s="142"/>
      <c r="S11" s="0"/>
      <c r="T11" s="0"/>
    </row>
    <row r="12" customFormat="false" ht="15.6" hidden="false" customHeight="false" outlineLevel="0" collapsed="false">
      <c r="A12" s="134"/>
      <c r="B12" s="0"/>
      <c r="C12" s="153" t="s">
        <v>233</v>
      </c>
      <c r="D12" s="155" t="n">
        <f aca="false">D7*D11^2/4</f>
        <v>101093750</v>
      </c>
      <c r="E12" s="0"/>
      <c r="F12" s="0"/>
      <c r="G12" s="0"/>
      <c r="H12" s="0"/>
      <c r="I12" s="0"/>
      <c r="J12" s="0"/>
      <c r="K12" s="0"/>
      <c r="L12" s="0"/>
      <c r="M12" s="0"/>
      <c r="N12" s="0"/>
      <c r="O12" s="142"/>
      <c r="P12" s="142"/>
      <c r="Q12" s="142"/>
      <c r="R12" s="142"/>
      <c r="S12" s="0"/>
      <c r="T12" s="0"/>
    </row>
    <row r="13" customFormat="false" ht="15.6" hidden="false" customHeight="false" outlineLevel="0" collapsed="false">
      <c r="A13" s="134"/>
      <c r="B13" s="0"/>
      <c r="C13" s="153" t="s">
        <v>235</v>
      </c>
      <c r="D13" s="155" t="n">
        <f aca="false">D7*D11^2/12</f>
        <v>33697916.6666667</v>
      </c>
      <c r="E13" s="0"/>
      <c r="F13" s="0"/>
      <c r="G13" s="0"/>
      <c r="H13" s="0"/>
      <c r="I13" s="0"/>
      <c r="J13" s="0"/>
      <c r="K13" s="0"/>
      <c r="L13" s="0"/>
      <c r="M13" s="0"/>
      <c r="N13" s="0"/>
      <c r="O13" s="142"/>
      <c r="P13" s="142"/>
      <c r="Q13" s="142"/>
      <c r="R13" s="142"/>
      <c r="S13" s="0"/>
      <c r="T13" s="0"/>
    </row>
    <row r="14" customFormat="false" ht="15.6" hidden="false" customHeight="false" outlineLevel="0" collapsed="false">
      <c r="A14" s="134"/>
      <c r="B14" s="0"/>
      <c r="C14" s="153" t="s">
        <v>237</v>
      </c>
      <c r="D14" s="155" t="n">
        <f aca="false">D13</f>
        <v>33697916.6666667</v>
      </c>
      <c r="E14" s="0"/>
      <c r="F14" s="0"/>
      <c r="G14" s="0"/>
      <c r="H14" s="0"/>
      <c r="I14" s="0"/>
      <c r="J14" s="0"/>
      <c r="K14" s="0"/>
      <c r="L14" s="0"/>
      <c r="M14" s="0"/>
      <c r="N14" s="0"/>
      <c r="O14" s="142"/>
      <c r="P14" s="142"/>
      <c r="Q14" s="142"/>
      <c r="R14" s="142"/>
      <c r="S14" s="0"/>
      <c r="T14" s="0"/>
    </row>
    <row r="15" customFormat="false" ht="15.6" hidden="false" customHeight="false" outlineLevel="0" collapsed="false">
      <c r="A15" s="134"/>
      <c r="B15" s="0"/>
      <c r="C15" s="247" t="s">
        <v>239</v>
      </c>
      <c r="D15" s="134"/>
      <c r="E15" s="0"/>
      <c r="F15" s="0"/>
      <c r="G15" s="0"/>
      <c r="H15" s="0"/>
      <c r="I15" s="0"/>
      <c r="J15" s="0"/>
      <c r="K15" s="0"/>
      <c r="L15" s="0"/>
      <c r="M15" s="0"/>
      <c r="N15" s="0"/>
      <c r="O15" s="142"/>
      <c r="P15" s="142"/>
      <c r="Q15" s="142"/>
      <c r="R15" s="142"/>
      <c r="S15" s="0"/>
      <c r="T15" s="0"/>
    </row>
    <row r="16" customFormat="false" ht="15.6" hidden="false" customHeight="false" outlineLevel="0" collapsed="false">
      <c r="A16" s="134"/>
      <c r="B16" s="0"/>
      <c r="C16" s="214" t="s">
        <v>241</v>
      </c>
      <c r="D16" s="134"/>
      <c r="E16" s="0"/>
      <c r="F16" s="0"/>
      <c r="G16" s="0"/>
      <c r="H16" s="0"/>
      <c r="I16" s="0"/>
      <c r="J16" s="0"/>
      <c r="K16" s="0"/>
      <c r="L16" s="0"/>
      <c r="M16" s="0"/>
      <c r="N16" s="0"/>
      <c r="O16" s="142"/>
      <c r="P16" s="142"/>
      <c r="Q16" s="142"/>
      <c r="R16" s="142"/>
      <c r="S16" s="0"/>
      <c r="T16" s="0"/>
    </row>
    <row r="17" customFormat="false" ht="15.6" hidden="false" customHeight="false" outlineLevel="0" collapsed="false">
      <c r="A17" s="134"/>
      <c r="B17" s="0"/>
      <c r="C17" s="242" t="s">
        <v>243</v>
      </c>
      <c r="D17" s="134" t="n">
        <v>18</v>
      </c>
      <c r="E17" s="0"/>
      <c r="F17" s="0"/>
      <c r="G17" s="0"/>
      <c r="H17" s="0"/>
      <c r="I17" s="0"/>
      <c r="J17" s="0"/>
      <c r="K17" s="0"/>
      <c r="L17" s="0"/>
      <c r="M17" s="0"/>
      <c r="N17" s="0"/>
      <c r="O17" s="142"/>
      <c r="P17" s="142"/>
      <c r="Q17" s="142"/>
      <c r="R17" s="142"/>
      <c r="S17" s="0"/>
      <c r="T17" s="0"/>
    </row>
    <row r="18" customFormat="false" ht="15.6" hidden="false" customHeight="false" outlineLevel="0" collapsed="false">
      <c r="A18" s="134"/>
      <c r="B18" s="0"/>
      <c r="C18" s="242" t="s">
        <v>232</v>
      </c>
      <c r="D18" s="134" t="n">
        <v>2500</v>
      </c>
      <c r="E18" s="0"/>
      <c r="F18" s="0"/>
      <c r="G18" s="0"/>
      <c r="H18" s="0"/>
      <c r="I18" s="0"/>
      <c r="J18" s="0"/>
      <c r="K18" s="0"/>
      <c r="L18" s="0"/>
      <c r="M18" s="0"/>
      <c r="N18" s="0"/>
      <c r="O18" s="142"/>
      <c r="P18" s="142"/>
      <c r="Q18" s="142"/>
      <c r="R18" s="142"/>
      <c r="S18" s="0"/>
      <c r="T18" s="0"/>
    </row>
    <row r="19" customFormat="false" ht="15.6" hidden="false" customHeight="false" outlineLevel="0" collapsed="false">
      <c r="A19" s="134"/>
      <c r="B19" s="0"/>
      <c r="C19" s="153" t="s">
        <v>246</v>
      </c>
      <c r="D19" s="264" t="n">
        <v>200000</v>
      </c>
      <c r="E19" s="0"/>
      <c r="F19" s="0"/>
      <c r="G19" s="0"/>
      <c r="H19" s="0"/>
      <c r="I19" s="0"/>
      <c r="J19" s="0"/>
      <c r="K19" s="0"/>
      <c r="L19" s="0"/>
      <c r="M19" s="0"/>
      <c r="N19" s="0"/>
      <c r="O19" s="142"/>
      <c r="P19" s="142"/>
      <c r="Q19" s="142"/>
      <c r="R19" s="142"/>
      <c r="S19" s="0"/>
      <c r="T19" s="0"/>
    </row>
    <row r="20" customFormat="false" ht="15.6" hidden="false" customHeight="false" outlineLevel="0" collapsed="false">
      <c r="A20" s="134"/>
      <c r="B20" s="0"/>
      <c r="C20" s="242" t="s">
        <v>248</v>
      </c>
      <c r="D20" s="175" t="n">
        <f aca="false">PI()*D17^2/4*D19/D18</f>
        <v>20357.5203952619</v>
      </c>
      <c r="E20" s="0"/>
      <c r="F20" s="0"/>
      <c r="G20" s="0"/>
      <c r="H20" s="0"/>
      <c r="I20" s="0"/>
      <c r="J20" s="0"/>
      <c r="K20" s="0"/>
      <c r="L20" s="0"/>
      <c r="M20" s="0"/>
      <c r="N20" s="0"/>
      <c r="O20" s="142"/>
      <c r="P20" s="142"/>
      <c r="Q20" s="142"/>
      <c r="R20" s="142"/>
      <c r="S20" s="0"/>
      <c r="T20" s="0"/>
    </row>
    <row r="21" customFormat="false" ht="16.2" hidden="false" customHeight="false" outlineLevel="0" collapsed="false">
      <c r="A21" s="259"/>
      <c r="B21" s="136"/>
      <c r="C21" s="178" t="s">
        <v>251</v>
      </c>
      <c r="D21" s="259" t="n">
        <v>3</v>
      </c>
      <c r="E21" s="136"/>
      <c r="F21" s="136"/>
      <c r="G21" s="136"/>
      <c r="H21" s="136"/>
      <c r="I21" s="136"/>
      <c r="J21" s="136"/>
      <c r="K21" s="136"/>
      <c r="L21" s="136"/>
      <c r="M21" s="136"/>
      <c r="N21" s="0"/>
      <c r="O21" s="142"/>
      <c r="P21" s="142"/>
      <c r="Q21" s="142"/>
      <c r="R21" s="142"/>
      <c r="S21" s="0"/>
      <c r="T21" s="0"/>
    </row>
    <row r="22" customFormat="false" ht="16.2" hidden="false" customHeight="false" outlineLevel="0" collapsed="false">
      <c r="A22" s="282" t="s">
        <v>340</v>
      </c>
      <c r="B22" s="282"/>
      <c r="C22" s="282"/>
      <c r="D22" s="282"/>
      <c r="E22" s="282"/>
      <c r="F22" s="282"/>
      <c r="G22" s="282"/>
      <c r="H22" s="282"/>
      <c r="I22" s="282"/>
      <c r="J22" s="282"/>
      <c r="K22" s="282"/>
      <c r="L22" s="282"/>
      <c r="M22" s="282"/>
      <c r="N22" s="141"/>
      <c r="O22" s="142"/>
      <c r="P22" s="142"/>
      <c r="Q22" s="142"/>
      <c r="R22" s="142"/>
      <c r="S22" s="0"/>
      <c r="T22" s="0"/>
    </row>
    <row r="23" customFormat="false" ht="31.2" hidden="false" customHeight="false" outlineLevel="0" collapsed="false">
      <c r="A23" s="184" t="s">
        <v>253</v>
      </c>
      <c r="B23" s="185"/>
      <c r="C23" s="186" t="s">
        <v>254</v>
      </c>
      <c r="D23" s="187"/>
      <c r="E23" s="187"/>
      <c r="F23" s="187"/>
      <c r="G23" s="187"/>
      <c r="H23" s="187"/>
      <c r="I23" s="187"/>
      <c r="J23" s="187"/>
      <c r="K23" s="187"/>
      <c r="L23" s="187"/>
      <c r="M23" s="187"/>
      <c r="N23" s="0"/>
      <c r="O23" s="142"/>
      <c r="P23" s="142"/>
      <c r="Q23" s="142"/>
      <c r="R23" s="142"/>
      <c r="S23" s="0"/>
      <c r="T23" s="0"/>
    </row>
    <row r="24" customFormat="false" ht="15.6" hidden="false" customHeight="false" outlineLevel="0" collapsed="false">
      <c r="A24" s="153" t="s">
        <v>255</v>
      </c>
      <c r="B24" s="25"/>
      <c r="C24" s="131"/>
      <c r="D24" s="0"/>
      <c r="E24" s="0"/>
      <c r="F24" s="0"/>
      <c r="G24" s="0"/>
      <c r="H24" s="0"/>
      <c r="I24" s="0"/>
      <c r="J24" s="0"/>
      <c r="K24" s="0"/>
      <c r="L24" s="0"/>
      <c r="M24" s="0"/>
      <c r="N24" s="0"/>
      <c r="O24" s="142"/>
      <c r="P24" s="142"/>
      <c r="Q24" s="142"/>
      <c r="R24" s="142"/>
      <c r="S24" s="0"/>
      <c r="T24" s="0"/>
    </row>
    <row r="25" customFormat="false" ht="15.6" hidden="false" customHeight="false" outlineLevel="0" collapsed="false">
      <c r="A25" s="87" t="s">
        <v>113</v>
      </c>
      <c r="B25" s="188" t="n">
        <f aca="false">SUM(H35:S35)+C25</f>
        <v>6785.84013175395</v>
      </c>
      <c r="C25" s="190" t="n">
        <f aca="false">D20/D21</f>
        <v>6785.84013175395</v>
      </c>
      <c r="D25" s="0"/>
      <c r="E25" s="0"/>
      <c r="F25" s="0"/>
      <c r="G25" s="0"/>
      <c r="H25" s="0"/>
      <c r="I25" s="0"/>
      <c r="J25" s="0"/>
      <c r="K25" s="0"/>
      <c r="L25" s="0"/>
      <c r="M25" s="0"/>
      <c r="N25" s="0"/>
      <c r="O25" s="142"/>
      <c r="P25" s="142"/>
      <c r="Q25" s="142"/>
      <c r="R25" s="142"/>
      <c r="S25" s="0"/>
      <c r="T25" s="0"/>
    </row>
    <row r="26" customFormat="false" ht="15.6" hidden="false" customHeight="false" outlineLevel="0" collapsed="false">
      <c r="A26" s="87" t="s">
        <v>116</v>
      </c>
      <c r="B26" s="188" t="n">
        <f aca="false">SUM(H36:S36)+C26</f>
        <v>2588000</v>
      </c>
      <c r="C26" s="189" t="n">
        <v>0</v>
      </c>
      <c r="D26" s="0"/>
      <c r="E26" s="0"/>
      <c r="F26" s="0"/>
      <c r="G26" s="191" t="s">
        <v>256</v>
      </c>
      <c r="H26" s="0"/>
      <c r="I26" s="0"/>
      <c r="J26" s="0"/>
      <c r="K26" s="0"/>
      <c r="L26" s="0"/>
      <c r="M26" s="0"/>
      <c r="N26" s="0"/>
      <c r="O26" s="142"/>
      <c r="P26" s="142"/>
      <c r="Q26" s="142"/>
      <c r="R26" s="142"/>
      <c r="S26" s="0"/>
      <c r="T26" s="0"/>
    </row>
    <row r="27" customFormat="false" ht="15.6" hidden="false" customHeight="false" outlineLevel="0" collapsed="false">
      <c r="A27" s="87" t="s">
        <v>118</v>
      </c>
      <c r="B27" s="188" t="n">
        <f aca="false">SUM(H37:S37)+C27</f>
        <v>2588000</v>
      </c>
      <c r="C27" s="189" t="n">
        <v>0</v>
      </c>
      <c r="D27" s="0"/>
      <c r="E27" s="0"/>
      <c r="F27" s="0"/>
      <c r="G27" s="134" t="s">
        <v>257</v>
      </c>
      <c r="H27" s="0"/>
      <c r="I27" s="0"/>
      <c r="J27" s="0"/>
      <c r="K27" s="0"/>
      <c r="L27" s="0"/>
      <c r="M27" s="0"/>
      <c r="N27" s="0"/>
      <c r="O27" s="142"/>
      <c r="P27" s="142"/>
      <c r="Q27" s="142"/>
      <c r="R27" s="142"/>
      <c r="S27" s="0"/>
      <c r="T27" s="0"/>
    </row>
    <row r="28" customFormat="false" ht="15.6" hidden="false" customHeight="false" outlineLevel="0" collapsed="false">
      <c r="A28" s="153" t="s">
        <v>258</v>
      </c>
      <c r="B28" s="25"/>
      <c r="C28" s="192"/>
      <c r="D28" s="87"/>
      <c r="E28" s="87"/>
      <c r="F28" s="87"/>
      <c r="G28" s="194" t="s">
        <v>259</v>
      </c>
      <c r="H28" s="195" t="n">
        <v>4</v>
      </c>
      <c r="I28" s="0"/>
      <c r="J28" s="0"/>
      <c r="K28" s="0"/>
      <c r="L28" s="0"/>
      <c r="M28" s="0"/>
      <c r="N28" s="0"/>
      <c r="O28" s="142"/>
      <c r="P28" s="142"/>
      <c r="Q28" s="142"/>
      <c r="R28" s="142"/>
      <c r="S28" s="0"/>
      <c r="T28" s="0"/>
    </row>
    <row r="29" customFormat="false" ht="15.6" hidden="false" customHeight="false" outlineLevel="0" collapsed="false">
      <c r="A29" s="87" t="s">
        <v>120</v>
      </c>
      <c r="B29" s="188" t="n">
        <f aca="false">SUM(H39:S39)+SUM(H43:S43)+C29</f>
        <v>6874375000</v>
      </c>
      <c r="C29" s="189" t="n">
        <v>0</v>
      </c>
      <c r="D29" s="87"/>
      <c r="E29" s="87"/>
      <c r="F29" s="87"/>
      <c r="G29" s="0"/>
      <c r="H29" s="76" t="s">
        <v>260</v>
      </c>
      <c r="I29" s="76"/>
      <c r="J29" s="76"/>
      <c r="K29" s="76"/>
      <c r="L29" s="76"/>
      <c r="M29" s="76"/>
      <c r="N29" s="76"/>
      <c r="O29" s="76"/>
      <c r="P29" s="76"/>
      <c r="Q29" s="76"/>
      <c r="R29" s="76"/>
      <c r="S29" s="76"/>
      <c r="T29" s="0"/>
    </row>
    <row r="30" customFormat="false" ht="15.6" hidden="false" customHeight="false" outlineLevel="0" collapsed="false">
      <c r="A30" s="87" t="s">
        <v>123</v>
      </c>
      <c r="B30" s="188" t="n">
        <f aca="false">SUM(H40:S40)+SUM(H44:S44)+C30</f>
        <v>6604791666.66667</v>
      </c>
      <c r="C30" s="189" t="n">
        <v>0</v>
      </c>
      <c r="D30" s="87"/>
      <c r="E30" s="87"/>
      <c r="F30" s="87"/>
      <c r="G30" s="134" t="s">
        <v>261</v>
      </c>
      <c r="H30" s="85" t="n">
        <v>1</v>
      </c>
      <c r="I30" s="85" t="n">
        <f aca="false">H30+1</f>
        <v>2</v>
      </c>
      <c r="J30" s="85" t="n">
        <f aca="false">I30+1</f>
        <v>3</v>
      </c>
      <c r="K30" s="85" t="n">
        <f aca="false">J30+1</f>
        <v>4</v>
      </c>
      <c r="L30" s="85" t="n">
        <f aca="false">K30+1</f>
        <v>5</v>
      </c>
      <c r="M30" s="85" t="n">
        <f aca="false">L30+1</f>
        <v>6</v>
      </c>
      <c r="N30" s="85" t="n">
        <f aca="false">M30+1</f>
        <v>7</v>
      </c>
      <c r="O30" s="85" t="n">
        <f aca="false">N30+1</f>
        <v>8</v>
      </c>
      <c r="P30" s="85" t="n">
        <f aca="false">O30+1</f>
        <v>9</v>
      </c>
      <c r="Q30" s="85" t="n">
        <f aca="false">P30+1</f>
        <v>10</v>
      </c>
      <c r="R30" s="85" t="n">
        <f aca="false">Q30+1</f>
        <v>11</v>
      </c>
      <c r="S30" s="85" t="n">
        <f aca="false">R30+1</f>
        <v>12</v>
      </c>
      <c r="T30" s="0"/>
    </row>
    <row r="31" customFormat="false" ht="15.6" hidden="false" customHeight="false" outlineLevel="0" collapsed="false">
      <c r="A31" s="87" t="s">
        <v>125</v>
      </c>
      <c r="B31" s="188" t="n">
        <f aca="false">SUM(H41:S41)+SUM(H45:S45)+C31</f>
        <v>6604791666.66667</v>
      </c>
      <c r="C31" s="189" t="n">
        <v>0</v>
      </c>
      <c r="D31" s="87"/>
      <c r="E31" s="87"/>
      <c r="F31" s="87"/>
      <c r="G31" s="153" t="s">
        <v>262</v>
      </c>
      <c r="H31" s="195" t="n">
        <v>50</v>
      </c>
      <c r="I31" s="195" t="n">
        <v>-50</v>
      </c>
      <c r="J31" s="195" t="n">
        <v>-50</v>
      </c>
      <c r="K31" s="195" t="n">
        <v>50</v>
      </c>
      <c r="L31" s="195" t="n">
        <v>0</v>
      </c>
      <c r="M31" s="195" t="n">
        <v>0</v>
      </c>
      <c r="N31" s="195" t="n">
        <v>0</v>
      </c>
      <c r="O31" s="195" t="n">
        <v>0</v>
      </c>
      <c r="P31" s="195" t="n">
        <v>0</v>
      </c>
      <c r="Q31" s="195" t="n">
        <v>0</v>
      </c>
      <c r="R31" s="195" t="n">
        <v>0</v>
      </c>
      <c r="S31" s="195" t="n">
        <v>0</v>
      </c>
      <c r="T31" s="0"/>
    </row>
    <row r="32" customFormat="false" ht="15.6" hidden="false" customHeight="true" outlineLevel="0" collapsed="false">
      <c r="A32" s="207" t="s">
        <v>264</v>
      </c>
      <c r="B32" s="207"/>
      <c r="C32" s="207"/>
      <c r="D32" s="87"/>
      <c r="E32" s="87"/>
      <c r="F32" s="87"/>
      <c r="G32" s="153" t="s">
        <v>265</v>
      </c>
      <c r="H32" s="195" t="n">
        <v>0</v>
      </c>
      <c r="I32" s="195" t="n">
        <v>0</v>
      </c>
      <c r="J32" s="195" t="n">
        <v>0</v>
      </c>
      <c r="K32" s="195" t="n">
        <v>0</v>
      </c>
      <c r="L32" s="195" t="n">
        <v>0</v>
      </c>
      <c r="M32" s="195" t="n">
        <v>0</v>
      </c>
      <c r="N32" s="195" t="n">
        <v>0</v>
      </c>
      <c r="O32" s="195" t="n">
        <v>0</v>
      </c>
      <c r="P32" s="195" t="n">
        <v>0</v>
      </c>
      <c r="Q32" s="195" t="n">
        <v>0</v>
      </c>
      <c r="R32" s="195" t="n">
        <v>0</v>
      </c>
      <c r="S32" s="195" t="n">
        <v>0</v>
      </c>
      <c r="T32" s="0"/>
    </row>
    <row r="33" customFormat="false" ht="15.6" hidden="false" customHeight="false" outlineLevel="0" collapsed="false">
      <c r="A33" s="207"/>
      <c r="B33" s="207"/>
      <c r="C33" s="207"/>
      <c r="D33" s="87"/>
      <c r="E33" s="87"/>
      <c r="F33" s="87"/>
      <c r="G33" s="153" t="s">
        <v>267</v>
      </c>
      <c r="H33" s="195" t="n">
        <v>50</v>
      </c>
      <c r="I33" s="195" t="n">
        <v>50</v>
      </c>
      <c r="J33" s="195" t="n">
        <v>-50</v>
      </c>
      <c r="K33" s="195" t="n">
        <v>-50</v>
      </c>
      <c r="L33" s="195" t="n">
        <v>0</v>
      </c>
      <c r="M33" s="195" t="n">
        <v>0</v>
      </c>
      <c r="N33" s="195" t="n">
        <v>0</v>
      </c>
      <c r="O33" s="195" t="n">
        <v>0</v>
      </c>
      <c r="P33" s="195" t="n">
        <v>0</v>
      </c>
      <c r="Q33" s="195" t="n">
        <v>0</v>
      </c>
      <c r="R33" s="195" t="n">
        <v>0</v>
      </c>
      <c r="S33" s="195" t="n">
        <v>0</v>
      </c>
      <c r="T33" s="0"/>
    </row>
    <row r="34" customFormat="false" ht="15.6" hidden="false" customHeight="false" outlineLevel="0" collapsed="false">
      <c r="A34" s="207"/>
      <c r="B34" s="207"/>
      <c r="C34" s="207"/>
      <c r="D34" s="0"/>
      <c r="E34" s="0"/>
      <c r="F34" s="0"/>
      <c r="G34" s="134" t="s">
        <v>270</v>
      </c>
      <c r="H34" s="238"/>
      <c r="I34" s="238"/>
      <c r="J34" s="238"/>
      <c r="K34" s="238"/>
      <c r="L34" s="0"/>
      <c r="M34" s="0"/>
      <c r="N34" s="0"/>
      <c r="O34" s="0"/>
      <c r="P34" s="0"/>
      <c r="Q34" s="0"/>
      <c r="R34" s="0"/>
      <c r="S34" s="0"/>
      <c r="T34" s="0"/>
    </row>
    <row r="35" customFormat="false" ht="15.6" hidden="false" customHeight="false" outlineLevel="0" collapsed="false">
      <c r="A35" s="201" t="s">
        <v>271</v>
      </c>
      <c r="B35" s="195"/>
      <c r="C35" s="195"/>
      <c r="D35" s="87"/>
      <c r="E35" s="87"/>
      <c r="F35" s="87"/>
      <c r="G35" s="153" t="s">
        <v>113</v>
      </c>
      <c r="H35" s="202" t="n">
        <v>0</v>
      </c>
      <c r="I35" s="202" t="n">
        <v>0</v>
      </c>
      <c r="J35" s="202" t="n">
        <v>0</v>
      </c>
      <c r="K35" s="202" t="n">
        <v>0</v>
      </c>
      <c r="L35" s="195" t="n">
        <v>0</v>
      </c>
      <c r="M35" s="195" t="n">
        <v>0</v>
      </c>
      <c r="N35" s="195" t="n">
        <v>0</v>
      </c>
      <c r="O35" s="195" t="n">
        <v>0</v>
      </c>
      <c r="P35" s="195" t="n">
        <v>0</v>
      </c>
      <c r="Q35" s="195" t="n">
        <v>0</v>
      </c>
      <c r="R35" s="195" t="n">
        <v>0</v>
      </c>
      <c r="S35" s="195" t="n">
        <v>0</v>
      </c>
      <c r="T35" s="0"/>
    </row>
    <row r="36" customFormat="false" ht="15.6" hidden="false" customHeight="false" outlineLevel="0" collapsed="false">
      <c r="A36" s="77" t="s">
        <v>28</v>
      </c>
      <c r="B36" s="0"/>
      <c r="C36" s="0"/>
      <c r="D36" s="87"/>
      <c r="E36" s="87"/>
      <c r="F36" s="87"/>
      <c r="G36" s="153" t="s">
        <v>116</v>
      </c>
      <c r="H36" s="202" t="n">
        <f aca="false">'ref bearings, servo, structure'!B5</f>
        <v>647000</v>
      </c>
      <c r="I36" s="202" t="n">
        <f aca="false">H36</f>
        <v>647000</v>
      </c>
      <c r="J36" s="202" t="n">
        <f aca="false">I36</f>
        <v>647000</v>
      </c>
      <c r="K36" s="202" t="n">
        <f aca="false">J36</f>
        <v>647000</v>
      </c>
      <c r="L36" s="195" t="n">
        <v>0</v>
      </c>
      <c r="M36" s="195" t="n">
        <v>0</v>
      </c>
      <c r="N36" s="195" t="n">
        <v>0</v>
      </c>
      <c r="O36" s="195" t="n">
        <v>0</v>
      </c>
      <c r="P36" s="195" t="n">
        <v>0</v>
      </c>
      <c r="Q36" s="195" t="n">
        <v>0</v>
      </c>
      <c r="R36" s="195" t="n">
        <v>0</v>
      </c>
      <c r="S36" s="195" t="n">
        <v>0</v>
      </c>
      <c r="T36" s="0"/>
    </row>
    <row r="37" customFormat="false" ht="15.6" hidden="false" customHeight="false" outlineLevel="0" collapsed="false">
      <c r="A37" s="153" t="s">
        <v>273</v>
      </c>
      <c r="B37" s="195" t="n">
        <v>0</v>
      </c>
      <c r="C37" s="0"/>
      <c r="D37" s="87"/>
      <c r="E37" s="87"/>
      <c r="F37" s="87"/>
      <c r="G37" s="153" t="s">
        <v>118</v>
      </c>
      <c r="H37" s="202" t="n">
        <f aca="false">H36</f>
        <v>647000</v>
      </c>
      <c r="I37" s="202" t="n">
        <f aca="false">I36</f>
        <v>647000</v>
      </c>
      <c r="J37" s="202" t="n">
        <f aca="false">J36</f>
        <v>647000</v>
      </c>
      <c r="K37" s="202" t="n">
        <f aca="false">K36</f>
        <v>647000</v>
      </c>
      <c r="L37" s="195" t="n">
        <v>0</v>
      </c>
      <c r="M37" s="195" t="n">
        <v>0</v>
      </c>
      <c r="N37" s="195" t="n">
        <v>0</v>
      </c>
      <c r="O37" s="195" t="n">
        <v>0</v>
      </c>
      <c r="P37" s="195" t="n">
        <v>0</v>
      </c>
      <c r="Q37" s="195" t="n">
        <v>0</v>
      </c>
      <c r="R37" s="195" t="n">
        <v>0</v>
      </c>
      <c r="S37" s="195" t="n">
        <v>0</v>
      </c>
      <c r="T37" s="0"/>
    </row>
    <row r="38" customFormat="false" ht="15.6" hidden="false" customHeight="false" outlineLevel="0" collapsed="false">
      <c r="A38" s="153" t="s">
        <v>274</v>
      </c>
      <c r="B38" s="195" t="n">
        <v>0</v>
      </c>
      <c r="C38" s="0"/>
      <c r="D38" s="87"/>
      <c r="E38" s="87"/>
      <c r="F38" s="87"/>
      <c r="G38" s="134" t="s">
        <v>275</v>
      </c>
      <c r="H38" s="238"/>
      <c r="I38" s="238"/>
      <c r="J38" s="238"/>
      <c r="K38" s="238"/>
      <c r="L38" s="0"/>
      <c r="M38" s="0"/>
      <c r="N38" s="0"/>
      <c r="O38" s="0"/>
      <c r="P38" s="0"/>
      <c r="Q38" s="0"/>
      <c r="R38" s="0"/>
      <c r="S38" s="0"/>
      <c r="T38" s="0"/>
    </row>
    <row r="39" customFormat="false" ht="15.6" hidden="false" customHeight="false" outlineLevel="0" collapsed="false">
      <c r="A39" s="153" t="s">
        <v>276</v>
      </c>
      <c r="B39" s="195" t="n">
        <v>0</v>
      </c>
      <c r="C39" s="0"/>
      <c r="D39" s="87"/>
      <c r="E39" s="87"/>
      <c r="F39" s="87"/>
      <c r="G39" s="153" t="s">
        <v>120</v>
      </c>
      <c r="H39" s="202" t="n">
        <f aca="false">'ref bearings, servo, structure'!B10</f>
        <v>101093750</v>
      </c>
      <c r="I39" s="202" t="n">
        <f aca="false">H39</f>
        <v>101093750</v>
      </c>
      <c r="J39" s="202" t="n">
        <f aca="false">I39</f>
        <v>101093750</v>
      </c>
      <c r="K39" s="202" t="n">
        <f aca="false">J39</f>
        <v>101093750</v>
      </c>
      <c r="L39" s="195" t="n">
        <v>0</v>
      </c>
      <c r="M39" s="195" t="n">
        <v>0</v>
      </c>
      <c r="N39" s="195" t="n">
        <v>0</v>
      </c>
      <c r="O39" s="195" t="n">
        <v>0</v>
      </c>
      <c r="P39" s="195" t="n">
        <v>0</v>
      </c>
      <c r="Q39" s="195" t="n">
        <v>0</v>
      </c>
      <c r="R39" s="195" t="n">
        <v>0</v>
      </c>
      <c r="S39" s="195" t="n">
        <v>0</v>
      </c>
      <c r="T39" s="0"/>
    </row>
    <row r="40" customFormat="false" ht="15.6" hidden="false" customHeight="false" outlineLevel="0" collapsed="false">
      <c r="A40" s="165" t="s">
        <v>29</v>
      </c>
      <c r="B40" s="0"/>
      <c r="C40" s="0"/>
      <c r="D40" s="87"/>
      <c r="E40" s="87"/>
      <c r="F40" s="87"/>
      <c r="G40" s="153" t="s">
        <v>123</v>
      </c>
      <c r="H40" s="202" t="n">
        <f aca="false">'ref bearings, servo, structure'!B12</f>
        <v>33697916.6666667</v>
      </c>
      <c r="I40" s="202" t="n">
        <f aca="false">H40</f>
        <v>33697916.6666667</v>
      </c>
      <c r="J40" s="202" t="n">
        <f aca="false">I40</f>
        <v>33697916.6666667</v>
      </c>
      <c r="K40" s="202" t="n">
        <f aca="false">J40</f>
        <v>33697916.6666667</v>
      </c>
      <c r="L40" s="195" t="n">
        <v>0</v>
      </c>
      <c r="M40" s="195" t="n">
        <v>0</v>
      </c>
      <c r="N40" s="195" t="n">
        <v>0</v>
      </c>
      <c r="O40" s="195" t="n">
        <v>0</v>
      </c>
      <c r="P40" s="195" t="n">
        <v>0</v>
      </c>
      <c r="Q40" s="195" t="n">
        <v>0</v>
      </c>
      <c r="R40" s="195" t="n">
        <v>0</v>
      </c>
      <c r="S40" s="195" t="n">
        <v>0</v>
      </c>
      <c r="T40" s="0"/>
    </row>
    <row r="41" customFormat="false" ht="15.6" hidden="false" customHeight="false" outlineLevel="0" collapsed="false">
      <c r="A41" s="153" t="s">
        <v>273</v>
      </c>
      <c r="B41" s="195" t="n">
        <v>0</v>
      </c>
      <c r="C41" s="0"/>
      <c r="D41" s="0"/>
      <c r="E41" s="0"/>
      <c r="F41" s="0"/>
      <c r="G41" s="153" t="s">
        <v>125</v>
      </c>
      <c r="H41" s="202" t="n">
        <f aca="false">'ref bearings, servo, structure'!B11</f>
        <v>33697916.6666667</v>
      </c>
      <c r="I41" s="202" t="n">
        <f aca="false">H41</f>
        <v>33697916.6666667</v>
      </c>
      <c r="J41" s="202" t="n">
        <f aca="false">I41</f>
        <v>33697916.6666667</v>
      </c>
      <c r="K41" s="202" t="n">
        <f aca="false">J41</f>
        <v>33697916.6666667</v>
      </c>
      <c r="L41" s="195" t="n">
        <v>0</v>
      </c>
      <c r="M41" s="195" t="n">
        <v>0</v>
      </c>
      <c r="N41" s="195" t="n">
        <v>0</v>
      </c>
      <c r="O41" s="195" t="n">
        <v>0</v>
      </c>
      <c r="P41" s="195" t="n">
        <v>0</v>
      </c>
      <c r="Q41" s="195" t="n">
        <v>0</v>
      </c>
      <c r="R41" s="195" t="n">
        <v>0</v>
      </c>
      <c r="S41" s="195" t="n">
        <v>0</v>
      </c>
      <c r="T41" s="0"/>
    </row>
    <row r="42" customFormat="false" ht="15.6" hidden="false" customHeight="false" outlineLevel="0" collapsed="false">
      <c r="A42" s="153" t="s">
        <v>274</v>
      </c>
      <c r="B42" s="195" t="n">
        <v>0</v>
      </c>
      <c r="C42" s="0"/>
      <c r="D42" s="205"/>
      <c r="E42" s="205"/>
      <c r="F42" s="205"/>
      <c r="G42" s="134" t="s">
        <v>277</v>
      </c>
      <c r="H42" s="0"/>
      <c r="I42" s="0"/>
      <c r="J42" s="0"/>
      <c r="K42" s="0"/>
      <c r="L42" s="0"/>
      <c r="M42" s="0"/>
      <c r="N42" s="0"/>
      <c r="O42" s="0"/>
      <c r="P42" s="0"/>
      <c r="Q42" s="0"/>
      <c r="R42" s="0"/>
      <c r="S42" s="0"/>
      <c r="T42" s="0"/>
    </row>
    <row r="43" customFormat="false" ht="15.6" hidden="false" customHeight="false" outlineLevel="0" collapsed="false">
      <c r="A43" s="153" t="s">
        <v>276</v>
      </c>
      <c r="B43" s="195" t="n">
        <v>0</v>
      </c>
      <c r="C43" s="0"/>
      <c r="D43" s="131"/>
      <c r="E43" s="131"/>
      <c r="F43" s="131"/>
      <c r="G43" s="153" t="s">
        <v>120</v>
      </c>
      <c r="H43" s="188" t="n">
        <f aca="false">H36*H33^2+H37*H32^2</f>
        <v>1617500000</v>
      </c>
      <c r="I43" s="188" t="n">
        <f aca="false">I36*I33^2+I37*I32^2</f>
        <v>1617500000</v>
      </c>
      <c r="J43" s="188" t="n">
        <f aca="false">J36*J33^2+J37*J32^2</f>
        <v>1617500000</v>
      </c>
      <c r="K43" s="188" t="n">
        <f aca="false">K36*K33^2+K37*K32^2</f>
        <v>1617500000</v>
      </c>
      <c r="L43" s="24" t="n">
        <f aca="false">L36*L33^2+L37*L32^2</f>
        <v>0</v>
      </c>
      <c r="M43" s="24" t="n">
        <f aca="false">M36*M33^2+M37*M32^2</f>
        <v>0</v>
      </c>
      <c r="N43" s="24" t="n">
        <f aca="false">N36*N33^2+N37*N32^2</f>
        <v>0</v>
      </c>
      <c r="O43" s="24" t="n">
        <f aca="false">O36*O33^2+O37*O32^2</f>
        <v>0</v>
      </c>
      <c r="P43" s="24" t="n">
        <f aca="false">P36*P33^2+P37*P32^2</f>
        <v>0</v>
      </c>
      <c r="Q43" s="24" t="n">
        <f aca="false">Q36*Q33^2+Q37*Q32^2</f>
        <v>0</v>
      </c>
      <c r="R43" s="24" t="n">
        <f aca="false">R36*R33^2+R37*R32^2</f>
        <v>0</v>
      </c>
      <c r="S43" s="24" t="n">
        <f aca="false">S36*S33^2+S37*S32^2</f>
        <v>0</v>
      </c>
      <c r="T43" s="0"/>
    </row>
    <row r="44" customFormat="false" ht="15.6" hidden="false" customHeight="false" outlineLevel="0" collapsed="false">
      <c r="A44" s="76" t="s">
        <v>278</v>
      </c>
      <c r="B44" s="0"/>
      <c r="C44" s="0"/>
      <c r="D44" s="189"/>
      <c r="E44" s="189"/>
      <c r="F44" s="189"/>
      <c r="G44" s="153" t="s">
        <v>123</v>
      </c>
      <c r="H44" s="188" t="n">
        <f aca="false">H35*H33^2+H37*H31^2</f>
        <v>1617500000</v>
      </c>
      <c r="I44" s="188" t="n">
        <f aca="false">I35*I33^2+I37*I31^2</f>
        <v>1617500000</v>
      </c>
      <c r="J44" s="188" t="n">
        <f aca="false">J35*J33^2+J37*J31^2</f>
        <v>1617500000</v>
      </c>
      <c r="K44" s="188" t="n">
        <f aca="false">K35*K33^2+K37*K31^2</f>
        <v>1617500000</v>
      </c>
      <c r="L44" s="24" t="n">
        <f aca="false">L35*L33^2+L37*L31^2</f>
        <v>0</v>
      </c>
      <c r="M44" s="24" t="n">
        <f aca="false">M35*M33^2+M37*M31^2</f>
        <v>0</v>
      </c>
      <c r="N44" s="24" t="n">
        <f aca="false">N35*N33^2+N37*N31^2</f>
        <v>0</v>
      </c>
      <c r="O44" s="24" t="n">
        <f aca="false">O35*O33^2+O37*O31^2</f>
        <v>0</v>
      </c>
      <c r="P44" s="24" t="n">
        <f aca="false">P35*P33^2+P37*P31^2</f>
        <v>0</v>
      </c>
      <c r="Q44" s="24" t="n">
        <f aca="false">Q35*Q33^2+Q37*Q31^2</f>
        <v>0</v>
      </c>
      <c r="R44" s="24" t="n">
        <f aca="false">R35*R33^2+R37*R31^2</f>
        <v>0</v>
      </c>
      <c r="S44" s="24" t="n">
        <f aca="false">S35*S33^2+S37*S31^2</f>
        <v>0</v>
      </c>
      <c r="T44" s="0"/>
    </row>
    <row r="45" customFormat="false" ht="15.6" hidden="false" customHeight="false" outlineLevel="0" collapsed="false">
      <c r="A45" s="153" t="s">
        <v>279</v>
      </c>
      <c r="B45" s="24" t="n">
        <f aca="false">SQRT((H47^2+I47^2+J47^2+K47^2+L47^2+M47^2+N47^2+O47^2+P47^2+Q47^2+R47^2+S47^2)/H$28)</f>
        <v>0.005</v>
      </c>
      <c r="C45" s="87"/>
      <c r="D45" s="189"/>
      <c r="E45" s="189"/>
      <c r="F45" s="189"/>
      <c r="G45" s="153" t="s">
        <v>125</v>
      </c>
      <c r="H45" s="188" t="n">
        <f aca="false">H35*H32^2+H36*H31^2</f>
        <v>1617500000</v>
      </c>
      <c r="I45" s="188" t="n">
        <f aca="false">I35*I32^2+I36*I31^2</f>
        <v>1617500000</v>
      </c>
      <c r="J45" s="188" t="n">
        <f aca="false">J35*J32^2+J36*J31^2</f>
        <v>1617500000</v>
      </c>
      <c r="K45" s="188" t="n">
        <f aca="false">K35*K32^2+K36*K31^2</f>
        <v>1617500000</v>
      </c>
      <c r="L45" s="24" t="n">
        <f aca="false">L35*L32^2+L36*L31^2</f>
        <v>0</v>
      </c>
      <c r="M45" s="24" t="n">
        <f aca="false">M35*M32^2+M36*M31^2</f>
        <v>0</v>
      </c>
      <c r="N45" s="24" t="n">
        <f aca="false">N35*N32^2+N36*N31^2</f>
        <v>0</v>
      </c>
      <c r="O45" s="24" t="n">
        <f aca="false">O35*O32^2+O36*O31^2</f>
        <v>0</v>
      </c>
      <c r="P45" s="24" t="n">
        <f aca="false">P35*P32^2+P36*P31^2</f>
        <v>0</v>
      </c>
      <c r="Q45" s="24" t="n">
        <f aca="false">Q35*Q32^2+Q36*Q31^2</f>
        <v>0</v>
      </c>
      <c r="R45" s="24" t="n">
        <f aca="false">R35*R32^2+R36*R31^2</f>
        <v>0</v>
      </c>
      <c r="S45" s="24" t="n">
        <f aca="false">S35*S32^2+S36*S31^2</f>
        <v>0</v>
      </c>
      <c r="T45" s="0"/>
    </row>
    <row r="46" customFormat="false" ht="15.6" hidden="false" customHeight="false" outlineLevel="0" collapsed="false">
      <c r="A46" s="153" t="s">
        <v>280</v>
      </c>
      <c r="B46" s="24" t="n">
        <f aca="false">SQRT((H48^2+I48^2+J48^2+K48^2+L48^2+M48^2+N48^2+O48^2+P48^2+Q48^2+R48^2+S48^2)/H$28)</f>
        <v>0.005</v>
      </c>
      <c r="C46" s="87"/>
      <c r="D46" s="189"/>
      <c r="E46" s="189"/>
      <c r="F46" s="189"/>
      <c r="G46" s="134" t="s">
        <v>281</v>
      </c>
      <c r="H46" s="0"/>
      <c r="I46" s="0"/>
      <c r="J46" s="0"/>
      <c r="K46" s="0"/>
      <c r="L46" s="0"/>
      <c r="M46" s="0"/>
      <c r="N46" s="0"/>
      <c r="O46" s="0"/>
      <c r="P46" s="0"/>
      <c r="Q46" s="0"/>
      <c r="R46" s="0"/>
      <c r="S46" s="0"/>
      <c r="T46" s="0"/>
    </row>
    <row r="47" customFormat="false" ht="15.6" hidden="false" customHeight="false" outlineLevel="0" collapsed="false">
      <c r="A47" s="153" t="s">
        <v>282</v>
      </c>
      <c r="B47" s="24" t="n">
        <f aca="false">SQRT((H49^2+I49^2+J49^2+K49^2+L49^2+M49^2+N49^2+O49^2+P49^2+Q49^2+R49^2+S49^2)/H$28)</f>
        <v>0.005</v>
      </c>
      <c r="C47" s="87"/>
      <c r="D47" s="192"/>
      <c r="E47" s="192"/>
      <c r="F47" s="192"/>
      <c r="G47" s="153" t="s">
        <v>279</v>
      </c>
      <c r="H47" s="195" t="n">
        <f aca="false">0.005</f>
        <v>0.005</v>
      </c>
      <c r="I47" s="195" t="n">
        <f aca="false">0.005</f>
        <v>0.005</v>
      </c>
      <c r="J47" s="195" t="n">
        <f aca="false">0.005</f>
        <v>0.005</v>
      </c>
      <c r="K47" s="195" t="n">
        <f aca="false">0.005</f>
        <v>0.005</v>
      </c>
      <c r="L47" s="195" t="n">
        <v>0</v>
      </c>
      <c r="M47" s="195" t="n">
        <v>0</v>
      </c>
      <c r="N47" s="195" t="n">
        <v>0</v>
      </c>
      <c r="O47" s="195" t="n">
        <v>0</v>
      </c>
      <c r="P47" s="195" t="n">
        <v>0</v>
      </c>
      <c r="Q47" s="195" t="n">
        <v>0</v>
      </c>
      <c r="R47" s="195" t="n">
        <v>0</v>
      </c>
      <c r="S47" s="195" t="n">
        <v>0</v>
      </c>
      <c r="T47" s="0"/>
    </row>
    <row r="48" customFormat="false" ht="15.6" hidden="false" customHeight="false" outlineLevel="0" collapsed="false">
      <c r="A48" s="153" t="s">
        <v>97</v>
      </c>
      <c r="B48" s="24" t="n">
        <f aca="false">SQRT((H51^2+I51^2+J51^2+K51^2+L51^2+M51^2+N51^2+O51^2+P51^2+Q51^2+R51^2+S51^2+B37^2)/H$28)</f>
        <v>0.0001</v>
      </c>
      <c r="C48" s="87"/>
      <c r="D48" s="189"/>
      <c r="E48" s="189"/>
      <c r="F48" s="189"/>
      <c r="G48" s="153" t="s">
        <v>280</v>
      </c>
      <c r="H48" s="195" t="n">
        <f aca="false">0.005</f>
        <v>0.005</v>
      </c>
      <c r="I48" s="195" t="n">
        <f aca="false">0.005</f>
        <v>0.005</v>
      </c>
      <c r="J48" s="195" t="n">
        <f aca="false">0.005</f>
        <v>0.005</v>
      </c>
      <c r="K48" s="195" t="n">
        <f aca="false">0.005</f>
        <v>0.005</v>
      </c>
      <c r="L48" s="195" t="n">
        <v>0</v>
      </c>
      <c r="M48" s="195" t="n">
        <v>0</v>
      </c>
      <c r="N48" s="195" t="n">
        <v>0</v>
      </c>
      <c r="O48" s="195" t="n">
        <v>0</v>
      </c>
      <c r="P48" s="195" t="n">
        <v>0</v>
      </c>
      <c r="Q48" s="195" t="n">
        <v>0</v>
      </c>
      <c r="R48" s="195" t="n">
        <v>0</v>
      </c>
      <c r="S48" s="195" t="n">
        <v>0</v>
      </c>
      <c r="T48" s="0"/>
    </row>
    <row r="49" customFormat="false" ht="15.6" hidden="false" customHeight="false" outlineLevel="0" collapsed="false">
      <c r="A49" s="153" t="s">
        <v>100</v>
      </c>
      <c r="B49" s="24" t="n">
        <f aca="false">SQRT((H52^2+I52^2+J52^2+K52^2+L52^2+M52^2+N52^2+O52^2+P52^2+Q52^2+R52^2+S52^2+B38^2)/H$28)</f>
        <v>9.99999990000001E-005</v>
      </c>
      <c r="C49" s="87"/>
      <c r="D49" s="189"/>
      <c r="E49" s="189"/>
      <c r="F49" s="189"/>
      <c r="G49" s="153" t="s">
        <v>282</v>
      </c>
      <c r="H49" s="195" t="n">
        <f aca="false">0.005</f>
        <v>0.005</v>
      </c>
      <c r="I49" s="195" t="n">
        <f aca="false">0.005</f>
        <v>0.005</v>
      </c>
      <c r="J49" s="195" t="n">
        <f aca="false">0.005</f>
        <v>0.005</v>
      </c>
      <c r="K49" s="195" t="n">
        <f aca="false">0.005</f>
        <v>0.005</v>
      </c>
      <c r="L49" s="195" t="n">
        <v>0</v>
      </c>
      <c r="M49" s="195" t="n">
        <v>0</v>
      </c>
      <c r="N49" s="195" t="n">
        <v>0</v>
      </c>
      <c r="O49" s="195" t="n">
        <v>0</v>
      </c>
      <c r="P49" s="195" t="n">
        <v>0</v>
      </c>
      <c r="Q49" s="195" t="n">
        <v>0</v>
      </c>
      <c r="R49" s="195" t="n">
        <v>0</v>
      </c>
      <c r="S49" s="195" t="n">
        <v>0</v>
      </c>
      <c r="T49" s="0"/>
    </row>
    <row r="50" customFormat="false" ht="15.6" hidden="false" customHeight="false" outlineLevel="0" collapsed="false">
      <c r="A50" s="153" t="s">
        <v>104</v>
      </c>
      <c r="B50" s="24" t="n">
        <f aca="false">SQRT((H53^2+I53^2+J53^2+K53^2+L53^2+M53^2+N53^2+O53^2+P53^2+Q53^2+R53^2+S53^2+B39^2)/H$28)</f>
        <v>0.0001</v>
      </c>
      <c r="C50" s="87"/>
      <c r="D50" s="189"/>
      <c r="E50" s="189"/>
      <c r="F50" s="189"/>
      <c r="G50" s="134" t="s">
        <v>283</v>
      </c>
      <c r="H50" s="0"/>
      <c r="I50" s="0"/>
      <c r="J50" s="0"/>
      <c r="K50" s="0"/>
      <c r="L50" s="0"/>
      <c r="M50" s="0"/>
      <c r="N50" s="0"/>
      <c r="O50" s="0"/>
      <c r="P50" s="0"/>
      <c r="Q50" s="0"/>
      <c r="R50" s="0"/>
      <c r="S50" s="0"/>
      <c r="T50" s="0"/>
    </row>
    <row r="51" customFormat="false" ht="46.8" hidden="false" customHeight="false" outlineLevel="0" collapsed="false">
      <c r="A51" s="206" t="s">
        <v>284</v>
      </c>
      <c r="B51" s="25"/>
      <c r="C51" s="0"/>
      <c r="D51" s="207"/>
      <c r="E51" s="207"/>
      <c r="F51" s="207"/>
      <c r="G51" s="153" t="s">
        <v>97</v>
      </c>
      <c r="H51" s="188" t="n">
        <f aca="false">H98</f>
        <v>9.99999980000001E-005</v>
      </c>
      <c r="I51" s="188" t="n">
        <f aca="false">I98</f>
        <v>9.99999980000001E-005</v>
      </c>
      <c r="J51" s="188" t="n">
        <f aca="false">J98</f>
        <v>0.000100000002</v>
      </c>
      <c r="K51" s="188" t="n">
        <f aca="false">K98</f>
        <v>0.000100000002</v>
      </c>
      <c r="L51" s="188" t="n">
        <f aca="false">L98</f>
        <v>0</v>
      </c>
      <c r="M51" s="188" t="n">
        <f aca="false">M98</f>
        <v>0</v>
      </c>
      <c r="N51" s="188" t="n">
        <f aca="false">N98</f>
        <v>0</v>
      </c>
      <c r="O51" s="188" t="n">
        <f aca="false">O98</f>
        <v>0</v>
      </c>
      <c r="P51" s="188" t="n">
        <f aca="false">P98</f>
        <v>0</v>
      </c>
      <c r="Q51" s="188" t="n">
        <f aca="false">Q98</f>
        <v>0</v>
      </c>
      <c r="R51" s="188" t="n">
        <f aca="false">R98</f>
        <v>0</v>
      </c>
      <c r="S51" s="188" t="n">
        <f aca="false">S98</f>
        <v>0</v>
      </c>
      <c r="T51" s="0"/>
    </row>
    <row r="52" customFormat="false" ht="15.6" hidden="false" customHeight="false" outlineLevel="0" collapsed="false">
      <c r="A52" s="153" t="s">
        <v>279</v>
      </c>
      <c r="B52" s="24" t="n">
        <f aca="false">SQRT((H55^2+I55^2+J55^2+K55^2+L55^2+M55^2+N55^2+O55^2+P55^2+Q55^2+R55^2+S55^2)/H$28)</f>
        <v>0</v>
      </c>
      <c r="C52" s="87"/>
      <c r="D52" s="207"/>
      <c r="E52" s="207"/>
      <c r="F52" s="207"/>
      <c r="G52" s="153" t="s">
        <v>100</v>
      </c>
      <c r="H52" s="188" t="n">
        <f aca="false">H102</f>
        <v>9.99999980000001E-005</v>
      </c>
      <c r="I52" s="188" t="n">
        <f aca="false">I102</f>
        <v>9.99999980000001E-005</v>
      </c>
      <c r="J52" s="188" t="n">
        <f aca="false">J102</f>
        <v>0.000100000002</v>
      </c>
      <c r="K52" s="188" t="n">
        <f aca="false">K102</f>
        <v>9.99999980000001E-005</v>
      </c>
      <c r="L52" s="188" t="n">
        <f aca="false">L102</f>
        <v>0</v>
      </c>
      <c r="M52" s="188" t="n">
        <f aca="false">M102</f>
        <v>0</v>
      </c>
      <c r="N52" s="188" t="n">
        <f aca="false">N102</f>
        <v>0</v>
      </c>
      <c r="O52" s="188" t="n">
        <f aca="false">O102</f>
        <v>0</v>
      </c>
      <c r="P52" s="188" t="n">
        <f aca="false">P102</f>
        <v>0</v>
      </c>
      <c r="Q52" s="188" t="n">
        <f aca="false">Q102</f>
        <v>0</v>
      </c>
      <c r="R52" s="188" t="n">
        <f aca="false">R102</f>
        <v>0</v>
      </c>
      <c r="S52" s="188" t="n">
        <f aca="false">S102</f>
        <v>0</v>
      </c>
      <c r="T52" s="208"/>
    </row>
    <row r="53" customFormat="false" ht="15.6" hidden="false" customHeight="false" outlineLevel="0" collapsed="false">
      <c r="A53" s="153" t="s">
        <v>280</v>
      </c>
      <c r="B53" s="24" t="n">
        <f aca="false">SQRT((H56^2+I56^2+J56^2+K56^2+L56^2+M56^2+N56^2+O56^2+P56^2+Q56^2+R56^2+S56^2)/H$28)</f>
        <v>0</v>
      </c>
      <c r="C53" s="87"/>
      <c r="D53" s="207"/>
      <c r="E53" s="207"/>
      <c r="F53" s="207"/>
      <c r="G53" s="153" t="s">
        <v>104</v>
      </c>
      <c r="H53" s="188" t="n">
        <f aca="false">H106</f>
        <v>9.99999980000001E-005</v>
      </c>
      <c r="I53" s="188" t="n">
        <f aca="false">I106</f>
        <v>0.000100000002</v>
      </c>
      <c r="J53" s="188" t="n">
        <f aca="false">J106</f>
        <v>0.000100000002</v>
      </c>
      <c r="K53" s="188" t="n">
        <f aca="false">K106</f>
        <v>9.99999980000001E-005</v>
      </c>
      <c r="L53" s="188" t="n">
        <f aca="false">L106</f>
        <v>0</v>
      </c>
      <c r="M53" s="188" t="n">
        <f aca="false">M106</f>
        <v>0</v>
      </c>
      <c r="N53" s="188" t="n">
        <f aca="false">N106</f>
        <v>0</v>
      </c>
      <c r="O53" s="188" t="n">
        <f aca="false">O106</f>
        <v>0</v>
      </c>
      <c r="P53" s="188" t="n">
        <f aca="false">P106</f>
        <v>0</v>
      </c>
      <c r="Q53" s="188" t="n">
        <f aca="false">Q106</f>
        <v>0</v>
      </c>
      <c r="R53" s="188" t="n">
        <f aca="false">R106</f>
        <v>0</v>
      </c>
      <c r="S53" s="188" t="n">
        <f aca="false">S106</f>
        <v>0</v>
      </c>
    </row>
    <row r="54" customFormat="false" ht="15.6" hidden="false" customHeight="false" outlineLevel="0" collapsed="false">
      <c r="A54" s="153" t="s">
        <v>282</v>
      </c>
      <c r="B54" s="24" t="n">
        <f aca="false">SQRT((H57^2+I57^2+J57^2+K57^2+L57^2+M57^2+N57^2+O57^2+P57^2+Q57^2+R57^2+S57^2)/H$28)</f>
        <v>0</v>
      </c>
      <c r="C54" s="87"/>
      <c r="D54" s="195"/>
      <c r="E54" s="195"/>
      <c r="F54" s="195"/>
      <c r="G54" s="134" t="s">
        <v>285</v>
      </c>
      <c r="H54" s="0"/>
      <c r="I54" s="0"/>
      <c r="J54" s="0"/>
      <c r="K54" s="0"/>
      <c r="L54" s="0"/>
      <c r="M54" s="0"/>
      <c r="N54" s="0"/>
      <c r="O54" s="0"/>
      <c r="P54" s="0"/>
      <c r="Q54" s="0"/>
      <c r="R54" s="0"/>
      <c r="S54" s="0"/>
    </row>
    <row r="55" customFormat="false" ht="15.6" hidden="false" customHeight="false" outlineLevel="0" collapsed="false">
      <c r="A55" s="153" t="s">
        <v>97</v>
      </c>
      <c r="B55" s="24" t="n">
        <f aca="false">SQRT((H59^2+I59^2+J59^2+K59^2+L59^2+M59^2+N59^2+O59^2+P59^2+Q59^2+R59^2+S59^2+B41^2)/H$28)</f>
        <v>0</v>
      </c>
      <c r="C55" s="87"/>
      <c r="G55" s="153" t="s">
        <v>279</v>
      </c>
      <c r="H55" s="195" t="n">
        <v>0</v>
      </c>
      <c r="I55" s="195" t="n">
        <v>0</v>
      </c>
      <c r="J55" s="195" t="n">
        <v>0</v>
      </c>
      <c r="K55" s="195" t="n">
        <v>0</v>
      </c>
      <c r="L55" s="195" t="n">
        <v>0</v>
      </c>
      <c r="M55" s="195" t="n">
        <v>0</v>
      </c>
      <c r="N55" s="195" t="n">
        <v>0</v>
      </c>
      <c r="O55" s="195" t="n">
        <v>0</v>
      </c>
      <c r="P55" s="195" t="n">
        <v>0</v>
      </c>
      <c r="Q55" s="195" t="n">
        <v>0</v>
      </c>
      <c r="R55" s="195" t="n">
        <v>0</v>
      </c>
      <c r="S55" s="195" t="n">
        <v>0</v>
      </c>
    </row>
    <row r="56" customFormat="false" ht="15.6" hidden="false" customHeight="false" outlineLevel="0" collapsed="false">
      <c r="A56" s="153" t="s">
        <v>100</v>
      </c>
      <c r="B56" s="24" t="n">
        <f aca="false">SQRT((H60^2+I60^2+J60^2+K60^2+L60^2+M60^2+N60^2+O60^2+P60^2+Q60^2+R60^2+S60^2+B42^2)/H$28)</f>
        <v>0</v>
      </c>
      <c r="C56" s="87"/>
      <c r="G56" s="153" t="s">
        <v>280</v>
      </c>
      <c r="H56" s="195" t="n">
        <v>0</v>
      </c>
      <c r="I56" s="195" t="n">
        <v>0</v>
      </c>
      <c r="J56" s="195" t="n">
        <v>0</v>
      </c>
      <c r="K56" s="195" t="n">
        <v>0</v>
      </c>
      <c r="L56" s="195" t="n">
        <v>0</v>
      </c>
      <c r="M56" s="195" t="n">
        <v>0</v>
      </c>
      <c r="N56" s="195" t="n">
        <v>0</v>
      </c>
      <c r="O56" s="195" t="n">
        <v>0</v>
      </c>
      <c r="P56" s="195" t="n">
        <v>0</v>
      </c>
      <c r="Q56" s="195" t="n">
        <v>0</v>
      </c>
      <c r="R56" s="195" t="n">
        <v>0</v>
      </c>
      <c r="S56" s="195" t="n">
        <v>0</v>
      </c>
    </row>
    <row r="57" customFormat="false" ht="15.6" hidden="false" customHeight="false" outlineLevel="0" collapsed="false">
      <c r="A57" s="153" t="s">
        <v>104</v>
      </c>
      <c r="B57" s="24" t="n">
        <f aca="false">SQRT((H61^2+I61^2+J61^2+K61^2+L61^2+M61^2+N61^2+O61^2+P61^2+Q61^2+R61^2+S61^2+B43^2)/H$28)</f>
        <v>0</v>
      </c>
      <c r="C57" s="87"/>
      <c r="G57" s="153" t="s">
        <v>282</v>
      </c>
      <c r="H57" s="195" t="n">
        <v>0</v>
      </c>
      <c r="I57" s="195" t="n">
        <v>0</v>
      </c>
      <c r="J57" s="195" t="n">
        <v>0</v>
      </c>
      <c r="K57" s="195" t="n">
        <v>0</v>
      </c>
      <c r="L57" s="195" t="n">
        <v>0</v>
      </c>
      <c r="M57" s="195" t="n">
        <v>0</v>
      </c>
      <c r="N57" s="195" t="n">
        <v>0</v>
      </c>
      <c r="O57" s="195" t="n">
        <v>0</v>
      </c>
      <c r="P57" s="195" t="n">
        <v>0</v>
      </c>
      <c r="Q57" s="195" t="n">
        <v>0</v>
      </c>
      <c r="R57" s="195" t="n">
        <v>0</v>
      </c>
      <c r="S57" s="195" t="n">
        <v>0</v>
      </c>
    </row>
    <row r="58" customFormat="false" ht="15.6" hidden="false" customHeight="false" outlineLevel="0" collapsed="false">
      <c r="A58" s="0"/>
      <c r="B58" s="25"/>
      <c r="G58" s="134" t="s">
        <v>286</v>
      </c>
      <c r="H58" s="0"/>
      <c r="I58" s="0"/>
      <c r="J58" s="0"/>
      <c r="K58" s="0"/>
      <c r="L58" s="0"/>
      <c r="M58" s="0"/>
      <c r="N58" s="0"/>
      <c r="O58" s="0"/>
      <c r="P58" s="0"/>
      <c r="Q58" s="0"/>
      <c r="R58" s="0"/>
      <c r="S58" s="0"/>
    </row>
    <row r="59" customFormat="false" ht="15.6" hidden="false" customHeight="false" outlineLevel="0" collapsed="false">
      <c r="A59" s="0"/>
      <c r="B59" s="0"/>
      <c r="G59" s="153" t="s">
        <v>97</v>
      </c>
      <c r="H59" s="188" t="n">
        <f aca="false">H113</f>
        <v>0</v>
      </c>
      <c r="I59" s="188" t="n">
        <f aca="false">I113</f>
        <v>0</v>
      </c>
      <c r="J59" s="188" t="n">
        <f aca="false">J113</f>
        <v>0</v>
      </c>
      <c r="K59" s="188" t="n">
        <f aca="false">K113</f>
        <v>0</v>
      </c>
      <c r="L59" s="188" t="n">
        <f aca="false">L113</f>
        <v>0</v>
      </c>
      <c r="M59" s="188" t="n">
        <f aca="false">M113</f>
        <v>0</v>
      </c>
      <c r="N59" s="188" t="n">
        <f aca="false">N113</f>
        <v>0</v>
      </c>
      <c r="O59" s="188" t="n">
        <f aca="false">O113</f>
        <v>0</v>
      </c>
      <c r="P59" s="188" t="n">
        <f aca="false">P113</f>
        <v>0</v>
      </c>
      <c r="Q59" s="188" t="n">
        <f aca="false">Q113</f>
        <v>0</v>
      </c>
      <c r="R59" s="188" t="n">
        <f aca="false">R113</f>
        <v>0</v>
      </c>
      <c r="S59" s="188" t="n">
        <f aca="false">S113</f>
        <v>0</v>
      </c>
    </row>
    <row r="60" customFormat="false" ht="15.6" hidden="false" customHeight="false" outlineLevel="0" collapsed="false">
      <c r="A60" s="0"/>
      <c r="B60" s="0"/>
      <c r="G60" s="153" t="s">
        <v>100</v>
      </c>
      <c r="H60" s="188" t="n">
        <f aca="false">H118</f>
        <v>0</v>
      </c>
      <c r="I60" s="188" t="n">
        <f aca="false">I118</f>
        <v>0</v>
      </c>
      <c r="J60" s="188" t="n">
        <f aca="false">J118</f>
        <v>0</v>
      </c>
      <c r="K60" s="188" t="n">
        <f aca="false">K118</f>
        <v>0</v>
      </c>
      <c r="L60" s="188" t="n">
        <f aca="false">L118</f>
        <v>0</v>
      </c>
      <c r="M60" s="188" t="n">
        <f aca="false">M118</f>
        <v>0</v>
      </c>
      <c r="N60" s="188" t="n">
        <f aca="false">N118</f>
        <v>0</v>
      </c>
      <c r="O60" s="188" t="n">
        <f aca="false">O118</f>
        <v>0</v>
      </c>
      <c r="P60" s="188" t="n">
        <f aca="false">P118</f>
        <v>0</v>
      </c>
      <c r="Q60" s="188" t="n">
        <f aca="false">Q118</f>
        <v>0</v>
      </c>
      <c r="R60" s="188" t="n">
        <f aca="false">R118</f>
        <v>0</v>
      </c>
      <c r="S60" s="188" t="n">
        <f aca="false">S118</f>
        <v>0</v>
      </c>
    </row>
    <row r="61" customFormat="false" ht="15.6" hidden="false" customHeight="false" outlineLevel="0" collapsed="false">
      <c r="A61" s="0"/>
      <c r="B61" s="0"/>
      <c r="G61" s="153" t="s">
        <v>104</v>
      </c>
      <c r="H61" s="188" t="n">
        <f aca="false">H123</f>
        <v>0</v>
      </c>
      <c r="I61" s="188" t="n">
        <f aca="false">I123</f>
        <v>0</v>
      </c>
      <c r="J61" s="188" t="n">
        <f aca="false">J123</f>
        <v>0</v>
      </c>
      <c r="K61" s="188" t="n">
        <f aca="false">K123</f>
        <v>0</v>
      </c>
      <c r="L61" s="188" t="n">
        <f aca="false">L123</f>
        <v>0</v>
      </c>
      <c r="M61" s="188" t="n">
        <f aca="false">M123</f>
        <v>0</v>
      </c>
      <c r="N61" s="188" t="n">
        <f aca="false">N123</f>
        <v>0</v>
      </c>
      <c r="O61" s="188" t="n">
        <f aca="false">O123</f>
        <v>0</v>
      </c>
      <c r="P61" s="188" t="n">
        <f aca="false">P123</f>
        <v>0</v>
      </c>
      <c r="Q61" s="188" t="n">
        <f aca="false">Q123</f>
        <v>0</v>
      </c>
      <c r="R61" s="188" t="n">
        <f aca="false">R123</f>
        <v>0</v>
      </c>
      <c r="S61" s="188" t="n">
        <f aca="false">S123</f>
        <v>0</v>
      </c>
    </row>
    <row r="62" customFormat="false" ht="15.6" hidden="false" customHeight="false" outlineLevel="0" collapsed="false">
      <c r="A62" s="0"/>
      <c r="B62" s="0"/>
      <c r="G62" s="76"/>
      <c r="H62" s="0"/>
      <c r="I62" s="0"/>
      <c r="J62" s="0"/>
      <c r="K62" s="0"/>
      <c r="L62" s="0"/>
      <c r="M62" s="0"/>
      <c r="N62" s="0"/>
      <c r="O62" s="0"/>
      <c r="P62" s="0"/>
      <c r="Q62" s="0"/>
      <c r="R62" s="0"/>
      <c r="S62" s="0"/>
    </row>
    <row r="63" customFormat="false" ht="15.6" hidden="false" customHeight="false" outlineLevel="0" collapsed="false">
      <c r="A63" s="0"/>
      <c r="B63" s="0"/>
      <c r="G63" s="0"/>
      <c r="H63" s="0"/>
      <c r="I63" s="143"/>
      <c r="J63" s="143"/>
      <c r="K63" s="143"/>
      <c r="L63" s="143"/>
      <c r="M63" s="143"/>
      <c r="N63" s="143"/>
      <c r="O63" s="0"/>
      <c r="P63" s="0"/>
      <c r="Q63" s="0"/>
      <c r="R63" s="0"/>
      <c r="S63" s="0"/>
    </row>
    <row r="64" customFormat="false" ht="15.6" hidden="false" customHeight="false" outlineLevel="0" collapsed="false">
      <c r="A64" s="0"/>
      <c r="B64" s="0"/>
      <c r="G64" s="209"/>
      <c r="H64" s="210"/>
      <c r="I64" s="211"/>
      <c r="J64" s="211"/>
      <c r="K64" s="211"/>
      <c r="L64" s="211"/>
      <c r="M64" s="211"/>
      <c r="N64" s="211"/>
      <c r="O64" s="143"/>
      <c r="P64" s="0"/>
      <c r="Q64" s="0"/>
      <c r="R64" s="0"/>
      <c r="S64" s="0"/>
    </row>
    <row r="65" customFormat="false" ht="15.6" hidden="false" customHeight="false" outlineLevel="0" collapsed="false">
      <c r="A65" s="0"/>
      <c r="B65" s="0"/>
      <c r="G65" s="209"/>
      <c r="H65" s="210"/>
      <c r="I65" s="211"/>
      <c r="J65" s="211"/>
      <c r="K65" s="211"/>
      <c r="L65" s="211"/>
      <c r="M65" s="211"/>
      <c r="N65" s="211"/>
      <c r="O65" s="143"/>
      <c r="P65" s="0"/>
      <c r="Q65" s="0"/>
      <c r="R65" s="0"/>
      <c r="S65" s="0"/>
    </row>
    <row r="66" customFormat="false" ht="15.6" hidden="false" customHeight="false" outlineLevel="0" collapsed="false">
      <c r="A66" s="0"/>
      <c r="B66" s="0"/>
      <c r="G66" s="209"/>
      <c r="H66" s="210"/>
      <c r="I66" s="211"/>
      <c r="J66" s="211"/>
      <c r="K66" s="211"/>
      <c r="L66" s="211"/>
      <c r="M66" s="211"/>
      <c r="N66" s="211"/>
      <c r="O66" s="143"/>
      <c r="P66" s="0"/>
      <c r="Q66" s="0"/>
      <c r="R66" s="0"/>
      <c r="S66" s="0"/>
    </row>
    <row r="67" customFormat="false" ht="15.6" hidden="false" customHeight="false" outlineLevel="0" collapsed="false">
      <c r="A67" s="0"/>
      <c r="B67" s="0"/>
      <c r="G67" s="209"/>
      <c r="H67" s="210"/>
      <c r="I67" s="211"/>
      <c r="J67" s="211"/>
      <c r="K67" s="211"/>
      <c r="L67" s="211"/>
      <c r="M67" s="211"/>
      <c r="N67" s="211"/>
      <c r="O67" s="143"/>
      <c r="P67" s="0"/>
      <c r="Q67" s="0"/>
      <c r="R67" s="0"/>
      <c r="S67" s="0"/>
    </row>
    <row r="68" customFormat="false" ht="15.6" hidden="false" customHeight="false" outlineLevel="0" collapsed="false">
      <c r="A68" s="0"/>
      <c r="B68" s="0"/>
      <c r="G68" s="209"/>
      <c r="H68" s="210"/>
      <c r="I68" s="211"/>
      <c r="J68" s="211"/>
      <c r="K68" s="211"/>
      <c r="L68" s="211"/>
      <c r="M68" s="211"/>
      <c r="N68" s="211"/>
      <c r="O68" s="143"/>
      <c r="P68" s="0"/>
      <c r="Q68" s="0"/>
      <c r="R68" s="0"/>
      <c r="S68" s="0"/>
    </row>
    <row r="69" customFormat="false" ht="15.6" hidden="false" customHeight="false" outlineLevel="0" collapsed="false">
      <c r="A69" s="0"/>
      <c r="B69" s="0"/>
      <c r="G69" s="209"/>
      <c r="H69" s="210"/>
      <c r="I69" s="211"/>
      <c r="J69" s="211"/>
      <c r="K69" s="211"/>
      <c r="L69" s="211"/>
      <c r="M69" s="211"/>
      <c r="N69" s="211"/>
      <c r="O69" s="143"/>
      <c r="P69" s="0"/>
      <c r="Q69" s="0"/>
      <c r="R69" s="0"/>
      <c r="S69" s="0"/>
    </row>
    <row r="70" customFormat="false" ht="15.6" hidden="false" customHeight="false" outlineLevel="0" collapsed="false">
      <c r="A70" s="0"/>
      <c r="B70" s="0"/>
      <c r="G70" s="209"/>
      <c r="H70" s="210"/>
      <c r="I70" s="211"/>
      <c r="J70" s="211"/>
      <c r="K70" s="211"/>
      <c r="L70" s="211"/>
      <c r="M70" s="211"/>
      <c r="N70" s="211"/>
      <c r="O70" s="143"/>
      <c r="P70" s="0"/>
      <c r="Q70" s="0"/>
      <c r="R70" s="0"/>
      <c r="S70" s="0"/>
    </row>
    <row r="71" customFormat="false" ht="15.6" hidden="false" customHeight="false" outlineLevel="0" collapsed="false">
      <c r="A71" s="0"/>
      <c r="B71" s="0"/>
      <c r="G71" s="209"/>
      <c r="H71" s="210"/>
      <c r="I71" s="211"/>
      <c r="J71" s="211"/>
      <c r="K71" s="211"/>
      <c r="L71" s="211"/>
      <c r="M71" s="211"/>
      <c r="N71" s="211"/>
      <c r="O71" s="143"/>
      <c r="P71" s="0"/>
      <c r="Q71" s="0"/>
      <c r="R71" s="0"/>
      <c r="S71" s="0"/>
    </row>
    <row r="72" customFormat="false" ht="15.6" hidden="false" customHeight="false" outlineLevel="0" collapsed="false">
      <c r="A72" s="0"/>
      <c r="B72" s="0"/>
      <c r="G72" s="209"/>
      <c r="H72" s="210"/>
      <c r="I72" s="211"/>
      <c r="J72" s="211"/>
      <c r="K72" s="211"/>
      <c r="L72" s="211"/>
      <c r="M72" s="211"/>
      <c r="N72" s="211"/>
      <c r="O72" s="143"/>
      <c r="P72" s="0"/>
      <c r="Q72" s="0"/>
      <c r="R72" s="0"/>
      <c r="S72" s="0"/>
    </row>
    <row r="73" customFormat="false" ht="15.6" hidden="false" customHeight="false" outlineLevel="0" collapsed="false">
      <c r="A73" s="0"/>
      <c r="B73" s="0"/>
      <c r="G73" s="209"/>
      <c r="H73" s="210"/>
      <c r="I73" s="211"/>
      <c r="J73" s="211"/>
      <c r="K73" s="211"/>
      <c r="L73" s="211"/>
      <c r="M73" s="211"/>
      <c r="N73" s="211"/>
      <c r="O73" s="143"/>
      <c r="P73" s="0"/>
      <c r="Q73" s="0"/>
      <c r="R73" s="0"/>
      <c r="S73" s="0"/>
    </row>
    <row r="74" customFormat="false" ht="15.6" hidden="false" customHeight="false" outlineLevel="0" collapsed="false">
      <c r="A74" s="0"/>
      <c r="B74" s="0"/>
      <c r="G74" s="209"/>
      <c r="H74" s="210"/>
      <c r="I74" s="211"/>
      <c r="J74" s="211"/>
      <c r="K74" s="211"/>
      <c r="L74" s="211"/>
      <c r="M74" s="211"/>
      <c r="N74" s="211"/>
      <c r="O74" s="143"/>
      <c r="P74" s="0"/>
      <c r="Q74" s="0"/>
      <c r="R74" s="0"/>
      <c r="S74" s="0"/>
    </row>
    <row r="75" customFormat="false" ht="15.6" hidden="false" customHeight="false" outlineLevel="0" collapsed="false">
      <c r="A75" s="0"/>
      <c r="B75" s="0"/>
      <c r="G75" s="209"/>
      <c r="H75" s="210"/>
      <c r="I75" s="211"/>
      <c r="J75" s="211"/>
      <c r="K75" s="211"/>
      <c r="L75" s="211"/>
      <c r="M75" s="211"/>
      <c r="N75" s="211"/>
      <c r="O75" s="143"/>
      <c r="P75" s="0"/>
      <c r="Q75" s="0"/>
      <c r="R75" s="0"/>
      <c r="S75" s="0"/>
    </row>
    <row r="76" customFormat="false" ht="15.6" hidden="false" customHeight="false" outlineLevel="0" collapsed="false">
      <c r="A76" s="0"/>
      <c r="B76" s="0"/>
      <c r="G76" s="209"/>
      <c r="H76" s="210"/>
      <c r="I76" s="211"/>
      <c r="J76" s="211"/>
      <c r="K76" s="211"/>
      <c r="L76" s="211"/>
      <c r="M76" s="211"/>
      <c r="N76" s="211"/>
      <c r="O76" s="143"/>
      <c r="P76" s="0"/>
      <c r="Q76" s="0"/>
      <c r="R76" s="0"/>
      <c r="S76" s="0"/>
    </row>
    <row r="77" customFormat="false" ht="15.6" hidden="false" customHeight="false" outlineLevel="0" collapsed="false">
      <c r="A77" s="0"/>
      <c r="B77" s="0"/>
      <c r="G77" s="209"/>
      <c r="H77" s="210"/>
      <c r="I77" s="211"/>
      <c r="J77" s="211"/>
      <c r="K77" s="211"/>
      <c r="L77" s="211"/>
      <c r="M77" s="211"/>
      <c r="N77" s="211"/>
      <c r="O77" s="143"/>
      <c r="P77" s="0"/>
      <c r="Q77" s="0"/>
      <c r="R77" s="0"/>
      <c r="S77" s="0"/>
    </row>
    <row r="78" customFormat="false" ht="15.6" hidden="false" customHeight="false" outlineLevel="0" collapsed="false">
      <c r="A78" s="0"/>
      <c r="B78" s="0"/>
      <c r="G78" s="209"/>
      <c r="H78" s="210"/>
      <c r="I78" s="211"/>
      <c r="J78" s="211"/>
      <c r="K78" s="211"/>
      <c r="L78" s="211"/>
      <c r="M78" s="211"/>
      <c r="N78" s="211"/>
      <c r="O78" s="143"/>
      <c r="P78" s="0"/>
      <c r="Q78" s="0"/>
      <c r="R78" s="0"/>
      <c r="S78" s="0"/>
    </row>
    <row r="79" customFormat="false" ht="15.6" hidden="false" customHeight="false" outlineLevel="0" collapsed="false">
      <c r="A79" s="0"/>
      <c r="B79" s="0"/>
      <c r="G79" s="209"/>
      <c r="H79" s="210"/>
      <c r="I79" s="211"/>
      <c r="J79" s="211"/>
      <c r="K79" s="211"/>
      <c r="L79" s="211"/>
      <c r="M79" s="211"/>
      <c r="N79" s="211"/>
      <c r="O79" s="143"/>
      <c r="P79" s="0"/>
      <c r="Q79" s="0"/>
      <c r="R79" s="0"/>
      <c r="S79" s="0"/>
    </row>
    <row r="80" customFormat="false" ht="15.6" hidden="false" customHeight="false" outlineLevel="0" collapsed="false">
      <c r="A80" s="153"/>
      <c r="B80" s="142"/>
      <c r="G80" s="209"/>
      <c r="H80" s="210"/>
      <c r="I80" s="211"/>
      <c r="J80" s="211"/>
      <c r="K80" s="211"/>
      <c r="L80" s="211"/>
      <c r="M80" s="211"/>
      <c r="N80" s="211"/>
      <c r="O80" s="143"/>
      <c r="P80" s="0"/>
      <c r="Q80" s="0"/>
      <c r="R80" s="0"/>
      <c r="S80" s="0"/>
    </row>
    <row r="81" customFormat="false" ht="15.6" hidden="false" customHeight="false" outlineLevel="0" collapsed="false">
      <c r="A81" s="153"/>
      <c r="B81" s="142"/>
      <c r="G81" s="209"/>
      <c r="H81" s="210"/>
      <c r="I81" s="211"/>
      <c r="J81" s="211"/>
      <c r="K81" s="211"/>
      <c r="L81" s="211"/>
      <c r="M81" s="211"/>
      <c r="N81" s="211"/>
      <c r="O81" s="143"/>
      <c r="P81" s="0"/>
      <c r="Q81" s="0"/>
      <c r="R81" s="0"/>
      <c r="S81" s="0"/>
    </row>
    <row r="82" customFormat="false" ht="15.6" hidden="false" customHeight="false" outlineLevel="0" collapsed="false">
      <c r="A82" s="153"/>
      <c r="B82" s="142"/>
      <c r="G82" s="209"/>
      <c r="H82" s="210"/>
      <c r="I82" s="211"/>
      <c r="J82" s="211"/>
      <c r="K82" s="211"/>
      <c r="L82" s="211"/>
      <c r="M82" s="211"/>
      <c r="N82" s="211"/>
      <c r="O82" s="143"/>
      <c r="P82" s="0"/>
      <c r="Q82" s="0"/>
      <c r="R82" s="0"/>
      <c r="S82" s="0"/>
    </row>
    <row r="83" customFormat="false" ht="15.6" hidden="false" customHeight="false" outlineLevel="0" collapsed="false">
      <c r="A83" s="153"/>
      <c r="B83" s="142"/>
      <c r="G83" s="209"/>
      <c r="H83" s="210"/>
      <c r="I83" s="211"/>
      <c r="J83" s="211"/>
      <c r="K83" s="211"/>
      <c r="L83" s="211"/>
      <c r="M83" s="211"/>
      <c r="N83" s="211"/>
      <c r="O83" s="143"/>
      <c r="P83" s="0"/>
      <c r="Q83" s="0"/>
      <c r="R83" s="0"/>
      <c r="S83" s="0"/>
    </row>
    <row r="84" customFormat="false" ht="15.6" hidden="false" customHeight="false" outlineLevel="0" collapsed="false">
      <c r="A84" s="153"/>
      <c r="B84" s="142"/>
      <c r="G84" s="209"/>
      <c r="H84" s="210"/>
      <c r="I84" s="211"/>
      <c r="J84" s="211"/>
      <c r="K84" s="211"/>
      <c r="L84" s="211"/>
      <c r="M84" s="211"/>
      <c r="N84" s="211"/>
      <c r="O84" s="143"/>
      <c r="P84" s="0"/>
      <c r="Q84" s="0"/>
      <c r="R84" s="0"/>
      <c r="S84" s="0"/>
    </row>
    <row r="85" customFormat="false" ht="15.6" hidden="false" customHeight="false" outlineLevel="0" collapsed="false">
      <c r="A85" s="153"/>
      <c r="B85" s="142"/>
      <c r="G85" s="209"/>
      <c r="H85" s="210"/>
      <c r="I85" s="211"/>
      <c r="J85" s="211"/>
      <c r="K85" s="211"/>
      <c r="L85" s="211"/>
      <c r="M85" s="211"/>
      <c r="N85" s="211"/>
      <c r="O85" s="143"/>
      <c r="P85" s="0"/>
      <c r="Q85" s="0"/>
      <c r="R85" s="0"/>
      <c r="S85" s="0"/>
    </row>
    <row r="86" customFormat="false" ht="15.6" hidden="false" customHeight="false" outlineLevel="0" collapsed="false">
      <c r="A86" s="153"/>
      <c r="B86" s="142"/>
      <c r="G86" s="209"/>
      <c r="H86" s="210"/>
      <c r="I86" s="211"/>
      <c r="J86" s="211"/>
      <c r="K86" s="211"/>
      <c r="L86" s="211"/>
      <c r="M86" s="211"/>
      <c r="N86" s="211"/>
      <c r="O86" s="143"/>
      <c r="P86" s="0"/>
      <c r="Q86" s="0"/>
      <c r="R86" s="0"/>
      <c r="S86" s="0"/>
    </row>
    <row r="87" customFormat="false" ht="15.6" hidden="false" customHeight="false" outlineLevel="0" collapsed="false">
      <c r="A87" s="153"/>
      <c r="B87" s="142"/>
      <c r="G87" s="209"/>
      <c r="H87" s="210"/>
      <c r="I87" s="211"/>
      <c r="J87" s="211"/>
      <c r="K87" s="211"/>
      <c r="L87" s="211"/>
      <c r="M87" s="211"/>
      <c r="N87" s="211"/>
      <c r="O87" s="143"/>
      <c r="P87" s="0"/>
      <c r="Q87" s="0"/>
      <c r="R87" s="0"/>
      <c r="S87" s="0"/>
    </row>
    <row r="88" customFormat="false" ht="15.6" hidden="false" customHeight="false" outlineLevel="0" collapsed="false">
      <c r="A88" s="153"/>
      <c r="B88" s="142"/>
      <c r="G88" s="209"/>
      <c r="H88" s="210"/>
      <c r="I88" s="211"/>
      <c r="J88" s="211"/>
      <c r="K88" s="211"/>
      <c r="L88" s="211"/>
      <c r="M88" s="211"/>
      <c r="N88" s="211"/>
      <c r="O88" s="143"/>
      <c r="P88" s="0"/>
      <c r="Q88" s="0"/>
      <c r="R88" s="0"/>
      <c r="S88" s="0"/>
    </row>
    <row r="89" customFormat="false" ht="15.6" hidden="false" customHeight="false" outlineLevel="0" collapsed="false">
      <c r="A89" s="153"/>
      <c r="B89" s="142"/>
      <c r="G89" s="209"/>
      <c r="H89" s="210"/>
      <c r="I89" s="211"/>
      <c r="J89" s="211"/>
      <c r="K89" s="211"/>
      <c r="L89" s="211"/>
      <c r="M89" s="211"/>
      <c r="N89" s="211"/>
      <c r="O89" s="143"/>
      <c r="P89" s="0"/>
      <c r="Q89" s="0"/>
      <c r="R89" s="0"/>
      <c r="S89" s="0"/>
    </row>
    <row r="90" customFormat="false" ht="15.6" hidden="false" customHeight="false" outlineLevel="0" collapsed="false">
      <c r="A90" s="153"/>
      <c r="B90" s="142"/>
      <c r="G90" s="209"/>
      <c r="H90" s="210"/>
      <c r="I90" s="211"/>
      <c r="J90" s="211"/>
      <c r="K90" s="211"/>
      <c r="L90" s="211"/>
      <c r="M90" s="211"/>
      <c r="N90" s="211"/>
      <c r="O90" s="143"/>
      <c r="P90" s="0"/>
      <c r="Q90" s="0"/>
      <c r="R90" s="0"/>
      <c r="S90" s="0"/>
    </row>
    <row r="91" customFormat="false" ht="15.6" hidden="false" customHeight="false" outlineLevel="0" collapsed="false">
      <c r="A91" s="153"/>
      <c r="B91" s="142"/>
      <c r="G91" s="0"/>
      <c r="H91" s="0"/>
      <c r="I91" s="0"/>
      <c r="J91" s="0"/>
      <c r="K91" s="0"/>
      <c r="L91" s="0"/>
      <c r="M91" s="0"/>
      <c r="N91" s="0"/>
      <c r="O91" s="0"/>
      <c r="P91" s="0"/>
      <c r="Q91" s="0"/>
      <c r="R91" s="0"/>
      <c r="S91" s="0"/>
    </row>
    <row r="92" customFormat="false" ht="15.6" hidden="false" customHeight="false" outlineLevel="0" collapsed="false">
      <c r="A92" s="153"/>
      <c r="B92" s="142"/>
      <c r="G92" s="0"/>
      <c r="H92" s="0"/>
      <c r="I92" s="0"/>
      <c r="J92" s="0"/>
      <c r="K92" s="0"/>
      <c r="L92" s="0"/>
      <c r="M92" s="0"/>
      <c r="N92" s="0"/>
      <c r="O92" s="0"/>
      <c r="P92" s="0"/>
      <c r="Q92" s="0"/>
      <c r="R92" s="0"/>
      <c r="S92" s="0"/>
    </row>
    <row r="93" customFormat="false" ht="15.6" hidden="false" customHeight="false" outlineLevel="0" collapsed="false">
      <c r="A93" s="153"/>
      <c r="B93" s="142"/>
      <c r="G93" s="0"/>
      <c r="H93" s="0"/>
      <c r="I93" s="0"/>
      <c r="J93" s="0"/>
      <c r="K93" s="0"/>
      <c r="L93" s="0"/>
      <c r="M93" s="0"/>
      <c r="N93" s="0"/>
      <c r="O93" s="0"/>
      <c r="P93" s="0"/>
      <c r="Q93" s="0"/>
      <c r="R93" s="0"/>
      <c r="S93" s="0"/>
    </row>
    <row r="94" customFormat="false" ht="15.6" hidden="false" customHeight="false" outlineLevel="0" collapsed="false">
      <c r="A94" s="153"/>
      <c r="B94" s="142"/>
      <c r="G94" s="212" t="s">
        <v>289</v>
      </c>
      <c r="H94" s="0"/>
      <c r="I94" s="0"/>
      <c r="J94" s="0"/>
      <c r="K94" s="0"/>
      <c r="L94" s="0"/>
      <c r="M94" s="0"/>
      <c r="N94" s="0"/>
      <c r="O94" s="0"/>
      <c r="P94" s="0"/>
      <c r="Q94" s="0"/>
      <c r="R94" s="0"/>
      <c r="S94" s="0"/>
    </row>
    <row r="95" customFormat="false" ht="15.6" hidden="false" customHeight="false" outlineLevel="0" collapsed="false">
      <c r="A95" s="153"/>
      <c r="B95" s="142"/>
      <c r="G95" s="213"/>
      <c r="H95" s="165" t="s">
        <v>290</v>
      </c>
      <c r="I95" s="0"/>
      <c r="J95" s="0"/>
      <c r="K95" s="0"/>
      <c r="L95" s="0"/>
      <c r="M95" s="0"/>
      <c r="N95" s="0"/>
      <c r="O95" s="0"/>
      <c r="P95" s="0"/>
      <c r="Q95" s="0"/>
      <c r="R95" s="0"/>
      <c r="S95" s="0"/>
    </row>
    <row r="96" customFormat="false" ht="15.6" hidden="false" customHeight="false" outlineLevel="0" collapsed="false">
      <c r="A96" s="153"/>
      <c r="B96" s="142"/>
      <c r="G96" s="165" t="s">
        <v>291</v>
      </c>
      <c r="H96" s="77" t="n">
        <f aca="false">H48/ABS(H33+0.000001)</f>
        <v>9.99999980000001E-005</v>
      </c>
      <c r="I96" s="77" t="n">
        <f aca="false">I48/ABS(I33+0.000001)</f>
        <v>9.99999980000001E-005</v>
      </c>
      <c r="J96" s="77" t="n">
        <f aca="false">J48/ABS(J33+0.000001)</f>
        <v>0.000100000002</v>
      </c>
      <c r="K96" s="77" t="n">
        <f aca="false">K48/ABS(K33+0.000001)</f>
        <v>0.000100000002</v>
      </c>
      <c r="L96" s="77" t="n">
        <f aca="false">L48/ABS(L33+0.000001)</f>
        <v>0</v>
      </c>
      <c r="M96" s="77" t="n">
        <f aca="false">M48/ABS(M33+0.000001)</f>
        <v>0</v>
      </c>
      <c r="N96" s="77" t="n">
        <f aca="false">N48/ABS(N33+0.000001)</f>
        <v>0</v>
      </c>
      <c r="O96" s="77" t="n">
        <f aca="false">O48/ABS(O33+0.000001)</f>
        <v>0</v>
      </c>
      <c r="P96" s="77" t="n">
        <f aca="false">P48/ABS(P33+0.000001)</f>
        <v>0</v>
      </c>
      <c r="Q96" s="77" t="n">
        <f aca="false">Q48/ABS(Q33+0.000001)</f>
        <v>0</v>
      </c>
      <c r="R96" s="77" t="n">
        <f aca="false">R48/ABS(R33+0.000001)</f>
        <v>0</v>
      </c>
      <c r="S96" s="77" t="n">
        <f aca="false">S48/ABS(S33+0.000001)</f>
        <v>0</v>
      </c>
    </row>
    <row r="97" customFormat="false" ht="15.6" hidden="false" customHeight="false" outlineLevel="0" collapsed="false">
      <c r="A97" s="153"/>
      <c r="B97" s="142"/>
      <c r="G97" s="165" t="s">
        <v>291</v>
      </c>
      <c r="H97" s="77" t="n">
        <f aca="false">H49/ABS(H32+0.000001)</f>
        <v>5000</v>
      </c>
      <c r="I97" s="77" t="n">
        <f aca="false">I49/ABS(I32+0.000001)</f>
        <v>5000</v>
      </c>
      <c r="J97" s="77" t="n">
        <f aca="false">J49/ABS(J32+0.000001)</f>
        <v>5000</v>
      </c>
      <c r="K97" s="77" t="n">
        <f aca="false">K49/ABS(K32+0.000001)</f>
        <v>5000</v>
      </c>
      <c r="L97" s="77" t="n">
        <f aca="false">L49/ABS(L32+0.000001)</f>
        <v>0</v>
      </c>
      <c r="M97" s="77" t="n">
        <f aca="false">M49/ABS(M32+0.000001)</f>
        <v>0</v>
      </c>
      <c r="N97" s="77" t="n">
        <f aca="false">N49/ABS(N32+0.000001)</f>
        <v>0</v>
      </c>
      <c r="O97" s="77" t="n">
        <f aca="false">O49/ABS(O32+0.000001)</f>
        <v>0</v>
      </c>
      <c r="P97" s="77" t="n">
        <f aca="false">P49/ABS(P32+0.000001)</f>
        <v>0</v>
      </c>
      <c r="Q97" s="77" t="n">
        <f aca="false">Q49/ABS(Q32+0.000001)</f>
        <v>0</v>
      </c>
      <c r="R97" s="77" t="n">
        <f aca="false">R49/ABS(R32+0.000001)</f>
        <v>0</v>
      </c>
      <c r="S97" s="77" t="n">
        <f aca="false">S49/ABS(S32+0.000001)</f>
        <v>0</v>
      </c>
    </row>
    <row r="98" customFormat="false" ht="15.6" hidden="false" customHeight="false" outlineLevel="0" collapsed="false">
      <c r="A98" s="153"/>
      <c r="B98" s="142"/>
      <c r="G98" s="77" t="s">
        <v>292</v>
      </c>
      <c r="H98" s="161" t="n">
        <f aca="false">IF(MIN(H96,H97)&gt;1,0,MIN(H96,H97))</f>
        <v>9.99999980000001E-005</v>
      </c>
      <c r="I98" s="161" t="n">
        <f aca="false">IF(MIN(I96,I97)&gt;1,0,MIN(I96,I97))</f>
        <v>9.99999980000001E-005</v>
      </c>
      <c r="J98" s="161" t="n">
        <f aca="false">IF(MIN(J96,J97)&gt;1,0,MIN(J96,J97))</f>
        <v>0.000100000002</v>
      </c>
      <c r="K98" s="161" t="n">
        <f aca="false">IF(MIN(K96,K97)&gt;1,0,MIN(K96,K97))</f>
        <v>0.000100000002</v>
      </c>
      <c r="L98" s="161" t="n">
        <f aca="false">IF(MIN(L96,L97)&gt;1,0,MIN(L96,L97))</f>
        <v>0</v>
      </c>
      <c r="M98" s="161" t="n">
        <f aca="false">IF(MIN(M96,M97)&gt;1,0,MIN(M96,M97))</f>
        <v>0</v>
      </c>
      <c r="N98" s="161" t="n">
        <f aca="false">IF(MIN(N96,N97)&gt;1,0,MIN(N96,N97))</f>
        <v>0</v>
      </c>
      <c r="O98" s="161" t="n">
        <f aca="false">IF(MIN(O96,O97)&gt;1,0,MIN(O96,O97))</f>
        <v>0</v>
      </c>
      <c r="P98" s="161" t="n">
        <f aca="false">IF(MIN(P96,P97)&gt;1,0,MIN(P96,P97))</f>
        <v>0</v>
      </c>
      <c r="Q98" s="161" t="n">
        <f aca="false">IF(MIN(Q96,Q97)&gt;1,0,MIN(Q96,Q97))</f>
        <v>0</v>
      </c>
      <c r="R98" s="161" t="n">
        <f aca="false">IF(MIN(R96,R97)&gt;1,0,MIN(R96,R97))</f>
        <v>0</v>
      </c>
      <c r="S98" s="161" t="n">
        <f aca="false">IF(MIN(S96,S97)&gt;1,0,MIN(S96,S97))</f>
        <v>0</v>
      </c>
    </row>
    <row r="99" customFormat="false" ht="15.6" hidden="false" customHeight="false" outlineLevel="0" collapsed="false">
      <c r="A99" s="153"/>
      <c r="B99" s="142"/>
      <c r="G99" s="0"/>
      <c r="H99" s="165" t="s">
        <v>293</v>
      </c>
      <c r="I99" s="165"/>
      <c r="J99" s="165"/>
      <c r="K99" s="165"/>
      <c r="L99" s="165"/>
      <c r="M99" s="165"/>
      <c r="N99" s="165"/>
      <c r="O99" s="165"/>
      <c r="P99" s="165"/>
      <c r="Q99" s="165"/>
      <c r="R99" s="165"/>
      <c r="S99" s="165"/>
    </row>
    <row r="100" customFormat="false" ht="15.6" hidden="false" customHeight="false" outlineLevel="0" collapsed="false">
      <c r="A100" s="153"/>
      <c r="B100" s="142"/>
      <c r="G100" s="214" t="s">
        <v>291</v>
      </c>
      <c r="H100" s="131" t="n">
        <f aca="false">H49/ABS(H31+0.000001)</f>
        <v>9.99999980000001E-005</v>
      </c>
      <c r="I100" s="131" t="n">
        <f aca="false">I49/ABS(I31+0.000001)</f>
        <v>0.000100000002</v>
      </c>
      <c r="J100" s="131" t="n">
        <f aca="false">J49/ABS(J31+0.000001)</f>
        <v>0.000100000002</v>
      </c>
      <c r="K100" s="131" t="n">
        <f aca="false">K49/ABS(K31+0.000001)</f>
        <v>9.99999980000001E-005</v>
      </c>
      <c r="L100" s="131" t="n">
        <f aca="false">L49/ABS(L31+0.000001)</f>
        <v>0</v>
      </c>
      <c r="M100" s="131" t="n">
        <f aca="false">M49/ABS(M31+0.000001)</f>
        <v>0</v>
      </c>
      <c r="N100" s="131" t="n">
        <f aca="false">N49/ABS(N31+0.000001)</f>
        <v>0</v>
      </c>
      <c r="O100" s="131" t="n">
        <f aca="false">O49/ABS(O31+0.000001)</f>
        <v>0</v>
      </c>
      <c r="P100" s="131" t="n">
        <f aca="false">P49/ABS(P31+0.000001)</f>
        <v>0</v>
      </c>
      <c r="Q100" s="131" t="n">
        <f aca="false">Q49/ABS(Q31+0.000001)</f>
        <v>0</v>
      </c>
      <c r="R100" s="131" t="n">
        <f aca="false">R49/ABS(R31+0.000001)</f>
        <v>0</v>
      </c>
      <c r="S100" s="131" t="n">
        <f aca="false">S49/ABS(S31+0.000001)</f>
        <v>0</v>
      </c>
    </row>
    <row r="101" customFormat="false" ht="15.6" hidden="false" customHeight="false" outlineLevel="0" collapsed="false">
      <c r="A101" s="153"/>
      <c r="B101" s="142"/>
      <c r="G101" s="214" t="s">
        <v>291</v>
      </c>
      <c r="H101" s="215" t="n">
        <f aca="false">H47/ABS(H33+0.000001)</f>
        <v>9.99999980000001E-005</v>
      </c>
      <c r="I101" s="215" t="n">
        <f aca="false">I47/ABS(I33+0.000001)</f>
        <v>9.99999980000001E-005</v>
      </c>
      <c r="J101" s="215" t="n">
        <f aca="false">J47/ABS(J33+0.000001)</f>
        <v>0.000100000002</v>
      </c>
      <c r="K101" s="215" t="n">
        <f aca="false">K47/ABS(K33+0.000001)</f>
        <v>0.000100000002</v>
      </c>
      <c r="L101" s="215" t="n">
        <f aca="false">L47/ABS(L33+0.000001)</f>
        <v>0</v>
      </c>
      <c r="M101" s="215" t="n">
        <f aca="false">M47/ABS(M33+0.000001)</f>
        <v>0</v>
      </c>
      <c r="N101" s="215" t="n">
        <f aca="false">N47/ABS(N33+0.000001)</f>
        <v>0</v>
      </c>
      <c r="O101" s="215" t="n">
        <f aca="false">O47/ABS(O33+0.000001)</f>
        <v>0</v>
      </c>
      <c r="P101" s="215" t="n">
        <f aca="false">P47/ABS(P33+0.000001)</f>
        <v>0</v>
      </c>
      <c r="Q101" s="215" t="n">
        <f aca="false">Q47/ABS(Q33+0.000001)</f>
        <v>0</v>
      </c>
      <c r="R101" s="215" t="n">
        <f aca="false">R47/ABS(R33+0.000001)</f>
        <v>0</v>
      </c>
      <c r="S101" s="215" t="n">
        <f aca="false">S47/ABS(S33+0.000001)</f>
        <v>0</v>
      </c>
    </row>
    <row r="102" customFormat="false" ht="15.6" hidden="false" customHeight="false" outlineLevel="0" collapsed="false">
      <c r="A102" s="153"/>
      <c r="B102" s="142"/>
      <c r="G102" s="77" t="s">
        <v>292</v>
      </c>
      <c r="H102" s="161" t="n">
        <f aca="false">IF(MIN(H100,H101)&gt;1,0,MIN(H100,H101))</f>
        <v>9.99999980000001E-005</v>
      </c>
      <c r="I102" s="161" t="n">
        <f aca="false">IF(MIN(I100,I101)&gt;1,0,MIN(I100,I101))</f>
        <v>9.99999980000001E-005</v>
      </c>
      <c r="J102" s="161" t="n">
        <f aca="false">IF(MIN(J100,J101)&gt;1,0,MIN(J100,J101))</f>
        <v>0.000100000002</v>
      </c>
      <c r="K102" s="161" t="n">
        <f aca="false">IF(MIN(K100,K101)&gt;1,0,MIN(K100,K101))</f>
        <v>9.99999980000001E-005</v>
      </c>
      <c r="L102" s="161" t="n">
        <f aca="false">IF(MIN(L100,L101)&gt;1,0,MIN(L100,L101))</f>
        <v>0</v>
      </c>
      <c r="M102" s="161" t="n">
        <f aca="false">IF(MIN(M100,M101)&gt;1,0,MIN(M100,M101))</f>
        <v>0</v>
      </c>
      <c r="N102" s="161" t="n">
        <f aca="false">IF(MIN(N100,N101)&gt;1,0,MIN(N100,N101))</f>
        <v>0</v>
      </c>
      <c r="O102" s="161" t="n">
        <f aca="false">IF(MIN(O100,O101)&gt;1,0,MIN(O100,O101))</f>
        <v>0</v>
      </c>
      <c r="P102" s="161" t="n">
        <f aca="false">IF(MIN(P100,P101)&gt;1,0,MIN(P100,P101))</f>
        <v>0</v>
      </c>
      <c r="Q102" s="161" t="n">
        <f aca="false">IF(MIN(Q100,Q101)&gt;1,0,MIN(Q100,Q101))</f>
        <v>0</v>
      </c>
      <c r="R102" s="161" t="n">
        <f aca="false">IF(MIN(R100,R101)&gt;1,0,MIN(R100,R101))</f>
        <v>0</v>
      </c>
      <c r="S102" s="161" t="n">
        <f aca="false">IF(MIN(S100,S101)&gt;1,0,MIN(S100,S101))</f>
        <v>0</v>
      </c>
    </row>
    <row r="103" customFormat="false" ht="15.6" hidden="false" customHeight="false" outlineLevel="0" collapsed="false">
      <c r="A103" s="153"/>
      <c r="B103" s="142"/>
      <c r="G103" s="0"/>
      <c r="H103" s="77" t="s">
        <v>294</v>
      </c>
      <c r="I103" s="0"/>
      <c r="J103" s="0"/>
      <c r="K103" s="0"/>
      <c r="L103" s="0"/>
      <c r="M103" s="0"/>
      <c r="N103" s="0"/>
      <c r="O103" s="0"/>
      <c r="P103" s="0"/>
      <c r="Q103" s="0"/>
      <c r="R103" s="0"/>
      <c r="S103" s="0"/>
    </row>
    <row r="104" customFormat="false" ht="15.6" hidden="false" customHeight="false" outlineLevel="0" collapsed="false">
      <c r="A104" s="153"/>
      <c r="B104" s="142"/>
      <c r="G104" s="165" t="s">
        <v>291</v>
      </c>
      <c r="H104" s="77" t="n">
        <f aca="false">H48/ABS(H31+0.000001)</f>
        <v>9.99999980000001E-005</v>
      </c>
      <c r="I104" s="77" t="n">
        <f aca="false">I48/ABS(I31+0.000001)</f>
        <v>0.000100000002</v>
      </c>
      <c r="J104" s="77" t="n">
        <f aca="false">J48/ABS(J31+0.000001)</f>
        <v>0.000100000002</v>
      </c>
      <c r="K104" s="77" t="n">
        <f aca="false">K48/ABS(K31+0.000001)</f>
        <v>9.99999980000001E-005</v>
      </c>
      <c r="L104" s="77" t="n">
        <f aca="false">L48/ABS(L31+0.000001)</f>
        <v>0</v>
      </c>
      <c r="M104" s="77" t="n">
        <f aca="false">M48/ABS(M31+0.000001)</f>
        <v>0</v>
      </c>
      <c r="N104" s="77" t="n">
        <f aca="false">N48/ABS(N31+0.000001)</f>
        <v>0</v>
      </c>
      <c r="O104" s="77" t="n">
        <f aca="false">O48/ABS(O31+0.000001)</f>
        <v>0</v>
      </c>
      <c r="P104" s="77" t="n">
        <f aca="false">P48/ABS(P31+0.000001)</f>
        <v>0</v>
      </c>
      <c r="Q104" s="77" t="n">
        <f aca="false">Q48/ABS(Q31+0.000001)</f>
        <v>0</v>
      </c>
      <c r="R104" s="77" t="n">
        <f aca="false">R48/ABS(R31+0.000001)</f>
        <v>0</v>
      </c>
      <c r="S104" s="77" t="n">
        <f aca="false">S48/ABS(S31+0.000001)</f>
        <v>0</v>
      </c>
    </row>
    <row r="105" customFormat="false" ht="15.6" hidden="false" customHeight="false" outlineLevel="0" collapsed="false">
      <c r="A105" s="153"/>
      <c r="B105" s="142"/>
      <c r="G105" s="165" t="s">
        <v>291</v>
      </c>
      <c r="H105" s="77" t="n">
        <f aca="false">H47/ABS(H32+0.000001)</f>
        <v>5000</v>
      </c>
      <c r="I105" s="77" t="n">
        <f aca="false">I47/ABS(I32+0.000001)</f>
        <v>5000</v>
      </c>
      <c r="J105" s="77" t="n">
        <f aca="false">J47/ABS(J32+0.000001)</f>
        <v>5000</v>
      </c>
      <c r="K105" s="77" t="n">
        <f aca="false">K47/ABS(K32+0.000001)</f>
        <v>5000</v>
      </c>
      <c r="L105" s="77" t="n">
        <f aca="false">L47/ABS(L32+0.000001)</f>
        <v>0</v>
      </c>
      <c r="M105" s="77" t="n">
        <f aca="false">M47/ABS(M32+0.000001)</f>
        <v>0</v>
      </c>
      <c r="N105" s="77" t="n">
        <f aca="false">N47/ABS(N32+0.000001)</f>
        <v>0</v>
      </c>
      <c r="O105" s="77" t="n">
        <f aca="false">O47/ABS(O32+0.000001)</f>
        <v>0</v>
      </c>
      <c r="P105" s="77" t="n">
        <f aca="false">P47/ABS(P32+0.000001)</f>
        <v>0</v>
      </c>
      <c r="Q105" s="77" t="n">
        <f aca="false">Q47/ABS(Q32+0.000001)</f>
        <v>0</v>
      </c>
      <c r="R105" s="77" t="n">
        <f aca="false">R47/ABS(R32+0.000001)</f>
        <v>0</v>
      </c>
      <c r="S105" s="77" t="n">
        <f aca="false">S47/ABS(S32+0.000001)</f>
        <v>0</v>
      </c>
    </row>
    <row r="106" customFormat="false" ht="15.6" hidden="false" customHeight="false" outlineLevel="0" collapsed="false">
      <c r="A106" s="153"/>
      <c r="B106" s="142"/>
      <c r="G106" s="77" t="s">
        <v>292</v>
      </c>
      <c r="H106" s="161" t="n">
        <f aca="false">IF(MIN(H104,H105)&gt;1,0,MIN(H104,H105))</f>
        <v>9.99999980000001E-005</v>
      </c>
      <c r="I106" s="161" t="n">
        <f aca="false">IF(MIN(I104,I105)&gt;1,0,MIN(I104,I105))</f>
        <v>0.000100000002</v>
      </c>
      <c r="J106" s="161" t="n">
        <f aca="false">IF(MIN(J104,J105)&gt;1,0,MIN(J104,J105))</f>
        <v>0.000100000002</v>
      </c>
      <c r="K106" s="161" t="n">
        <f aca="false">IF(MIN(K104,K105)&gt;1,0,MIN(K104,K105))</f>
        <v>9.99999980000001E-005</v>
      </c>
      <c r="L106" s="161" t="n">
        <f aca="false">IF(MIN(L104,L105)&gt;1,0,MIN(L104,L105))</f>
        <v>0</v>
      </c>
      <c r="M106" s="161" t="n">
        <f aca="false">IF(MIN(M104,M105)&gt;1,0,MIN(M104,M105))</f>
        <v>0</v>
      </c>
      <c r="N106" s="161" t="n">
        <f aca="false">IF(MIN(N104,N105)&gt;1,0,MIN(N104,N105))</f>
        <v>0</v>
      </c>
      <c r="O106" s="161" t="n">
        <f aca="false">IF(MIN(O104,O105)&gt;1,0,MIN(O104,O105))</f>
        <v>0</v>
      </c>
      <c r="P106" s="161" t="n">
        <f aca="false">IF(MIN(P104,P105)&gt;1,0,MIN(P104,P105))</f>
        <v>0</v>
      </c>
      <c r="Q106" s="161" t="n">
        <f aca="false">IF(MIN(Q104,Q105)&gt;1,0,MIN(Q104,Q105))</f>
        <v>0</v>
      </c>
      <c r="R106" s="161" t="n">
        <f aca="false">IF(MIN(R104,R105)&gt;1,0,MIN(R104,R105))</f>
        <v>0</v>
      </c>
      <c r="S106" s="161" t="n">
        <f aca="false">IF(MIN(S104,S105)&gt;1,0,MIN(S104,S105))</f>
        <v>0</v>
      </c>
    </row>
    <row r="107" customFormat="false" ht="15.6" hidden="false" customHeight="false" outlineLevel="0" collapsed="false">
      <c r="A107" s="153"/>
      <c r="B107" s="142"/>
      <c r="G107" s="0"/>
      <c r="H107" s="0"/>
      <c r="I107" s="0"/>
      <c r="J107" s="0"/>
      <c r="K107" s="0"/>
      <c r="L107" s="0"/>
      <c r="M107" s="0"/>
      <c r="N107" s="0"/>
      <c r="O107" s="0"/>
      <c r="P107" s="0"/>
      <c r="Q107" s="0"/>
      <c r="R107" s="0"/>
      <c r="S107" s="0"/>
    </row>
    <row r="108" customFormat="false" ht="15.6" hidden="false" customHeight="false" outlineLevel="0" collapsed="false">
      <c r="A108" s="153"/>
      <c r="B108" s="142"/>
      <c r="G108" s="212" t="s">
        <v>295</v>
      </c>
      <c r="H108" s="212"/>
      <c r="I108" s="212"/>
      <c r="J108" s="212"/>
      <c r="K108" s="212"/>
      <c r="L108" s="212"/>
      <c r="M108" s="212"/>
      <c r="N108" s="212"/>
      <c r="O108" s="212"/>
      <c r="P108" s="212"/>
      <c r="Q108" s="0"/>
      <c r="R108" s="0"/>
      <c r="S108" s="0"/>
    </row>
    <row r="109" customFormat="false" ht="15.6" hidden="false" customHeight="false" outlineLevel="0" collapsed="false">
      <c r="A109" s="153"/>
      <c r="B109" s="142"/>
      <c r="G109" s="0"/>
      <c r="H109" s="153" t="s">
        <v>296</v>
      </c>
      <c r="I109" s="153"/>
      <c r="J109" s="153"/>
      <c r="K109" s="153"/>
      <c r="L109" s="153"/>
      <c r="M109" s="153"/>
      <c r="N109" s="153"/>
      <c r="O109" s="153"/>
      <c r="P109" s="153"/>
      <c r="Q109" s="153"/>
      <c r="R109" s="153"/>
      <c r="S109" s="153"/>
    </row>
    <row r="110" customFormat="false" ht="15.6" hidden="false" customHeight="false" outlineLevel="0" collapsed="false">
      <c r="G110" s="165" t="s">
        <v>291</v>
      </c>
      <c r="H110" s="161" t="n">
        <f aca="false">H56/(H33+0.000001)</f>
        <v>0</v>
      </c>
      <c r="I110" s="161" t="n">
        <f aca="false">I56/(I33+0.000001)</f>
        <v>0</v>
      </c>
      <c r="J110" s="161" t="n">
        <f aca="false">J56/(J33+0.000001)</f>
        <v>-0</v>
      </c>
      <c r="K110" s="161" t="n">
        <f aca="false">K56/(K33+0.000001)</f>
        <v>-0</v>
      </c>
      <c r="L110" s="161" t="n">
        <f aca="false">L56/(L33+0.000001)</f>
        <v>0</v>
      </c>
      <c r="M110" s="161" t="n">
        <f aca="false">M56/(M33+0.000001)</f>
        <v>0</v>
      </c>
      <c r="N110" s="161" t="n">
        <f aca="false">N56/(N33+0.000001)</f>
        <v>0</v>
      </c>
      <c r="O110" s="161" t="n">
        <f aca="false">O56/(O33+0.000001)</f>
        <v>0</v>
      </c>
      <c r="P110" s="161" t="n">
        <f aca="false">P56/(P33+0.000001)</f>
        <v>0</v>
      </c>
      <c r="Q110" s="161" t="n">
        <f aca="false">Q56/(Q33+0.000001)</f>
        <v>0</v>
      </c>
      <c r="R110" s="161" t="n">
        <f aca="false">R56/(R33+0.000001)</f>
        <v>0</v>
      </c>
      <c r="S110" s="161" t="n">
        <f aca="false">S56/(S33+0.000001)</f>
        <v>0</v>
      </c>
    </row>
    <row r="111" customFormat="false" ht="15.6" hidden="false" customHeight="false" outlineLevel="0" collapsed="false">
      <c r="G111" s="165" t="s">
        <v>291</v>
      </c>
      <c r="H111" s="216" t="n">
        <f aca="false">H57/(H32+0.000001)</f>
        <v>0</v>
      </c>
      <c r="I111" s="216" t="n">
        <f aca="false">I57/(I32+0.000001)</f>
        <v>0</v>
      </c>
      <c r="J111" s="216" t="n">
        <f aca="false">J57/(J32+0.000001)</f>
        <v>0</v>
      </c>
      <c r="K111" s="216" t="n">
        <f aca="false">K57/(K32+0.000001)</f>
        <v>0</v>
      </c>
      <c r="L111" s="216" t="n">
        <f aca="false">L57/(L32+0.000001)</f>
        <v>0</v>
      </c>
      <c r="M111" s="216" t="n">
        <f aca="false">M57/(M32+0.000001)</f>
        <v>0</v>
      </c>
      <c r="N111" s="216" t="n">
        <f aca="false">N57/(N32+0.000001)</f>
        <v>0</v>
      </c>
      <c r="O111" s="216" t="n">
        <f aca="false">O57/(O32+0.000001)</f>
        <v>0</v>
      </c>
      <c r="P111" s="216" t="n">
        <f aca="false">P57/(P32+0.000001)</f>
        <v>0</v>
      </c>
      <c r="Q111" s="216" t="n">
        <f aca="false">Q57/(Q32+0.000001)</f>
        <v>0</v>
      </c>
      <c r="R111" s="216" t="n">
        <f aca="false">R57/(R32+0.000001)</f>
        <v>0</v>
      </c>
      <c r="S111" s="216" t="n">
        <f aca="false">S57/(S32+0.000001)</f>
        <v>0</v>
      </c>
    </row>
    <row r="112" customFormat="false" ht="15.6" hidden="false" customHeight="false" outlineLevel="0" collapsed="false">
      <c r="G112" s="77" t="s">
        <v>297</v>
      </c>
      <c r="H112" s="217" t="n">
        <f aca="false">SIGN(H110+0.000000000001)*SIGN(H111+0.000000000001)</f>
        <v>1</v>
      </c>
      <c r="I112" s="217" t="n">
        <f aca="false">SIGN(I110+0.000000000001)*SIGN(I111+0.000000000001)</f>
        <v>1</v>
      </c>
      <c r="J112" s="217" t="n">
        <f aca="false">SIGN(J110+0.000000000001)*SIGN(J111+0.000000000001)</f>
        <v>1</v>
      </c>
      <c r="K112" s="217" t="n">
        <f aca="false">SIGN(K110+0.000000000001)*SIGN(K111+0.000000000001)</f>
        <v>1</v>
      </c>
      <c r="L112" s="217" t="n">
        <f aca="false">SIGN(L110+0.000000000001)*SIGN(L111+0.000000000001)</f>
        <v>1</v>
      </c>
      <c r="M112" s="217" t="n">
        <f aca="false">SIGN(M110+0.000000000001)*SIGN(M111+0.000000000001)</f>
        <v>1</v>
      </c>
      <c r="N112" s="217" t="n">
        <f aca="false">SIGN(N110+0.000000000001)*SIGN(N111+0.000000000001)</f>
        <v>1</v>
      </c>
      <c r="O112" s="217" t="n">
        <f aca="false">SIGN(O110+0.000000000001)*SIGN(O111+0.000000000001)</f>
        <v>1</v>
      </c>
      <c r="P112" s="217" t="n">
        <f aca="false">SIGN(P110+0.000000000001)*SIGN(P111+0.000000000001)</f>
        <v>1</v>
      </c>
      <c r="Q112" s="217" t="n">
        <f aca="false">SIGN(Q110+0.000000000001)*SIGN(Q111+0.000000000001)</f>
        <v>1</v>
      </c>
      <c r="R112" s="217" t="n">
        <f aca="false">SIGN(R110+0.000000000001)*SIGN(R111+0.000000000001)</f>
        <v>1</v>
      </c>
      <c r="S112" s="217" t="n">
        <f aca="false">SIGN(S110+0.000000000001)*SIGN(S111+0.000000000001)</f>
        <v>1</v>
      </c>
    </row>
    <row r="113" customFormat="false" ht="15.6" hidden="false" customHeight="false" outlineLevel="0" collapsed="false">
      <c r="G113" s="77" t="s">
        <v>292</v>
      </c>
      <c r="H113" s="161" t="n">
        <f aca="false">IF(H112*MIN(ABS(H110),ABS(H111))&gt;1,0,H112*MIN(ABS(H110),ABS(H111)))</f>
        <v>0</v>
      </c>
      <c r="I113" s="161" t="n">
        <f aca="false">IF(I112*MIN(ABS(I110),ABS(I111))&gt;1,0,I112*MIN(ABS(I110),ABS(I111)))</f>
        <v>0</v>
      </c>
      <c r="J113" s="161" t="n">
        <f aca="false">IF(J112*MIN(ABS(J110),ABS(J111))&gt;1,0,J112*MIN(ABS(J110),ABS(J111)))</f>
        <v>0</v>
      </c>
      <c r="K113" s="161" t="n">
        <f aca="false">IF(K112*MIN(ABS(K110),ABS(K111))&gt;1,0,K112*MIN(ABS(K110),ABS(K111)))</f>
        <v>0</v>
      </c>
      <c r="L113" s="161" t="n">
        <f aca="false">IF(L112*MIN(ABS(L110),ABS(L111))&gt;1,0,L112*MIN(ABS(L110),ABS(L111)))</f>
        <v>0</v>
      </c>
      <c r="M113" s="161" t="n">
        <f aca="false">IF(M112*MIN(ABS(M110),ABS(M111))&gt;1,0,M112*MIN(ABS(M110),ABS(M111)))</f>
        <v>0</v>
      </c>
      <c r="N113" s="161" t="n">
        <f aca="false">IF(N112*MIN(ABS(N110),ABS(N111))&gt;1,0,N112*MIN(ABS(N110),ABS(N111)))</f>
        <v>0</v>
      </c>
      <c r="O113" s="161" t="n">
        <f aca="false">IF(O112*MIN(ABS(O110),ABS(O111))&gt;1,0,O112*MIN(ABS(O110),ABS(O111)))</f>
        <v>0</v>
      </c>
      <c r="P113" s="161" t="n">
        <f aca="false">IF(P112*MIN(ABS(P110),ABS(P111))&gt;1,0,P112*MIN(ABS(P110),ABS(P111)))</f>
        <v>0</v>
      </c>
      <c r="Q113" s="161" t="n">
        <f aca="false">IF(Q112*MIN(ABS(Q110),ABS(Q111))&gt;1,0,Q112*MIN(ABS(Q110),ABS(Q111)))</f>
        <v>0</v>
      </c>
      <c r="R113" s="161" t="n">
        <f aca="false">IF(R112*MIN(ABS(R110),ABS(R111))&gt;1,0,R112*MIN(ABS(R110),ABS(R111)))</f>
        <v>0</v>
      </c>
      <c r="S113" s="161" t="n">
        <f aca="false">IF(S112*MIN(ABS(S110),ABS(S111))&gt;1,0,S112*MIN(ABS(S110),ABS(S111)))</f>
        <v>0</v>
      </c>
    </row>
    <row r="114" customFormat="false" ht="15.6" hidden="false" customHeight="false" outlineLevel="0" collapsed="false">
      <c r="G114" s="0"/>
      <c r="H114" s="153" t="s">
        <v>298</v>
      </c>
      <c r="I114" s="153"/>
      <c r="J114" s="153"/>
      <c r="K114" s="153"/>
      <c r="L114" s="153"/>
      <c r="M114" s="153"/>
      <c r="N114" s="153"/>
      <c r="O114" s="153"/>
      <c r="P114" s="153"/>
      <c r="Q114" s="153"/>
      <c r="R114" s="153"/>
      <c r="S114" s="153"/>
    </row>
    <row r="115" customFormat="false" ht="15.6" hidden="false" customHeight="false" outlineLevel="0" collapsed="false">
      <c r="G115" s="214" t="s">
        <v>291</v>
      </c>
      <c r="H115" s="131" t="n">
        <f aca="false">-H57/(H31+0.000001)</f>
        <v>-0</v>
      </c>
      <c r="I115" s="131" t="n">
        <f aca="false">-I57/(I31+0.000001)</f>
        <v>0</v>
      </c>
      <c r="J115" s="131" t="n">
        <f aca="false">-J57/(J31+0.000001)</f>
        <v>0</v>
      </c>
      <c r="K115" s="131" t="n">
        <f aca="false">-K57/(K31+0.000001)</f>
        <v>-0</v>
      </c>
      <c r="L115" s="131" t="n">
        <f aca="false">-L57/(L31+0.000001)</f>
        <v>-0</v>
      </c>
      <c r="M115" s="131" t="n">
        <f aca="false">-M57/(M31+0.000001)</f>
        <v>-0</v>
      </c>
      <c r="N115" s="131" t="n">
        <f aca="false">-N57/(N31+0.000001)</f>
        <v>-0</v>
      </c>
      <c r="O115" s="131" t="n">
        <f aca="false">-O57/(O31+0.000001)</f>
        <v>-0</v>
      </c>
      <c r="P115" s="131" t="n">
        <f aca="false">-P57/(P31+0.000001)</f>
        <v>-0</v>
      </c>
      <c r="Q115" s="131" t="n">
        <f aca="false">-Q57/(Q31+0.000001)</f>
        <v>-0</v>
      </c>
      <c r="R115" s="131" t="n">
        <f aca="false">-R57/(R31+0.000001)</f>
        <v>-0</v>
      </c>
      <c r="S115" s="131" t="n">
        <f aca="false">-S57/(S31+0.000001)</f>
        <v>-0</v>
      </c>
    </row>
    <row r="116" customFormat="false" ht="15.6" hidden="false" customHeight="false" outlineLevel="0" collapsed="false">
      <c r="G116" s="214" t="s">
        <v>291</v>
      </c>
      <c r="H116" s="131" t="n">
        <f aca="false">H55/(H33+0.000001)</f>
        <v>0</v>
      </c>
      <c r="I116" s="131" t="n">
        <f aca="false">I55/(I33+0.000001)</f>
        <v>0</v>
      </c>
      <c r="J116" s="131" t="n">
        <f aca="false">J55/(J33+0.000001)</f>
        <v>-0</v>
      </c>
      <c r="K116" s="131" t="n">
        <f aca="false">K55/(K33+0.000001)</f>
        <v>-0</v>
      </c>
      <c r="L116" s="131" t="n">
        <f aca="false">L55/(L33+0.000001)</f>
        <v>0</v>
      </c>
      <c r="M116" s="131" t="n">
        <f aca="false">M55/(M33+0.000001)</f>
        <v>0</v>
      </c>
      <c r="N116" s="131" t="n">
        <f aca="false">N55/(N33+0.000001)</f>
        <v>0</v>
      </c>
      <c r="O116" s="131" t="n">
        <f aca="false">O55/(O33+0.000001)</f>
        <v>0</v>
      </c>
      <c r="P116" s="131" t="n">
        <f aca="false">P55/(P33+0.000001)</f>
        <v>0</v>
      </c>
      <c r="Q116" s="131" t="n">
        <f aca="false">Q55/(Q33+0.000001)</f>
        <v>0</v>
      </c>
      <c r="R116" s="131" t="n">
        <f aca="false">R55/(R33+0.000001)</f>
        <v>0</v>
      </c>
      <c r="S116" s="131" t="n">
        <f aca="false">S55/(S33+0.000001)</f>
        <v>0</v>
      </c>
    </row>
    <row r="117" customFormat="false" ht="15.6" hidden="false" customHeight="false" outlineLevel="0" collapsed="false">
      <c r="G117" s="131" t="s">
        <v>297</v>
      </c>
      <c r="H117" s="218" t="n">
        <f aca="false">SIGN(H115+0.000000000001)*SIGN(H116+0.000000000001)</f>
        <v>1</v>
      </c>
      <c r="I117" s="218" t="n">
        <f aca="false">SIGN(I115+0.000000000001)*SIGN(I116+0.000000000001)</f>
        <v>1</v>
      </c>
      <c r="J117" s="218" t="n">
        <f aca="false">SIGN(J115+0.000000000001)*SIGN(J116+0.000000000001)</f>
        <v>1</v>
      </c>
      <c r="K117" s="218" t="n">
        <f aca="false">SIGN(K115+0.000000000001)*SIGN(K116+0.000000000001)</f>
        <v>1</v>
      </c>
      <c r="L117" s="218" t="n">
        <f aca="false">SIGN(L115+0.000000000001)*SIGN(L116+0.000000000001)</f>
        <v>1</v>
      </c>
      <c r="M117" s="218" t="n">
        <f aca="false">SIGN(M115+0.000000000001)*SIGN(M116+0.000000000001)</f>
        <v>1</v>
      </c>
      <c r="N117" s="218" t="n">
        <f aca="false">SIGN(N115+0.000000000001)*SIGN(N116+0.000000000001)</f>
        <v>1</v>
      </c>
      <c r="O117" s="218" t="n">
        <f aca="false">SIGN(O115+0.000000000001)*SIGN(O116+0.000000000001)</f>
        <v>1</v>
      </c>
      <c r="P117" s="218" t="n">
        <f aca="false">SIGN(P115+0.000000000001)*SIGN(P116+0.000000000001)</f>
        <v>1</v>
      </c>
      <c r="Q117" s="218" t="n">
        <f aca="false">SIGN(Q115+0.000000000001)*SIGN(Q116+0.000000000001)</f>
        <v>1</v>
      </c>
      <c r="R117" s="218" t="n">
        <f aca="false">SIGN(R115+0.000000000001)*SIGN(R116+0.000000000001)</f>
        <v>1</v>
      </c>
      <c r="S117" s="218" t="n">
        <f aca="false">SIGN(S115+0.000000000001)*SIGN(S116+0.000000000001)</f>
        <v>1</v>
      </c>
    </row>
    <row r="118" customFormat="false" ht="15.6" hidden="false" customHeight="false" outlineLevel="0" collapsed="false">
      <c r="G118" s="131" t="s">
        <v>292</v>
      </c>
      <c r="H118" s="219" t="n">
        <f aca="false">IF(H117*MIN(ABS(H115),ABS(H116))&gt;1,0,H117*MIN(ABS(H115),ABS(H116)))</f>
        <v>0</v>
      </c>
      <c r="I118" s="219" t="n">
        <f aca="false">IF(I117*MIN(ABS(I115),ABS(I116))&gt;1,0,I117*MIN(ABS(I115),ABS(I116)))</f>
        <v>0</v>
      </c>
      <c r="J118" s="219" t="n">
        <f aca="false">IF(J117*MIN(ABS(J115),ABS(J116))&gt;1,0,J117*MIN(ABS(J115),ABS(J116)))</f>
        <v>0</v>
      </c>
      <c r="K118" s="219" t="n">
        <f aca="false">IF(K117*MIN(ABS(K115),ABS(K116))&gt;1,0,K117*MIN(ABS(K115),ABS(K116)))</f>
        <v>0</v>
      </c>
      <c r="L118" s="219" t="n">
        <f aca="false">IF(L117*MIN(ABS(L115),ABS(L116))&gt;1,0,L117*MIN(ABS(L115),ABS(L116)))</f>
        <v>0</v>
      </c>
      <c r="M118" s="219" t="n">
        <f aca="false">IF(M117*MIN(ABS(M115),ABS(M116))&gt;1,0,M117*MIN(ABS(M115),ABS(M116)))</f>
        <v>0</v>
      </c>
      <c r="N118" s="219" t="n">
        <f aca="false">IF(N117*MIN(ABS(N115),ABS(N116))&gt;1,0,N117*MIN(ABS(N115),ABS(N116)))</f>
        <v>0</v>
      </c>
      <c r="O118" s="219" t="n">
        <f aca="false">IF(O117*MIN(ABS(O115),ABS(O116))&gt;1,0,O117*MIN(ABS(O115),ABS(O116)))</f>
        <v>0</v>
      </c>
      <c r="P118" s="219" t="n">
        <f aca="false">IF(P117*MIN(ABS(P115),ABS(P116))&gt;1,0,P117*MIN(ABS(P115),ABS(P116)))</f>
        <v>0</v>
      </c>
      <c r="Q118" s="219" t="n">
        <f aca="false">IF(Q117*MIN(ABS(Q115),ABS(Q116))&gt;1,0,Q117*MIN(ABS(Q115),ABS(Q116)))</f>
        <v>0</v>
      </c>
      <c r="R118" s="219" t="n">
        <f aca="false">IF(R117*MIN(ABS(R115),ABS(R116))&gt;1,0,R117*MIN(ABS(R115),ABS(R116)))</f>
        <v>0</v>
      </c>
      <c r="S118" s="219" t="n">
        <f aca="false">IF(S117*MIN(ABS(S115),ABS(S116))&gt;1,0,S117*MIN(ABS(S115),ABS(S116)))</f>
        <v>0</v>
      </c>
    </row>
    <row r="119" customFormat="false" ht="15.6" hidden="false" customHeight="false" outlineLevel="0" collapsed="false">
      <c r="G119" s="0"/>
      <c r="H119" s="153" t="s">
        <v>299</v>
      </c>
      <c r="I119" s="153"/>
      <c r="J119" s="153"/>
      <c r="K119" s="153"/>
      <c r="L119" s="153"/>
      <c r="M119" s="153"/>
      <c r="N119" s="153"/>
      <c r="O119" s="153"/>
      <c r="P119" s="153"/>
      <c r="Q119" s="153"/>
      <c r="R119" s="153"/>
      <c r="S119" s="153"/>
    </row>
    <row r="120" customFormat="false" ht="15.6" hidden="false" customHeight="false" outlineLevel="0" collapsed="false">
      <c r="G120" s="165" t="s">
        <v>291</v>
      </c>
      <c r="H120" s="161" t="n">
        <f aca="false">H56/(H31+0.000001)</f>
        <v>0</v>
      </c>
      <c r="I120" s="161" t="n">
        <f aca="false">I56/(I31+0.000001)</f>
        <v>-0</v>
      </c>
      <c r="J120" s="161" t="n">
        <f aca="false">J56/(J31+0.000001)</f>
        <v>-0</v>
      </c>
      <c r="K120" s="161" t="n">
        <f aca="false">K56/(K31+0.000001)</f>
        <v>0</v>
      </c>
      <c r="L120" s="161" t="n">
        <f aca="false">L56/(L31+0.000001)</f>
        <v>0</v>
      </c>
      <c r="M120" s="161" t="n">
        <f aca="false">M56/(M31+0.000001)</f>
        <v>0</v>
      </c>
      <c r="N120" s="161" t="n">
        <f aca="false">N56/(N31+0.000001)</f>
        <v>0</v>
      </c>
      <c r="O120" s="161" t="n">
        <f aca="false">O56/(O31+0.000001)</f>
        <v>0</v>
      </c>
      <c r="P120" s="161" t="n">
        <f aca="false">P56/(P31+0.000001)</f>
        <v>0</v>
      </c>
      <c r="Q120" s="161" t="n">
        <f aca="false">Q56/(Q31+0.000001)</f>
        <v>0</v>
      </c>
      <c r="R120" s="161" t="n">
        <f aca="false">R56/(R31+0.000001)</f>
        <v>0</v>
      </c>
      <c r="S120" s="161" t="n">
        <f aca="false">S56/(S31+0.000001)</f>
        <v>0</v>
      </c>
    </row>
    <row r="121" customFormat="false" ht="15.6" hidden="false" customHeight="false" outlineLevel="0" collapsed="false">
      <c r="G121" s="165" t="s">
        <v>291</v>
      </c>
      <c r="H121" s="77" t="n">
        <f aca="false">H55/(H32+0.000001)</f>
        <v>0</v>
      </c>
      <c r="I121" s="77" t="n">
        <f aca="false">I55/(I32+0.000001)</f>
        <v>0</v>
      </c>
      <c r="J121" s="77" t="n">
        <f aca="false">J55/(J32+0.000001)</f>
        <v>0</v>
      </c>
      <c r="K121" s="77" t="n">
        <f aca="false">K55/(K32+0.000001)</f>
        <v>0</v>
      </c>
      <c r="L121" s="77" t="n">
        <f aca="false">L55/(L32+0.000001)</f>
        <v>0</v>
      </c>
      <c r="M121" s="77" t="n">
        <f aca="false">M55/(M32+0.000001)</f>
        <v>0</v>
      </c>
      <c r="N121" s="77" t="n">
        <f aca="false">N55/(N32+0.000001)</f>
        <v>0</v>
      </c>
      <c r="O121" s="77" t="n">
        <f aca="false">O55/(O32+0.000001)</f>
        <v>0</v>
      </c>
      <c r="P121" s="77" t="n">
        <f aca="false">P55/(P32+0.000001)</f>
        <v>0</v>
      </c>
      <c r="Q121" s="77" t="n">
        <f aca="false">Q55/(Q32+0.000001)</f>
        <v>0</v>
      </c>
      <c r="R121" s="77" t="n">
        <f aca="false">R55/(R32+0.000001)</f>
        <v>0</v>
      </c>
      <c r="S121" s="77" t="n">
        <f aca="false">S55/(S32+0.000001)</f>
        <v>0</v>
      </c>
    </row>
    <row r="122" customFormat="false" ht="15.6" hidden="false" customHeight="false" outlineLevel="0" collapsed="false">
      <c r="G122" s="77" t="s">
        <v>297</v>
      </c>
      <c r="H122" s="217" t="n">
        <f aca="false">SIGN(H120+0.000000000001)*SIGN(H121+0.000000000001)</f>
        <v>1</v>
      </c>
      <c r="I122" s="217" t="n">
        <f aca="false">SIGN(I120+0.000000000001)*SIGN(I121+0.000000000001)</f>
        <v>1</v>
      </c>
      <c r="J122" s="217" t="n">
        <f aca="false">SIGN(J120+0.000000000001)*SIGN(J121+0.000000000001)</f>
        <v>1</v>
      </c>
      <c r="K122" s="217" t="n">
        <f aca="false">SIGN(K120+0.000000000001)*SIGN(K121+0.000000000001)</f>
        <v>1</v>
      </c>
      <c r="L122" s="217" t="n">
        <f aca="false">SIGN(L120+0.000000000001)*SIGN(L121+0.000000000001)</f>
        <v>1</v>
      </c>
      <c r="M122" s="217" t="n">
        <f aca="false">SIGN(M120+0.000000000001)*SIGN(M121+0.000000000001)</f>
        <v>1</v>
      </c>
      <c r="N122" s="217" t="n">
        <f aca="false">SIGN(N120+0.000000000001)*SIGN(N121+0.000000000001)</f>
        <v>1</v>
      </c>
      <c r="O122" s="217" t="n">
        <f aca="false">SIGN(O120+0.000000000001)*SIGN(O121+0.000000000001)</f>
        <v>1</v>
      </c>
      <c r="P122" s="217" t="n">
        <f aca="false">SIGN(P120+0.000000000001)*SIGN(P121+0.000000000001)</f>
        <v>1</v>
      </c>
      <c r="Q122" s="217" t="n">
        <f aca="false">SIGN(Q120+0.000000000001)*SIGN(Q121+0.000000000001)</f>
        <v>1</v>
      </c>
      <c r="R122" s="217" t="n">
        <f aca="false">SIGN(R120+0.000000000001)*SIGN(R121+0.000000000001)</f>
        <v>1</v>
      </c>
      <c r="S122" s="217" t="n">
        <f aca="false">SIGN(S120+0.000000000001)*SIGN(S121+0.000000000001)</f>
        <v>1</v>
      </c>
    </row>
    <row r="123" customFormat="false" ht="15.6" hidden="false" customHeight="false" outlineLevel="0" collapsed="false">
      <c r="G123" s="77" t="s">
        <v>292</v>
      </c>
      <c r="H123" s="161" t="n">
        <f aca="false">IF(H122*MIN(ABS(H120),ABS(H121))&gt;1,0,H122*MIN(ABS(H120),ABS(H121)))</f>
        <v>0</v>
      </c>
      <c r="I123" s="161" t="n">
        <f aca="false">IF(I122*MIN(ABS(I120),ABS(I121))&gt;1,0,I122*MIN(ABS(I120),ABS(I121)))</f>
        <v>0</v>
      </c>
      <c r="J123" s="161" t="n">
        <f aca="false">IF(J122*MIN(ABS(J120),ABS(J121))&gt;1,0,J122*MIN(ABS(J120),ABS(J121)))</f>
        <v>0</v>
      </c>
      <c r="K123" s="161" t="n">
        <f aca="false">IF(K122*MIN(ABS(K120),ABS(K121))&gt;1,0,K122*MIN(ABS(K120),ABS(K121)))</f>
        <v>0</v>
      </c>
      <c r="L123" s="161" t="n">
        <f aca="false">IF(L122*MIN(ABS(L120),ABS(L121))&gt;1,0,L122*MIN(ABS(L120),ABS(L121)))</f>
        <v>0</v>
      </c>
      <c r="M123" s="161" t="n">
        <f aca="false">IF(M122*MIN(ABS(M120),ABS(M121))&gt;1,0,M122*MIN(ABS(M120),ABS(M121)))</f>
        <v>0</v>
      </c>
      <c r="N123" s="161" t="n">
        <f aca="false">IF(N122*MIN(ABS(N120),ABS(N121))&gt;1,0,N122*MIN(ABS(N120),ABS(N121)))</f>
        <v>0</v>
      </c>
      <c r="O123" s="161" t="n">
        <f aca="false">IF(O122*MIN(ABS(O120),ABS(O121))&gt;1,0,O122*MIN(ABS(O120),ABS(O121)))</f>
        <v>0</v>
      </c>
      <c r="P123" s="161" t="n">
        <f aca="false">IF(P122*MIN(ABS(P120),ABS(P121))&gt;1,0,P122*MIN(ABS(P120),ABS(P121)))</f>
        <v>0</v>
      </c>
      <c r="Q123" s="161" t="n">
        <f aca="false">IF(Q122*MIN(ABS(Q120),ABS(Q121))&gt;1,0,Q122*MIN(ABS(Q120),ABS(Q121)))</f>
        <v>0</v>
      </c>
      <c r="R123" s="161" t="n">
        <f aca="false">IF(R122*MIN(ABS(R120),ABS(R121))&gt;1,0,R122*MIN(ABS(R120),ABS(R121)))</f>
        <v>0</v>
      </c>
      <c r="S123" s="161" t="n">
        <f aca="false">IF(S122*MIN(ABS(S120),ABS(S121))&gt;1,0,S122*MIN(ABS(S120),ABS(S121)))</f>
        <v>0</v>
      </c>
    </row>
  </sheetData>
  <mergeCells count="9">
    <mergeCell ref="E3:M3"/>
    <mergeCell ref="E4:M4"/>
    <mergeCell ref="F5:F10"/>
    <mergeCell ref="A22:M22"/>
    <mergeCell ref="H29:S29"/>
    <mergeCell ref="A32:C34"/>
    <mergeCell ref="H34:K34"/>
    <mergeCell ref="H38:K38"/>
    <mergeCell ref="H64:H69"/>
  </mergeCells>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39"/>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V49" activeCellId="0" sqref="V49"/>
    </sheetView>
  </sheetViews>
  <sheetFormatPr defaultRowHeight="15.6"/>
  <cols>
    <col collapsed="false" hidden="false" max="1" min="1" style="77" width="47.6259259259259"/>
    <col collapsed="false" hidden="false" max="2" min="2" style="134" width="14.9925925925926"/>
    <col collapsed="false" hidden="false" max="3" min="3" style="134" width="9.8962962962963"/>
    <col collapsed="false" hidden="false" max="4" min="4" style="77" width="12.937037037037"/>
    <col collapsed="false" hidden="false" max="8" min="5" style="77" width="9.8962962962963"/>
    <col collapsed="false" hidden="false" max="9" min="9" style="165" width="9.8962962962963"/>
    <col collapsed="false" hidden="false" max="10" min="10" style="77" width="9.8962962962963"/>
    <col collapsed="false" hidden="false" max="1025" min="11" style="77" width="9.01481481481481"/>
  </cols>
  <sheetData>
    <row r="1" customFormat="false" ht="15.6" hidden="false" customHeight="false" outlineLevel="0" collapsed="false">
      <c r="A1" s="77" t="s">
        <v>345</v>
      </c>
      <c r="B1" s="0"/>
      <c r="C1" s="0"/>
      <c r="D1" s="0"/>
      <c r="E1" s="0"/>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6" hidden="false" customHeight="false" outlineLevel="0" collapsed="false">
      <c r="A2" s="134" t="s">
        <v>346</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6" hidden="false" customHeight="false" outlineLevel="0" collapsed="false">
      <c r="A3" s="153" t="s">
        <v>205</v>
      </c>
      <c r="B3" s="134" t="n">
        <v>25</v>
      </c>
      <c r="C3" s="134" t="s">
        <v>347</v>
      </c>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5.6" hidden="false" customHeight="false" outlineLevel="0" collapsed="false">
      <c r="A4" s="153" t="s">
        <v>211</v>
      </c>
      <c r="B4" s="134" t="n">
        <f aca="false">1770*9.8</f>
        <v>17346</v>
      </c>
      <c r="C4" s="134" t="n">
        <v>17400</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5.6" hidden="false" customHeight="false" outlineLevel="0" collapsed="false">
      <c r="A5" s="153" t="s">
        <v>215</v>
      </c>
      <c r="B5" s="134" t="n">
        <f aca="false">647*1000</f>
        <v>647000</v>
      </c>
      <c r="C5" s="134" t="n">
        <f aca="false">392*1000</f>
        <v>392000</v>
      </c>
      <c r="D5" s="0"/>
      <c r="E5" s="0"/>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5.6" hidden="false" customHeight="false" outlineLevel="0" collapsed="false">
      <c r="A6" s="153" t="s">
        <v>219</v>
      </c>
      <c r="B6" s="134" t="n">
        <v>3</v>
      </c>
      <c r="C6" s="134" t="n">
        <v>3</v>
      </c>
      <c r="D6" s="0"/>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5.6" hidden="false" customHeight="false" outlineLevel="0" collapsed="false">
      <c r="A7" s="153" t="s">
        <v>223</v>
      </c>
      <c r="B7" s="134" t="n">
        <v>0.01</v>
      </c>
      <c r="C7" s="134" t="n">
        <v>0.01</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5.6" hidden="false" customHeight="false" outlineLevel="0" collapsed="false">
      <c r="A8" s="153" t="s">
        <v>227</v>
      </c>
      <c r="B8" s="208" t="n">
        <f aca="false">C4/(B6*B7)</f>
        <v>580000</v>
      </c>
      <c r="C8" s="208" t="n">
        <f aca="false">C4/(C6*C7)</f>
        <v>580000</v>
      </c>
      <c r="D8" s="0"/>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5.6" hidden="false" customHeight="false" outlineLevel="0" collapsed="false">
      <c r="A9" s="153" t="s">
        <v>231</v>
      </c>
      <c r="B9" s="134" t="n">
        <v>25</v>
      </c>
      <c r="C9" s="0"/>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5.6" hidden="false" customHeight="false" outlineLevel="0" collapsed="false">
      <c r="A10" s="153" t="s">
        <v>348</v>
      </c>
      <c r="B10" s="155" t="n">
        <f aca="false">B5*B9^2/4</f>
        <v>101093750</v>
      </c>
      <c r="C10" s="0"/>
      <c r="D10" s="0"/>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5.6" hidden="false" customHeight="false" outlineLevel="0" collapsed="false">
      <c r="A11" s="153" t="s">
        <v>235</v>
      </c>
      <c r="B11" s="155" t="n">
        <f aca="false">B5*B9^2/12</f>
        <v>33697916.6666667</v>
      </c>
      <c r="C11" s="0"/>
      <c r="D11" s="0"/>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5.6" hidden="false" customHeight="false" outlineLevel="0" collapsed="false">
      <c r="A12" s="153" t="s">
        <v>237</v>
      </c>
      <c r="B12" s="155" t="n">
        <f aca="false">B11</f>
        <v>33697916.6666667</v>
      </c>
      <c r="C12" s="0"/>
      <c r="D12" s="0"/>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5.6" hidden="false" customHeight="false" outlineLevel="0" collapsed="false">
      <c r="A13" s="247" t="s">
        <v>349</v>
      </c>
      <c r="B13" s="0"/>
      <c r="C13" s="0"/>
      <c r="D13" s="0"/>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5.6" hidden="false" customHeight="false" outlineLevel="0" collapsed="false">
      <c r="A14" s="214" t="s">
        <v>241</v>
      </c>
      <c r="B14" s="0"/>
      <c r="C14" s="0"/>
      <c r="D14" s="134"/>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5.6" hidden="false" customHeight="false" outlineLevel="0" collapsed="false">
      <c r="A15" s="242" t="s">
        <v>243</v>
      </c>
      <c r="B15" s="134" t="n">
        <v>18</v>
      </c>
      <c r="C15" s="0"/>
      <c r="D15" s="134"/>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5.6" hidden="false" customHeight="false" outlineLevel="0" collapsed="false">
      <c r="A16" s="242" t="s">
        <v>232</v>
      </c>
      <c r="B16" s="134" t="n">
        <v>2500</v>
      </c>
      <c r="C16" s="0"/>
      <c r="D16" s="134"/>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5.6" hidden="false" customHeight="false" outlineLevel="0" collapsed="false">
      <c r="A17" s="153" t="s">
        <v>246</v>
      </c>
      <c r="B17" s="264" t="n">
        <v>200000</v>
      </c>
      <c r="C17" s="264"/>
      <c r="D17" s="264"/>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5.6" hidden="false" customHeight="false" outlineLevel="0" collapsed="false">
      <c r="A18" s="242" t="s">
        <v>248</v>
      </c>
      <c r="B18" s="175" t="n">
        <f aca="false">PI()*B15^2/4*B17/B16</f>
        <v>20357.5203952619</v>
      </c>
      <c r="C18" s="175"/>
      <c r="D18" s="175"/>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s="272" customFormat="true" ht="16.2" hidden="false" customHeight="false" outlineLevel="0" collapsed="false">
      <c r="A19" s="292" t="s">
        <v>251</v>
      </c>
      <c r="B19" s="293" t="n">
        <v>3</v>
      </c>
      <c r="C19" s="293"/>
      <c r="D19" s="293"/>
      <c r="F19" s="293"/>
      <c r="I19" s="294"/>
    </row>
    <row r="20" s="187" customFormat="true" ht="15.6" hidden="false" customHeight="false" outlineLevel="0" collapsed="false">
      <c r="A20" s="221" t="s">
        <v>350</v>
      </c>
      <c r="B20" s="295"/>
      <c r="D20" s="295"/>
      <c r="E20" s="295"/>
      <c r="F20" s="295"/>
      <c r="G20" s="295"/>
    </row>
    <row r="21" customFormat="false" ht="15.6" hidden="false" customHeight="false" outlineLevel="0" collapsed="false">
      <c r="A21" s="221" t="s">
        <v>199</v>
      </c>
      <c r="B21" s="295"/>
      <c r="C21" s="296"/>
      <c r="D21" s="297"/>
      <c r="E21" s="298"/>
      <c r="F21" s="298"/>
      <c r="G21" s="298"/>
      <c r="H21" s="298"/>
      <c r="I21" s="298"/>
      <c r="J21" s="298"/>
      <c r="K21" s="277"/>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5.6" hidden="false" customHeight="false" outlineLevel="0" collapsed="false">
      <c r="A22" s="224" t="s">
        <v>203</v>
      </c>
      <c r="B22" s="295" t="s">
        <v>204</v>
      </c>
      <c r="C22" s="209" t="s">
        <v>206</v>
      </c>
      <c r="D22" s="299" t="s">
        <v>207</v>
      </c>
      <c r="E22" s="261" t="n">
        <f aca="false">B28^3/(3*B24*B35)</f>
        <v>0</v>
      </c>
      <c r="F22" s="77" t="n">
        <v>0</v>
      </c>
      <c r="G22" s="77" t="n">
        <v>0</v>
      </c>
      <c r="H22" s="77" t="n">
        <v>0</v>
      </c>
      <c r="I22" s="202" t="n">
        <f aca="false">E26</f>
        <v>0</v>
      </c>
      <c r="J22" s="77" t="n">
        <v>0</v>
      </c>
      <c r="K22" s="76" t="s">
        <v>208</v>
      </c>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5.6" hidden="false" customHeight="false" outlineLevel="0" collapsed="false">
      <c r="A23" s="224" t="s">
        <v>209</v>
      </c>
      <c r="B23" s="143" t="s">
        <v>351</v>
      </c>
      <c r="C23" s="209" t="s">
        <v>212</v>
      </c>
      <c r="D23" s="300"/>
      <c r="E23" s="77" t="n">
        <v>0</v>
      </c>
      <c r="F23" s="202" t="n">
        <f aca="false">B28^3/(3*B24*B35)</f>
        <v>0</v>
      </c>
      <c r="G23" s="77" t="n">
        <v>0</v>
      </c>
      <c r="H23" s="202" t="n">
        <f aca="false">B28^2/(2*B24*B35)</f>
        <v>0</v>
      </c>
      <c r="I23" s="77" t="n">
        <v>0</v>
      </c>
      <c r="J23" s="77" t="n">
        <v>0</v>
      </c>
      <c r="K23" s="76" t="s">
        <v>213</v>
      </c>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5.6" hidden="false" customHeight="false" outlineLevel="0" collapsed="false">
      <c r="A24" s="153" t="s">
        <v>214</v>
      </c>
      <c r="B24" s="175" t="n">
        <v>200000</v>
      </c>
      <c r="C24" s="209" t="s">
        <v>216</v>
      </c>
      <c r="D24" s="300"/>
      <c r="E24" s="77" t="n">
        <v>0</v>
      </c>
      <c r="F24" s="77" t="n">
        <v>0</v>
      </c>
      <c r="G24" s="202" t="n">
        <f aca="false">B28/(B24*B33)</f>
        <v>0</v>
      </c>
      <c r="H24" s="77" t="n">
        <v>0</v>
      </c>
      <c r="I24" s="77" t="n">
        <v>0</v>
      </c>
      <c r="J24" s="77" t="n">
        <v>0</v>
      </c>
      <c r="K24" s="76" t="s">
        <v>217</v>
      </c>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5.6" hidden="false" customHeight="false" outlineLevel="0" collapsed="false">
      <c r="A25" s="153" t="s">
        <v>218</v>
      </c>
      <c r="B25" s="134" t="n">
        <v>0.29</v>
      </c>
      <c r="C25" s="209" t="s">
        <v>220</v>
      </c>
      <c r="D25" s="300"/>
      <c r="E25" s="274"/>
      <c r="F25" s="202" t="n">
        <f aca="false">H23</f>
        <v>0</v>
      </c>
      <c r="G25" s="77" t="n">
        <v>0</v>
      </c>
      <c r="H25" s="202" t="n">
        <f aca="false">B28/(B24*B35)</f>
        <v>0</v>
      </c>
      <c r="I25" s="77" t="n">
        <v>0</v>
      </c>
      <c r="J25" s="77" t="n">
        <v>0</v>
      </c>
      <c r="K25" s="76" t="s">
        <v>221</v>
      </c>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5.6" hidden="false" customHeight="false" outlineLevel="0" collapsed="false">
      <c r="A26" s="153" t="s">
        <v>222</v>
      </c>
      <c r="B26" s="155" t="n">
        <f aca="false">B24/(2*(1+B25))</f>
        <v>77519.3798449612</v>
      </c>
      <c r="C26" s="209" t="s">
        <v>224</v>
      </c>
      <c r="D26" s="300"/>
      <c r="E26" s="202" t="n">
        <f aca="false">-1*B29^2/(2*B24*B35)</f>
        <v>0</v>
      </c>
      <c r="F26" s="77" t="n">
        <v>0</v>
      </c>
      <c r="G26" s="77" t="n">
        <v>0</v>
      </c>
      <c r="H26" s="77" t="n">
        <v>0</v>
      </c>
      <c r="I26" s="202" t="n">
        <f aca="false">B28/(B24*B35)</f>
        <v>0</v>
      </c>
      <c r="J26" s="77" t="n">
        <v>0</v>
      </c>
      <c r="K26" s="76" t="s">
        <v>225</v>
      </c>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5.6" hidden="false" customHeight="false" outlineLevel="0" collapsed="false">
      <c r="A27" s="226" t="s">
        <v>303</v>
      </c>
      <c r="B27" s="0"/>
      <c r="C27" s="209" t="s">
        <v>228</v>
      </c>
      <c r="D27" s="301"/>
      <c r="E27" s="77" t="n">
        <v>0</v>
      </c>
      <c r="F27" s="77" t="n">
        <v>0</v>
      </c>
      <c r="G27" s="77" t="n">
        <v>0</v>
      </c>
      <c r="H27" s="77" t="n">
        <v>0</v>
      </c>
      <c r="I27" s="77" t="n">
        <v>0</v>
      </c>
      <c r="J27" s="202" t="n">
        <f aca="false">B29/(B26*B36)</f>
        <v>0</v>
      </c>
      <c r="K27" s="76" t="s">
        <v>229</v>
      </c>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5.6" hidden="false" customHeight="false" outlineLevel="0" collapsed="false">
      <c r="A28" s="153" t="s">
        <v>230</v>
      </c>
      <c r="B28" s="208" t="n">
        <f aca="false">ABS('CSs and Loads'!C15)</f>
        <v>0</v>
      </c>
      <c r="C28" s="77"/>
      <c r="D28" s="0"/>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5.6" hidden="false" customHeight="false" outlineLevel="0" collapsed="false">
      <c r="A29" s="153" t="s">
        <v>232</v>
      </c>
      <c r="B29" s="208" t="n">
        <f aca="false">B28</f>
        <v>0</v>
      </c>
      <c r="C29" s="77"/>
      <c r="D29" s="0"/>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5.6" hidden="false" customHeight="false" outlineLevel="0" collapsed="false">
      <c r="A30" s="153" t="s">
        <v>234</v>
      </c>
      <c r="B30" s="134" t="n">
        <v>25</v>
      </c>
      <c r="C30" s="155"/>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5.6" hidden="false" customHeight="false" outlineLevel="0" collapsed="false">
      <c r="A31" s="153" t="s">
        <v>236</v>
      </c>
      <c r="B31" s="302" t="n">
        <v>0.5</v>
      </c>
      <c r="C31" s="77"/>
      <c r="D31" s="0"/>
      <c r="E31" s="0"/>
      <c r="F31" s="0"/>
      <c r="G31" s="0"/>
      <c r="H31" s="217"/>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5.6" hidden="false" customHeight="false" outlineLevel="0" collapsed="false">
      <c r="A32" s="153" t="s">
        <v>304</v>
      </c>
      <c r="B32" s="77"/>
      <c r="C32" s="155"/>
      <c r="D32" s="0"/>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5.6" hidden="false" customHeight="false" outlineLevel="0" collapsed="false">
      <c r="A33" s="153" t="s">
        <v>240</v>
      </c>
      <c r="B33" s="155" t="n">
        <f aca="false">B31*PI()*B30^2/4</f>
        <v>245.436926061703</v>
      </c>
      <c r="C33" s="155"/>
      <c r="D33" s="0"/>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5.6" hidden="false" customHeight="false" outlineLevel="0" collapsed="false">
      <c r="A34" s="153" t="s">
        <v>352</v>
      </c>
      <c r="B34" s="77"/>
      <c r="C34" s="155"/>
      <c r="D34" s="0"/>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5.6" hidden="false" customHeight="false" outlineLevel="0" collapsed="false">
      <c r="A35" s="153" t="s">
        <v>353</v>
      </c>
      <c r="B35" s="155" t="n">
        <f aca="false">B31*PI()*B30^4/64</f>
        <v>9587.37992428526</v>
      </c>
      <c r="C35" s="175"/>
      <c r="D35" s="0"/>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5.6" hidden="false" customHeight="false" outlineLevel="0" collapsed="false">
      <c r="A36" s="153" t="s">
        <v>245</v>
      </c>
      <c r="B36" s="155" t="n">
        <f aca="false">B31*PI()*B30^4/32</f>
        <v>19174.7598485705</v>
      </c>
      <c r="C36" s="0"/>
      <c r="D36" s="0"/>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5.6" hidden="false" customHeight="false" outlineLevel="0" collapsed="false">
      <c r="A37" s="153" t="s">
        <v>247</v>
      </c>
      <c r="B37" s="155" t="n">
        <f aca="false">B35/B33</f>
        <v>39.0625</v>
      </c>
      <c r="C37" s="155"/>
      <c r="D37" s="0"/>
      <c r="E37" s="0"/>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5.6" hidden="false" customHeight="false" outlineLevel="0" collapsed="false">
      <c r="A38" s="153" t="s">
        <v>249</v>
      </c>
      <c r="B38" s="155" t="e">
        <f aca="false">3*B24*B35/B29^3</f>
        <v>#DIV/0!</v>
      </c>
      <c r="C38" s="303"/>
      <c r="D38" s="0"/>
      <c r="E38" s="0"/>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s="272" customFormat="true" ht="16.2" hidden="false" customHeight="false" outlineLevel="0" collapsed="false">
      <c r="A39" s="304" t="s">
        <v>321</v>
      </c>
      <c r="B39" s="305"/>
      <c r="C39" s="305"/>
      <c r="D39" s="305"/>
      <c r="E39" s="305"/>
      <c r="F39" s="305"/>
      <c r="G39" s="305"/>
      <c r="H39" s="305"/>
      <c r="I39" s="305"/>
      <c r="J39" s="305"/>
      <c r="K39" s="306"/>
    </row>
  </sheetData>
  <printOptions headings="false" gridLines="false" gridLinesSet="true" horizontalCentered="false" verticalCentered="false"/>
  <pageMargins left="0.7" right="0.7" top="0.75" bottom="0.75" header="0.511805555555555" footer="0.3"/>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drawing r:id="rId2"/>
  <legacyDrawing r:id="rId3"/>
</worksheet>
</file>

<file path=xl/worksheets/sheet15.xml><?xml version="1.0" encoding="utf-8"?>
<worksheet xmlns="http://schemas.openxmlformats.org/spreadsheetml/2006/main" xmlns:r="http://schemas.openxmlformats.org/officeDocument/2006/relationships">
  <sheetPr filterMode="false">
    <pageSetUpPr fitToPage="false"/>
  </sheetPr>
  <dimension ref="A2:F46"/>
  <sheetViews>
    <sheetView windowProtection="false" showFormulas="false" showGridLines="true" showRowColHeaders="true" showZeros="true" rightToLeft="false" tabSelected="false" showOutlineSymbols="true" defaultGridColor="true" view="normal" topLeftCell="A1" colorId="64" zoomScale="150" zoomScaleNormal="150" zoomScalePageLayoutView="100" workbookViewId="0">
      <selection pane="topLeft" activeCell="D14" activeCellId="0" sqref="D14"/>
    </sheetView>
  </sheetViews>
  <sheetFormatPr defaultRowHeight="15.6"/>
  <cols>
    <col collapsed="false" hidden="false" max="1" min="1" style="0" width="49.3888888888889"/>
    <col collapsed="false" hidden="false" max="2" min="2" style="0" width="9.9962962962963"/>
    <col collapsed="false" hidden="false" max="3" min="3" style="0" width="9.5037037037037"/>
    <col collapsed="false" hidden="false" max="4" min="4" style="0" width="9.8962962962963"/>
    <col collapsed="false" hidden="false" max="5" min="5" style="0" width="17.0518518518519"/>
    <col collapsed="false" hidden="false" max="6" min="6" style="0" width="10.3888888888889"/>
    <col collapsed="false" hidden="false" max="1025" min="7" style="0" width="9.01481481481481"/>
  </cols>
  <sheetData>
    <row r="2" customFormat="false" ht="15.6" hidden="false" customHeight="false" outlineLevel="0" collapsed="false">
      <c r="A2" s="0" t="s">
        <v>354</v>
      </c>
    </row>
    <row r="3" customFormat="false" ht="15.6" hidden="false" customHeight="false" outlineLevel="0" collapsed="false">
      <c r="A3" s="9" t="s">
        <v>355</v>
      </c>
      <c r="B3" s="0" t="s">
        <v>356</v>
      </c>
      <c r="C3" s="0" t="s">
        <v>357</v>
      </c>
      <c r="D3" s="0" t="s">
        <v>358</v>
      </c>
    </row>
    <row r="4" customFormat="false" ht="15.6" hidden="false" customHeight="false" outlineLevel="0" collapsed="false">
      <c r="A4" s="60" t="s">
        <v>359</v>
      </c>
      <c r="B4" s="0" t="s">
        <v>360</v>
      </c>
      <c r="C4" s="0" t="s">
        <v>361</v>
      </c>
      <c r="D4" s="9" t="n">
        <v>250</v>
      </c>
    </row>
    <row r="5" customFormat="false" ht="15.6" hidden="false" customHeight="false" outlineLevel="0" collapsed="false">
      <c r="A5" s="60" t="s">
        <v>362</v>
      </c>
      <c r="B5" s="0" t="s">
        <v>360</v>
      </c>
      <c r="C5" s="0" t="s">
        <v>363</v>
      </c>
      <c r="D5" s="9" t="n">
        <v>12.7</v>
      </c>
    </row>
    <row r="6" customFormat="false" ht="15.6" hidden="false" customHeight="false" outlineLevel="0" collapsed="false">
      <c r="A6" s="60" t="s">
        <v>364</v>
      </c>
      <c r="B6" s="0" t="s">
        <v>365</v>
      </c>
      <c r="C6" s="0" t="s">
        <v>366</v>
      </c>
      <c r="D6" s="307" t="n">
        <f aca="false">PI()*(R_OD^2-(R_OD-2*R_wall)^2)/4</f>
        <v>9467.8491960501</v>
      </c>
    </row>
    <row r="7" customFormat="false" ht="15.6" hidden="false" customHeight="false" outlineLevel="0" collapsed="false">
      <c r="A7" s="60" t="s">
        <v>367</v>
      </c>
      <c r="B7" s="0" t="s">
        <v>368</v>
      </c>
      <c r="C7" s="0" t="s">
        <v>369</v>
      </c>
      <c r="D7" s="308" t="n">
        <f aca="false">PI()*(R_OD^4-(R_OD-2*R_wall)^4)/64</f>
        <v>66834233.8939844</v>
      </c>
    </row>
    <row r="8" customFormat="false" ht="15.6" hidden="false" customHeight="false" outlineLevel="0" collapsed="false">
      <c r="A8" s="60" t="s">
        <v>370</v>
      </c>
      <c r="B8" s="0" t="s">
        <v>368</v>
      </c>
      <c r="C8" s="0" t="s">
        <v>371</v>
      </c>
      <c r="D8" s="308" t="n">
        <f aca="false">PI()*(R_OD^4-(R_OD-2*R_wall)^4)/32</f>
        <v>133668467.787969</v>
      </c>
    </row>
    <row r="9" customFormat="false" ht="15.6" hidden="false" customHeight="false" outlineLevel="0" collapsed="false">
      <c r="A9" s="9" t="s">
        <v>372</v>
      </c>
    </row>
    <row r="10" customFormat="false" ht="15.6" hidden="false" customHeight="false" outlineLevel="0" collapsed="false">
      <c r="A10" s="60" t="s">
        <v>359</v>
      </c>
      <c r="B10" s="0" t="s">
        <v>360</v>
      </c>
      <c r="C10" s="0" t="s">
        <v>373</v>
      </c>
      <c r="D10" s="9" t="n">
        <v>100</v>
      </c>
    </row>
    <row r="11" customFormat="false" ht="15.6" hidden="false" customHeight="false" outlineLevel="0" collapsed="false">
      <c r="A11" s="60" t="s">
        <v>362</v>
      </c>
      <c r="B11" s="0" t="s">
        <v>360</v>
      </c>
      <c r="C11" s="0" t="s">
        <v>374</v>
      </c>
      <c r="D11" s="9" t="n">
        <v>6</v>
      </c>
    </row>
    <row r="12" customFormat="false" ht="15.6" hidden="false" customHeight="false" outlineLevel="0" collapsed="false">
      <c r="A12" s="60" t="s">
        <v>364</v>
      </c>
      <c r="B12" s="0" t="s">
        <v>365</v>
      </c>
      <c r="C12" s="0" t="s">
        <v>375</v>
      </c>
      <c r="D12" s="307" t="n">
        <f aca="false">S_OD^2-(S_OD-2*S_wall)^2</f>
        <v>2256</v>
      </c>
    </row>
    <row r="13" customFormat="false" ht="15.6" hidden="false" customHeight="false" outlineLevel="0" collapsed="false">
      <c r="A13" s="60" t="s">
        <v>376</v>
      </c>
      <c r="B13" s="0" t="s">
        <v>368</v>
      </c>
      <c r="C13" s="0" t="s">
        <v>377</v>
      </c>
      <c r="D13" s="309" t="n">
        <f aca="false">(S_OD^4-(S_OD-2*S_wall)^4)/12</f>
        <v>3335872</v>
      </c>
    </row>
    <row r="14" customFormat="false" ht="15.6" hidden="false" customHeight="false" outlineLevel="0" collapsed="false">
      <c r="A14" s="60" t="s">
        <v>370</v>
      </c>
      <c r="B14" s="0" t="s">
        <v>368</v>
      </c>
      <c r="C14" s="0" t="s">
        <v>378</v>
      </c>
      <c r="D14" s="309" t="n">
        <f aca="false">4*((S_OD-S_wall)^2)^2*S_wall/(4*(S_OD-S_wall))</f>
        <v>4983504</v>
      </c>
      <c r="E14" s="78"/>
    </row>
    <row r="15" customFormat="false" ht="15.6" hidden="false" customHeight="false" outlineLevel="0" collapsed="false">
      <c r="A15" s="9" t="s">
        <v>379</v>
      </c>
      <c r="B15" s="0" t="s">
        <v>360</v>
      </c>
      <c r="C15" s="0" t="s">
        <v>380</v>
      </c>
      <c r="D15" s="78" t="n">
        <v>25</v>
      </c>
    </row>
    <row r="16" customFormat="false" ht="15.6" hidden="false" customHeight="false" outlineLevel="0" collapsed="false">
      <c r="A16" s="60" t="s">
        <v>381</v>
      </c>
      <c r="D16" s="78"/>
    </row>
    <row r="17" customFormat="false" ht="15.6" hidden="false" customHeight="false" outlineLevel="0" collapsed="false">
      <c r="A17" s="60" t="s">
        <v>382</v>
      </c>
      <c r="B17" s="0" t="s">
        <v>360</v>
      </c>
      <c r="C17" s="0" t="s">
        <v>383</v>
      </c>
      <c r="D17" s="78" t="n">
        <f aca="false">S_OD-lgrs</f>
        <v>75</v>
      </c>
      <c r="F17" s="0" t="n">
        <f aca="false">4*S_OD^4*S_wall/(4*(S_OD-S_wall))</f>
        <v>6382978.72340426</v>
      </c>
    </row>
    <row r="18" customFormat="false" ht="15.6" hidden="false" customHeight="false" outlineLevel="0" collapsed="false">
      <c r="A18" s="60" t="s">
        <v>384</v>
      </c>
      <c r="B18" s="0" t="s">
        <v>360</v>
      </c>
      <c r="C18" s="0" t="s">
        <v>385</v>
      </c>
      <c r="D18" s="78" t="n">
        <f aca="false">R_OD+lgrs</f>
        <v>275</v>
      </c>
    </row>
    <row r="19" customFormat="false" ht="15.6" hidden="false" customHeight="false" outlineLevel="0" collapsed="false">
      <c r="A19" s="11" t="s">
        <v>386</v>
      </c>
      <c r="F19" s="0" t="n">
        <f aca="false">S_IP/F17</f>
        <v>0.78074896</v>
      </c>
    </row>
    <row r="20" customFormat="false" ht="15.6" hidden="false" customHeight="false" outlineLevel="0" collapsed="false">
      <c r="A20" s="60" t="s">
        <v>387</v>
      </c>
      <c r="B20" s="310" t="n">
        <f aca="false">R_Area/S_Area</f>
        <v>4.19674166491582</v>
      </c>
    </row>
    <row r="21" customFormat="false" ht="15.6" hidden="false" customHeight="false" outlineLevel="0" collapsed="false">
      <c r="A21" s="60" t="s">
        <v>388</v>
      </c>
      <c r="B21" s="310" t="n">
        <f aca="false">D7/S_I</f>
        <v>20.0350115034343</v>
      </c>
    </row>
    <row r="22" customFormat="false" ht="15.6" hidden="false" customHeight="false" outlineLevel="0" collapsed="false">
      <c r="A22" s="60" t="s">
        <v>389</v>
      </c>
      <c r="B22" s="310" t="n">
        <f aca="false">R_Ip/S_IP</f>
        <v>26.822185311373</v>
      </c>
    </row>
    <row r="23" customFormat="false" ht="15.6" hidden="false" customHeight="false" outlineLevel="0" collapsed="false">
      <c r="A23" s="60" t="s">
        <v>390</v>
      </c>
      <c r="B23" s="78" t="n">
        <f aca="false">D18/lgst</f>
        <v>3.66666666666667</v>
      </c>
    </row>
    <row r="30" customFormat="false" ht="15.6" hidden="false" customHeight="false" outlineLevel="0" collapsed="false">
      <c r="A30" s="60" t="s">
        <v>391</v>
      </c>
    </row>
    <row r="31" customFormat="false" ht="15.6" hidden="false" customHeight="false" outlineLevel="0" collapsed="false">
      <c r="A31" s="0" t="s">
        <v>355</v>
      </c>
      <c r="B31" s="0" t="s">
        <v>356</v>
      </c>
      <c r="C31" s="0" t="s">
        <v>358</v>
      </c>
    </row>
    <row r="32" customFormat="false" ht="15.6" hidden="false" customHeight="false" outlineLevel="0" collapsed="false">
      <c r="A32" s="60" t="s">
        <v>246</v>
      </c>
      <c r="B32" s="0" t="s">
        <v>392</v>
      </c>
      <c r="C32" s="311" t="n">
        <f aca="false">200000/3</f>
        <v>66666.6666666667</v>
      </c>
    </row>
    <row r="33" customFormat="false" ht="15.6" hidden="false" customHeight="false" outlineLevel="0" collapsed="false">
      <c r="A33" s="60" t="s">
        <v>359</v>
      </c>
      <c r="B33" s="0" t="s">
        <v>360</v>
      </c>
      <c r="C33" s="9" t="n">
        <v>500</v>
      </c>
    </row>
    <row r="34" customFormat="false" ht="15.6" hidden="false" customHeight="false" outlineLevel="0" collapsed="false">
      <c r="A34" s="60" t="s">
        <v>362</v>
      </c>
      <c r="B34" s="0" t="s">
        <v>360</v>
      </c>
      <c r="C34" s="9" t="n">
        <v>25</v>
      </c>
    </row>
    <row r="35" customFormat="false" ht="15.6" hidden="false" customHeight="false" outlineLevel="0" collapsed="false">
      <c r="A35" s="60" t="s">
        <v>364</v>
      </c>
      <c r="B35" s="0" t="s">
        <v>365</v>
      </c>
      <c r="C35" s="307" t="n">
        <f aca="false">PI()*(C33^2-(C33-2*C34)^2)/4</f>
        <v>37306.4127613788</v>
      </c>
    </row>
    <row r="36" customFormat="false" ht="15.6" hidden="false" customHeight="false" outlineLevel="0" collapsed="false">
      <c r="A36" s="60" t="s">
        <v>376</v>
      </c>
      <c r="B36" s="0" t="s">
        <v>368</v>
      </c>
      <c r="C36" s="78" t="n">
        <f aca="false">PI()*(C33^4-(C33-2*C34)^4)/64</f>
        <v>1055071985.90774</v>
      </c>
    </row>
    <row r="37" customFormat="false" ht="15.6" hidden="false" customHeight="false" outlineLevel="0" collapsed="false">
      <c r="A37" s="60" t="s">
        <v>370</v>
      </c>
      <c r="B37" s="0" t="s">
        <v>368</v>
      </c>
      <c r="C37" s="78" t="n">
        <f aca="false">PI()*(C33^4-(C33-2*C34)^4)/32</f>
        <v>2110143971.81549</v>
      </c>
    </row>
    <row r="38" customFormat="false" ht="15.6" hidden="false" customHeight="false" outlineLevel="0" collapsed="false">
      <c r="A38" s="60" t="s">
        <v>393</v>
      </c>
      <c r="B38" s="0" t="s">
        <v>360</v>
      </c>
      <c r="C38" s="0" t="n">
        <v>1800</v>
      </c>
    </row>
    <row r="39" customFormat="false" ht="15.6" hidden="false" customHeight="false" outlineLevel="0" collapsed="false">
      <c r="A39" s="60" t="s">
        <v>394</v>
      </c>
      <c r="B39" s="0" t="s">
        <v>360</v>
      </c>
    </row>
    <row r="40" customFormat="false" ht="15.6" hidden="false" customHeight="false" outlineLevel="0" collapsed="false">
      <c r="A40" s="60" t="s">
        <v>395</v>
      </c>
      <c r="B40" s="0" t="s">
        <v>360</v>
      </c>
      <c r="C40" s="0" t="n">
        <v>200</v>
      </c>
      <c r="E40" s="312"/>
    </row>
    <row r="41" customFormat="false" ht="15.6" hidden="false" customHeight="false" outlineLevel="0" collapsed="false">
      <c r="A41" s="60" t="s">
        <v>396</v>
      </c>
      <c r="B41" s="0" t="s">
        <v>360</v>
      </c>
      <c r="C41" s="0" t="n">
        <f aca="false">C40+C39</f>
        <v>200</v>
      </c>
    </row>
    <row r="42" customFormat="false" ht="15.6" hidden="false" customHeight="false" outlineLevel="0" collapsed="false">
      <c r="A42" s="60" t="s">
        <v>397</v>
      </c>
      <c r="B42" s="0" t="s">
        <v>398</v>
      </c>
      <c r="C42" s="309" t="n">
        <f aca="false">(C32/3)*C37*(1/(C40+C39)+1/(C38-C39-C40))</f>
        <v>263767996476.936</v>
      </c>
    </row>
    <row r="43" customFormat="false" ht="15.6" hidden="false" customHeight="false" outlineLevel="0" collapsed="false">
      <c r="A43" s="60" t="s">
        <v>399</v>
      </c>
      <c r="B43" s="0" t="s">
        <v>400</v>
      </c>
      <c r="C43" s="313" t="n">
        <f aca="false">C35*C32*(1/(C40+C39)+1/(C38-C39-C40))</f>
        <v>13989904.785517</v>
      </c>
      <c r="D43" s="0" t="s">
        <v>401</v>
      </c>
    </row>
    <row r="44" customFormat="false" ht="15.6" hidden="false" customHeight="false" outlineLevel="0" collapsed="false">
      <c r="A44" s="60" t="s">
        <v>402</v>
      </c>
      <c r="B44" s="0" t="s">
        <v>400</v>
      </c>
      <c r="C44" s="314" t="n">
        <f aca="false">6*C38*C32*C36/(  (C41-C38)*(C41^3-C38^3+(C38-C41)^3)   )</f>
        <v>274758.329663475</v>
      </c>
      <c r="D44" s="0" t="s">
        <v>403</v>
      </c>
    </row>
    <row r="45" customFormat="false" ht="15.6" hidden="false" customHeight="false" outlineLevel="0" collapsed="false">
      <c r="A45" s="60" t="s">
        <v>404</v>
      </c>
      <c r="B45" s="0" t="s">
        <v>400</v>
      </c>
      <c r="C45" s="314" t="n">
        <f aca="false">C44</f>
        <v>274758.329663475</v>
      </c>
      <c r="D45" s="0" t="s">
        <v>403</v>
      </c>
    </row>
    <row r="46" customFormat="false" ht="15.6" hidden="false" customHeight="false" outlineLevel="0" collapsed="false">
      <c r="A46" s="60" t="s">
        <v>405</v>
      </c>
      <c r="B46" s="0" t="s">
        <v>398</v>
      </c>
      <c r="C46" s="314" t="n">
        <f aca="false">2*C32*C36*C38/(C41^2*(C38-C41))</f>
        <v>3956519947.15404</v>
      </c>
      <c r="D46" s="0" t="s">
        <v>403</v>
      </c>
    </row>
  </sheetData>
  <printOptions headings="false" gridLines="false" gridLinesSet="true" horizontalCentered="false" verticalCentered="false"/>
  <pageMargins left="0.7" right="0.7" top="0.75" bottom="0.75" header="0.511805555555555" footer="0.3"/>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drawing r:id="rId1"/>
</worksheet>
</file>

<file path=xl/worksheets/sheet16.xml><?xml version="1.0" encoding="utf-8"?>
<worksheet xmlns="http://schemas.openxmlformats.org/spreadsheetml/2006/main" xmlns:r="http://schemas.openxmlformats.org/officeDocument/2006/relationships">
  <sheetPr filterMode="false">
    <pageSetUpPr fitToPage="false"/>
  </sheetPr>
  <dimension ref="A2:B2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S27" activeCellId="0" sqref="S27"/>
    </sheetView>
  </sheetViews>
  <sheetFormatPr defaultRowHeight="15.6"/>
  <cols>
    <col collapsed="false" hidden="false" max="1" min="1" style="0" width="16.0703703703704"/>
    <col collapsed="false" hidden="false" max="1025" min="2" style="0" width="9.01481481481481"/>
  </cols>
  <sheetData>
    <row r="2" customFormat="false" ht="15.6" hidden="false" customHeight="false" outlineLevel="0" collapsed="false">
      <c r="A2" s="0" t="s">
        <v>319</v>
      </c>
    </row>
    <row r="3" customFormat="false" ht="15.6" hidden="false" customHeight="false" outlineLevel="0" collapsed="false">
      <c r="A3" s="0" t="s">
        <v>406</v>
      </c>
    </row>
    <row r="4" customFormat="false" ht="15.6" hidden="false" customHeight="false" outlineLevel="0" collapsed="false">
      <c r="A4" s="0" t="s">
        <v>407</v>
      </c>
      <c r="B4" s="0" t="n">
        <v>12</v>
      </c>
    </row>
    <row r="5" customFormat="false" ht="15.6" hidden="false" customHeight="false" outlineLevel="0" collapsed="false">
      <c r="A5" s="0" t="s">
        <v>408</v>
      </c>
      <c r="B5" s="315" t="n">
        <v>200000</v>
      </c>
    </row>
    <row r="6" customFormat="false" ht="15.6" hidden="false" customHeight="false" outlineLevel="0" collapsed="false">
      <c r="A6" s="0" t="s">
        <v>409</v>
      </c>
      <c r="B6" s="0" t="n">
        <v>400</v>
      </c>
    </row>
    <row r="7" customFormat="false" ht="15.6" hidden="false" customHeight="false" outlineLevel="0" collapsed="false">
      <c r="A7" s="0" t="s">
        <v>410</v>
      </c>
      <c r="B7" s="316" t="n">
        <f aca="false">B5*PI()*B4^2/4/B6</f>
        <v>56548.6677646163</v>
      </c>
    </row>
    <row r="9" customFormat="false" ht="15.6" hidden="false" customHeight="false" outlineLevel="0" collapsed="false">
      <c r="A9" s="0" t="s">
        <v>322</v>
      </c>
    </row>
    <row r="10" customFormat="false" ht="15.6" hidden="false" customHeight="false" outlineLevel="0" collapsed="false">
      <c r="A10" s="0" t="s">
        <v>406</v>
      </c>
    </row>
    <row r="11" customFormat="false" ht="15.6" hidden="false" customHeight="false" outlineLevel="0" collapsed="false">
      <c r="A11" s="0" t="s">
        <v>407</v>
      </c>
      <c r="B11" s="0" t="n">
        <v>15</v>
      </c>
    </row>
    <row r="12" customFormat="false" ht="15.6" hidden="false" customHeight="false" outlineLevel="0" collapsed="false">
      <c r="A12" s="0" t="s">
        <v>408</v>
      </c>
      <c r="B12" s="315" t="n">
        <v>200000</v>
      </c>
    </row>
    <row r="13" customFormat="false" ht="15.6" hidden="false" customHeight="false" outlineLevel="0" collapsed="false">
      <c r="A13" s="0" t="s">
        <v>409</v>
      </c>
      <c r="B13" s="0" t="n">
        <v>750</v>
      </c>
    </row>
    <row r="14" customFormat="false" ht="15.6" hidden="false" customHeight="false" outlineLevel="0" collapsed="false">
      <c r="A14" s="0" t="s">
        <v>410</v>
      </c>
      <c r="B14" s="316" t="n">
        <f aca="false">B12*PI()*B11^2/4/B13</f>
        <v>47123.8898038469</v>
      </c>
    </row>
    <row r="16" customFormat="false" ht="15.6" hidden="false" customHeight="false" outlineLevel="0" collapsed="false">
      <c r="A16" s="0" t="s">
        <v>322</v>
      </c>
    </row>
    <row r="17" customFormat="false" ht="15.6" hidden="false" customHeight="false" outlineLevel="0" collapsed="false">
      <c r="A17" s="0" t="s">
        <v>406</v>
      </c>
    </row>
    <row r="18" customFormat="false" ht="15.6" hidden="false" customHeight="false" outlineLevel="0" collapsed="false">
      <c r="A18" s="0" t="s">
        <v>407</v>
      </c>
      <c r="B18" s="0" t="n">
        <v>20</v>
      </c>
    </row>
    <row r="19" customFormat="false" ht="15.6" hidden="false" customHeight="false" outlineLevel="0" collapsed="false">
      <c r="A19" s="0" t="s">
        <v>408</v>
      </c>
      <c r="B19" s="315" t="n">
        <v>200000</v>
      </c>
    </row>
    <row r="20" customFormat="false" ht="15.6" hidden="false" customHeight="false" outlineLevel="0" collapsed="false">
      <c r="A20" s="0" t="s">
        <v>409</v>
      </c>
      <c r="B20" s="0" t="n">
        <v>1500</v>
      </c>
    </row>
    <row r="21" customFormat="false" ht="15.6" hidden="false" customHeight="false" outlineLevel="0" collapsed="false">
      <c r="A21" s="0" t="s">
        <v>410</v>
      </c>
      <c r="B21" s="316" t="n">
        <f aca="false">B19*PI()*B18^2/4/B20</f>
        <v>41887.9020478639</v>
      </c>
    </row>
  </sheetData>
  <printOptions headings="false" gridLines="false" gridLinesSet="true" horizontalCentered="false" verticalCentered="false"/>
  <pageMargins left="0.7" right="0.7" top="0.75" bottom="0.75" header="0.511805555555555" footer="0.3"/>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2:B17"/>
  <sheetViews>
    <sheetView windowProtection="false" showFormulas="false" showGridLines="true" showRowColHeaders="true" showZeros="true" rightToLeft="false" tabSelected="false" showOutlineSymbols="true" defaultGridColor="true" view="normal" topLeftCell="A3" colorId="64" zoomScale="100" zoomScaleNormal="100" zoomScalePageLayoutView="100" workbookViewId="0">
      <selection pane="topLeft" activeCell="B4" activeCellId="0" sqref="B4"/>
    </sheetView>
  </sheetViews>
  <sheetFormatPr defaultRowHeight="15.6"/>
  <cols>
    <col collapsed="false" hidden="false" max="1" min="1" style="0" width="32.437037037037"/>
    <col collapsed="false" hidden="false" max="1025" min="2" style="0" width="11.4666666666667"/>
  </cols>
  <sheetData>
    <row r="2" customFormat="false" ht="15.6" hidden="false" customHeight="false" outlineLevel="0" collapsed="false">
      <c r="A2" s="138"/>
      <c r="B2" s="138"/>
    </row>
    <row r="3" customFormat="false" ht="15.6" hidden="false" customHeight="false" outlineLevel="0" collapsed="false">
      <c r="A3" s="138" t="s">
        <v>411</v>
      </c>
      <c r="B3" s="138"/>
    </row>
    <row r="4" customFormat="false" ht="15.6" hidden="false" customHeight="false" outlineLevel="0" collapsed="false">
      <c r="A4" s="153" t="s">
        <v>412</v>
      </c>
      <c r="B4" s="134" t="n">
        <v>100</v>
      </c>
    </row>
    <row r="5" customFormat="false" ht="15.6" hidden="false" customHeight="false" outlineLevel="0" collapsed="false">
      <c r="A5" s="153" t="s">
        <v>413</v>
      </c>
      <c r="B5" s="134" t="n">
        <v>15</v>
      </c>
    </row>
    <row r="6" customFormat="false" ht="15.6" hidden="false" customHeight="false" outlineLevel="0" collapsed="false">
      <c r="A6" s="153" t="s">
        <v>414</v>
      </c>
      <c r="B6" s="155" t="n">
        <f aca="false">PI()*(B4^4-(B4-2*B5)^4)/64</f>
        <v>3730150.40228576</v>
      </c>
    </row>
    <row r="7" customFormat="false" ht="15.6" hidden="false" customHeight="false" outlineLevel="0" collapsed="false">
      <c r="A7" s="153" t="s">
        <v>245</v>
      </c>
      <c r="B7" s="155" t="n">
        <f aca="false">PI()*(B4^4-(B4-2*B5)^4)/32</f>
        <v>7460300.80457151</v>
      </c>
    </row>
    <row r="8" customFormat="false" ht="15.6" hidden="false" customHeight="false" outlineLevel="0" collapsed="false">
      <c r="A8" s="153" t="s">
        <v>232</v>
      </c>
      <c r="B8" s="208" t="n">
        <f aca="false">'CSs and Loads'!C13</f>
        <v>0</v>
      </c>
    </row>
    <row r="9" customFormat="false" ht="15.6" hidden="false" customHeight="false" outlineLevel="0" collapsed="false">
      <c r="A9" s="153" t="s">
        <v>415</v>
      </c>
      <c r="B9" s="175" t="n">
        <v>70000</v>
      </c>
    </row>
    <row r="10" customFormat="false" ht="15.6" hidden="false" customHeight="false" outlineLevel="0" collapsed="false">
      <c r="A10" s="138" t="s">
        <v>416</v>
      </c>
      <c r="B10" s="134"/>
    </row>
    <row r="11" customFormat="false" ht="15.6" hidden="false" customHeight="false" outlineLevel="0" collapsed="false">
      <c r="A11" s="153" t="s">
        <v>417</v>
      </c>
      <c r="B11" s="175" t="e">
        <f aca="false">B7*B9/B8</f>
        <v>#DIV/0!</v>
      </c>
    </row>
    <row r="12" customFormat="false" ht="15.6" hidden="false" customHeight="false" outlineLevel="0" collapsed="false">
      <c r="A12" s="153" t="s">
        <v>418</v>
      </c>
      <c r="B12" s="175" t="e">
        <f aca="false">2*B9*B6/B8</f>
        <v>#DIV/0!</v>
      </c>
    </row>
    <row r="13" customFormat="false" ht="15.6" hidden="false" customHeight="false" outlineLevel="0" collapsed="false">
      <c r="A13" s="153" t="s">
        <v>419</v>
      </c>
      <c r="B13" s="175" t="e">
        <f aca="false">B16</f>
        <v>#DIV/0!</v>
      </c>
    </row>
    <row r="14" customFormat="false" ht="15.6" hidden="false" customHeight="false" outlineLevel="0" collapsed="false">
      <c r="A14" s="138" t="s">
        <v>420</v>
      </c>
      <c r="B14" s="134"/>
    </row>
    <row r="15" customFormat="false" ht="15.6" hidden="false" customHeight="false" outlineLevel="0" collapsed="false">
      <c r="A15" s="153" t="s">
        <v>421</v>
      </c>
      <c r="B15" s="175" t="e">
        <f aca="false">1/B11</f>
        <v>#DIV/0!</v>
      </c>
    </row>
    <row r="16" customFormat="false" ht="15.6" hidden="false" customHeight="false" outlineLevel="0" collapsed="false">
      <c r="A16" s="153" t="s">
        <v>422</v>
      </c>
      <c r="B16" s="175" t="e">
        <f aca="false">1/B12</f>
        <v>#DIV/0!</v>
      </c>
    </row>
    <row r="17" customFormat="false" ht="15.6" hidden="false" customHeight="false" outlineLevel="0" collapsed="false">
      <c r="A17" s="153" t="s">
        <v>423</v>
      </c>
      <c r="B17" s="175" t="e">
        <f aca="false">1/B13</f>
        <v>#DIV/0!</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N23" activeCellId="0" sqref="N23"/>
    </sheetView>
  </sheetViews>
  <sheetFormatPr defaultRowHeight="15.6"/>
  <cols>
    <col collapsed="false" hidden="false" max="1025" min="1" style="0" width="11.2703703703704"/>
  </cols>
  <sheetData/>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drawing r:id="rId1"/>
</worksheet>
</file>

<file path=xl/worksheets/sheet19.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M38" activeCellId="0" sqref="M38"/>
    </sheetView>
  </sheetViews>
  <sheetFormatPr defaultRowHeight="15.6"/>
  <cols>
    <col collapsed="false" hidden="false" max="1" min="1" style="0" width="19.7962962962963"/>
    <col collapsed="false" hidden="false" max="1025" min="2" style="0" width="11.2703703703704"/>
  </cols>
  <sheetData/>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drawing r:id="rId1"/>
</worksheet>
</file>

<file path=docProps/app.xml><?xml version="1.0" encoding="utf-8"?>
<Properties xmlns="http://schemas.openxmlformats.org/officeDocument/2006/extended-properties" xmlns:vt="http://schemas.openxmlformats.org/officeDocument/2006/docPropsVTypes">
  <Template/>
  <TotalTime>8</TotalTime>
  <Application>LibreOffice/5.1.6.2$Linux_X86_64 LibreOffice_project/10m0$Build-2</Application>
  <Company>MIT</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2015-07-18T14:59:20Z</dcterms:created>
  <dc:creator>Alexander Slocum</dc:creator>
  <dc:description/>
  <cp:keywords>Public</cp:keywords>
  <dc:language>en-US</dc:language>
  <cp:lastModifiedBy/>
  <dcterms:modified xsi:type="dcterms:W3CDTF">2017-03-18T15:39:29Z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CTCode">
    <vt:lpwstr>CP</vt:lpwstr>
  </property>
  <property fmtid="{D5CDD505-2E9C-101B-9397-08002B2CF9AE}" pid="4" name="CORNINGClassification">
    <vt:lpwstr>Public</vt:lpwstr>
  </property>
  <property fmtid="{D5CDD505-2E9C-101B-9397-08002B2CF9AE}" pid="5" name="CORNINGMarkingOption">
    <vt:lpwstr>Automatic</vt:lpwstr>
  </property>
  <property fmtid="{D5CDD505-2E9C-101B-9397-08002B2CF9AE}" pid="6" name="Company">
    <vt:lpwstr>MIT</vt:lpwstr>
  </property>
  <property fmtid="{D5CDD505-2E9C-101B-9397-08002B2CF9AE}" pid="7" name="CorningConfigurationVersion">
    <vt:lpwstr>2.1</vt:lpwstr>
  </property>
  <property fmtid="{D5CDD505-2E9C-101B-9397-08002B2CF9AE}" pid="8" name="CorningFullClassification">
    <vt:lpwstr>Corning Public</vt:lpwstr>
  </property>
  <property fmtid="{D5CDD505-2E9C-101B-9397-08002B2CF9AE}" pid="9" name="DocSecurity">
    <vt:i4>0</vt:i4>
  </property>
  <property fmtid="{D5CDD505-2E9C-101B-9397-08002B2CF9AE}" pid="10" name="HyperlinksChanged">
    <vt:bool>0</vt:bool>
  </property>
  <property fmtid="{D5CDD505-2E9C-101B-9397-08002B2CF9AE}" pid="11" name="LinksUpToDate">
    <vt:bool>0</vt:bool>
  </property>
  <property fmtid="{D5CDD505-2E9C-101B-9397-08002B2CF9AE}" pid="12" name="ScaleCrop">
    <vt:bool>0</vt:bool>
  </property>
  <property fmtid="{D5CDD505-2E9C-101B-9397-08002B2CF9AE}" pid="13" name="ShareDoc">
    <vt:bool>0</vt:bool>
  </property>
  <property fmtid="{D5CDD505-2E9C-101B-9397-08002B2CF9AE}" pid="14" name="TitusGUID">
    <vt:lpwstr>03b4ce78-e233-4ebd-8448-905de74e27da</vt:lpwstr>
  </property>
  <property fmtid="{D5CDD505-2E9C-101B-9397-08002B2CF9AE}" pid="15" name="_AdHocReviewCycleID">
    <vt:i4>-809094886</vt:i4>
  </property>
  <property fmtid="{D5CDD505-2E9C-101B-9397-08002B2CF9AE}" pid="16" name="_AuthorEmail">
    <vt:lpwstr>PerisJP@corning.com</vt:lpwstr>
  </property>
  <property fmtid="{D5CDD505-2E9C-101B-9397-08002B2CF9AE}" pid="17" name="_AuthorEmailDisplayName">
    <vt:lpwstr>Peris, James P</vt:lpwstr>
  </property>
  <property fmtid="{D5CDD505-2E9C-101B-9397-08002B2CF9AE}" pid="18" name="_EmailSubject">
    <vt:lpwstr>Systematic vs. random errors</vt:lpwstr>
  </property>
  <property fmtid="{D5CDD505-2E9C-101B-9397-08002B2CF9AE}" pid="19" name="_NewReviewCycle">
    <vt:lpwstr/>
  </property>
  <property fmtid="{D5CDD505-2E9C-101B-9397-08002B2CF9AE}" pid="20" name="_PreviousAdHocReviewCycleID">
    <vt:i4>1088548797</vt:i4>
  </property>
  <property fmtid="{D5CDD505-2E9C-101B-9397-08002B2CF9AE}" pid="21" name="_ReviewingToolsShownOnce">
    <vt:lpwstr/>
  </property>
</Properties>
</file>