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en\Dropbox (MIT)\Spring 2017\2.77\2-77-ppd\design_spreadsheets\"/>
    </mc:Choice>
  </mc:AlternateContent>
  <bookViews>
    <workbookView xWindow="0" yWindow="0" windowWidth="16380" windowHeight="8190" tabRatio="993" activeTab="1"/>
  </bookViews>
  <sheets>
    <sheet name="structure" sheetId="1" r:id="rId1"/>
    <sheet name="joints and bearings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2" i="2" l="1"/>
  <c r="B88" i="2"/>
  <c r="B133" i="2"/>
  <c r="B129" i="2"/>
  <c r="E103" i="2"/>
  <c r="B121" i="2"/>
  <c r="B123" i="2" s="1"/>
  <c r="B115" i="2"/>
  <c r="B102" i="2"/>
  <c r="E99" i="2"/>
  <c r="B134" i="2" l="1"/>
  <c r="B135" i="2" s="1"/>
  <c r="B130" i="2"/>
  <c r="B131" i="2" s="1"/>
  <c r="E18" i="1"/>
  <c r="B23" i="1"/>
  <c r="B22" i="1"/>
  <c r="B24" i="1" s="1"/>
  <c r="B25" i="1" l="1"/>
  <c r="B40" i="1" s="1"/>
  <c r="B90" i="1"/>
  <c r="B80" i="2"/>
  <c r="B74" i="2"/>
  <c r="B72" i="2"/>
  <c r="E63" i="2"/>
  <c r="B66" i="2"/>
  <c r="B62" i="2"/>
  <c r="B53" i="2"/>
  <c r="B50" i="2"/>
  <c r="B48" i="2"/>
  <c r="B49" i="2" s="1"/>
  <c r="B37" i="2"/>
  <c r="E35" i="2"/>
  <c r="E34" i="2"/>
  <c r="B34" i="2"/>
  <c r="B32" i="2"/>
  <c r="B35" i="2" s="1"/>
  <c r="B36" i="2" s="1"/>
  <c r="B20" i="2"/>
  <c r="B21" i="2" s="1"/>
  <c r="E19" i="2"/>
  <c r="E17" i="2"/>
  <c r="B91" i="1"/>
  <c r="E89" i="1"/>
  <c r="B89" i="1"/>
  <c r="B92" i="1" s="1"/>
  <c r="B75" i="1"/>
  <c r="B74" i="1"/>
  <c r="B68" i="1"/>
  <c r="B67" i="1"/>
  <c r="B61" i="1"/>
  <c r="B60" i="1"/>
  <c r="B50" i="1"/>
  <c r="B41" i="1"/>
  <c r="B39" i="1"/>
  <c r="B27" i="1"/>
  <c r="B26" i="1"/>
  <c r="E20" i="1"/>
  <c r="B8" i="1"/>
  <c r="B7" i="1"/>
  <c r="B6" i="1"/>
  <c r="B9" i="1" s="1"/>
  <c r="E2" i="1"/>
  <c r="E8" i="1" s="1"/>
  <c r="B2" i="1"/>
  <c r="E59" i="1" s="1"/>
  <c r="B82" i="2" l="1"/>
  <c r="B89" i="2"/>
  <c r="B90" i="2" s="1"/>
  <c r="B93" i="2"/>
  <c r="B94" i="2" s="1"/>
  <c r="B33" i="2"/>
  <c r="B78" i="1"/>
  <c r="B80" i="1" s="1"/>
  <c r="E23" i="2"/>
  <c r="E24" i="2" s="1"/>
  <c r="E9" i="1"/>
  <c r="E24" i="1"/>
  <c r="E25" i="1" s="1"/>
  <c r="B51" i="2"/>
  <c r="B52" i="2" s="1"/>
  <c r="B79" i="1" l="1"/>
  <c r="E88" i="1"/>
  <c r="E26" i="1"/>
  <c r="E58" i="1"/>
  <c r="B81" i="1" s="1"/>
  <c r="B10" i="1"/>
  <c r="B11" i="1" s="1"/>
  <c r="B12" i="1" s="1"/>
  <c r="B13" i="1"/>
  <c r="B14" i="1" s="1"/>
  <c r="B15" i="1" s="1"/>
  <c r="E46" i="2"/>
  <c r="E102" i="2" s="1"/>
  <c r="E25" i="2"/>
  <c r="E104" i="2" l="1"/>
  <c r="B103" i="2" s="1"/>
  <c r="B106" i="2"/>
  <c r="B82" i="1"/>
  <c r="B83" i="1" s="1"/>
  <c r="B93" i="1"/>
  <c r="B94" i="1" s="1"/>
  <c r="B95" i="1" s="1"/>
  <c r="B96" i="1"/>
  <c r="B97" i="1" s="1"/>
  <c r="B98" i="1" s="1"/>
  <c r="E47" i="2"/>
  <c r="E48" i="2" s="1"/>
  <c r="B57" i="2" s="1"/>
  <c r="B58" i="2" s="1"/>
  <c r="E67" i="2"/>
  <c r="E68" i="2" s="1"/>
  <c r="E69" i="2" s="1"/>
  <c r="B31" i="1"/>
  <c r="B32" i="1" s="1"/>
  <c r="B33" i="1" s="1"/>
  <c r="B28" i="1"/>
  <c r="B29" i="1" s="1"/>
  <c r="B30" i="1" s="1"/>
  <c r="B51" i="1"/>
  <c r="B52" i="1" s="1"/>
  <c r="B53" i="1" s="1"/>
  <c r="B42" i="1"/>
  <c r="E36" i="2"/>
  <c r="E37" i="2" s="1"/>
  <c r="E38" i="2" s="1"/>
  <c r="B22" i="2"/>
  <c r="B23" i="2" s="1"/>
  <c r="B124" i="2" l="1"/>
  <c r="B109" i="2"/>
  <c r="B110" i="2" s="1"/>
  <c r="B107" i="2"/>
  <c r="B108" i="2" s="1"/>
  <c r="B116" i="2"/>
  <c r="B117" i="2" s="1"/>
  <c r="B104" i="2"/>
  <c r="B105" i="2" s="1"/>
  <c r="B43" i="1"/>
  <c r="B44" i="1" s="1"/>
  <c r="B54" i="2"/>
  <c r="B55" i="2" s="1"/>
  <c r="B56" i="2" s="1"/>
  <c r="B67" i="2"/>
  <c r="B83" i="2"/>
  <c r="B41" i="2"/>
  <c r="B42" i="2" s="1"/>
  <c r="B38" i="2"/>
  <c r="B39" i="2" s="1"/>
  <c r="B40" i="2" s="1"/>
  <c r="B68" i="2" l="1"/>
  <c r="B69" i="2" s="1"/>
  <c r="B75" i="2"/>
  <c r="B76" i="2" s="1"/>
</calcChain>
</file>

<file path=xl/sharedStrings.xml><?xml version="1.0" encoding="utf-8"?>
<sst xmlns="http://schemas.openxmlformats.org/spreadsheetml/2006/main" count="313" uniqueCount="173">
  <si>
    <t>Desktop - simply supported</t>
  </si>
  <si>
    <t>Material: baltic birch plywood</t>
  </si>
  <si>
    <t>span length (mm)</t>
  </si>
  <si>
    <t>mass density (kg/mm^3)</t>
  </si>
  <si>
    <t>thickness (mm) -- z</t>
  </si>
  <si>
    <t>shear strength plywood (MPa)</t>
  </si>
  <si>
    <t>http://www.matweb.com/search/DataSheet.aspx?MatGUID=bd6620450973496ea2578c283e9fb807</t>
  </si>
  <si>
    <t>depth (mm) -- y</t>
  </si>
  <si>
    <t>tensile strength plywood (MPa)</t>
  </si>
  <si>
    <t>http://www.matweb.com/search/DataSheet.aspx?MatGUID=216748b4202446868305405c8cfe51a3</t>
  </si>
  <si>
    <t>width (mm) -- x</t>
  </si>
  <si>
    <t>area (mm^2)</t>
  </si>
  <si>
    <t>Loading: center of desktop</t>
  </si>
  <si>
    <t>I_thickness bending (mm^4)</t>
  </si>
  <si>
    <t>design live load (N)</t>
  </si>
  <si>
    <t>distance to extreme fiber (mm)</t>
  </si>
  <si>
    <t>dead load (N)</t>
  </si>
  <si>
    <t>Technically distributed, but concentrated load is conservative</t>
  </si>
  <si>
    <t>first moment of area (mm^3)</t>
  </si>
  <si>
    <t>max bending moment (Nmm)</t>
  </si>
  <si>
    <t>total central load (N)</t>
  </si>
  <si>
    <t>max bending stress (Mpa)</t>
  </si>
  <si>
    <t>Tensile Safety Factor</t>
  </si>
  <si>
    <t>max shear force (N)</t>
  </si>
  <si>
    <t>max shear stress (Mpa)</t>
  </si>
  <si>
    <t>Shear Safety Factor</t>
  </si>
  <si>
    <t>Bracket -- cantilever leg + flange leg</t>
  </si>
  <si>
    <t>Material: Mild Steel</t>
  </si>
  <si>
    <t>cantilever leg – bending</t>
  </si>
  <si>
    <t>http://www.matweb.com/search/DataSheet.aspx?MatGUID=afc003f4fb40465fa3df05129f0e88e6</t>
  </si>
  <si>
    <t>cantilever length (mm)</t>
  </si>
  <si>
    <t>tensile yield strength (Mpa)</t>
  </si>
  <si>
    <t>thickness (mm)</t>
  </si>
  <si>
    <t>shear yield strength (Mpa)</t>
  </si>
  <si>
    <t>https://en.wikipedia.org/wiki/Shear_strength</t>
  </si>
  <si>
    <t>width (mm)</t>
  </si>
  <si>
    <t>Loading: center of desktop, at edge</t>
  </si>
  <si>
    <t>Technically distributed, but concentrated load is at edge conservative</t>
  </si>
  <si>
    <t>load per bracket (N)</t>
  </si>
  <si>
    <t>desktop depth (mm)</t>
  </si>
  <si>
    <t>cantilever leg – torsion</t>
  </si>
  <si>
    <t>max torque per bracket (Nmm)</t>
  </si>
  <si>
    <t>max torsional stress (Mpa)</t>
  </si>
  <si>
    <t>Torsion Safety Factor</t>
  </si>
  <si>
    <t>flange leg – axial loading</t>
  </si>
  <si>
    <t>length under tension (mm)</t>
  </si>
  <si>
    <t>max axial load (N)</t>
  </si>
  <si>
    <t>max tensile stress (Mpa)</t>
  </si>
  <si>
    <t>Safety Factor</t>
  </si>
  <si>
    <t>Columns - cantilever</t>
  </si>
  <si>
    <t>Material: Solid European Birch</t>
  </si>
  <si>
    <t>backplate</t>
  </si>
  <si>
    <t>shear strength birch (MPa)</t>
  </si>
  <si>
    <t>thickness (mm) x</t>
  </si>
  <si>
    <t>tensile strength birch (MPa)</t>
  </si>
  <si>
    <t>vertical load (N)</t>
  </si>
  <si>
    <t>worst-case where load concentrated at edge</t>
  </si>
  <si>
    <t>height (mm) -- z</t>
  </si>
  <si>
    <t>offset from column (mm)</t>
  </si>
  <si>
    <t>I_depth bending (mm^4)</t>
  </si>
  <si>
    <t>spacers</t>
  </si>
  <si>
    <t>area_total (mm^2)</t>
  </si>
  <si>
    <t>I_depth bending_both (mm^4)</t>
  </si>
  <si>
    <t>keepers</t>
  </si>
  <si>
    <t>overall</t>
  </si>
  <si>
    <t>centroid distance from backplate (mm)</t>
  </si>
  <si>
    <t>max bending stress (MPa)</t>
  </si>
  <si>
    <t>Feet -- cantilever</t>
  </si>
  <si>
    <t>length (mm)</t>
  </si>
  <si>
    <t>thickness (mm) -- x</t>
  </si>
  <si>
    <t>tip load (N)</t>
  </si>
  <si>
    <t>tip offset (mm)</t>
  </si>
  <si>
    <t>I_height bending_both (mm^4)</t>
  </si>
  <si>
    <t>conservatively assume load at extreme corner, therefore felt entirely by one foot</t>
  </si>
  <si>
    <t>desktop to bracket</t>
  </si>
  <si>
    <t>bracket to slider</t>
  </si>
  <si>
    <t>bolt hole bearing stress</t>
  </si>
  <si>
    <t>worst-case where lateral friction in joint is completely relieved</t>
  </si>
  <si>
    <t>bolt diameter (mm)</t>
  </si>
  <si>
    <t>flange thickness (mm)</t>
  </si>
  <si>
    <t>number of bolts</t>
  </si>
  <si>
    <t>bearing area per bolt (mm^2)</t>
  </si>
  <si>
    <t>total bearing area (mm^2)</t>
  </si>
  <si>
    <t>bearing stress (Mpa)</t>
  </si>
  <si>
    <t>slider in boxway</t>
  </si>
  <si>
    <t>theta_y – slider prying keeper rail</t>
  </si>
  <si>
    <t>conservatively assume load concentrated at tip of keeper rail</t>
  </si>
  <si>
    <t>slider length (mm)</t>
  </si>
  <si>
    <t>keeper rail thickness (mm)</t>
  </si>
  <si>
    <t>keeper rail overhang (mm)</t>
  </si>
  <si>
    <t>compressive yield strength (Mpa)</t>
  </si>
  <si>
    <t>contact patch length (mm) – extreme thirds of slider</t>
  </si>
  <si>
    <t>contact patch area (mm^2)</t>
  </si>
  <si>
    <t>Loading: cantilever tip of bracket</t>
  </si>
  <si>
    <t>contact patch separation (mm)</t>
  </si>
  <si>
    <t>slider thickness – x (mm)</t>
  </si>
  <si>
    <t>effective cantilever width (mm)</t>
  </si>
  <si>
    <t>bracket cantilevered length (mm)</t>
  </si>
  <si>
    <t>I_effective, keeper rail (mm^4)</t>
  </si>
  <si>
    <t>moment about centroid of slider (Nmm)</t>
  </si>
  <si>
    <t>reaction force at contact patch (N)</t>
  </si>
  <si>
    <t>Bending Safety Factor</t>
  </si>
  <si>
    <t>Crush Safety Factor</t>
  </si>
  <si>
    <t>theta x – sider prying spacer rail</t>
  </si>
  <si>
    <t>Loading: point load at front edge of desktop</t>
  </si>
  <si>
    <t>desktop depth – y (mm)</t>
  </si>
  <si>
    <t>spacer rail height (mm)</t>
  </si>
  <si>
    <t>spacer rail thickness (mm)</t>
  </si>
  <si>
    <t>I_effective, spacer rail (mm^4)</t>
  </si>
  <si>
    <t>column to foot</t>
  </si>
  <si>
    <t>fulcrum offset from bolt (mm)</t>
  </si>
  <si>
    <t>bolt engagement length (mm)</t>
  </si>
  <si>
    <t>shear load to be carried by rear bolts (N)</t>
  </si>
  <si>
    <t>shear load per bolt (N)</t>
  </si>
  <si>
    <t>shear area per bolt (mm^2)</t>
  </si>
  <si>
    <t>Bolt: ISO Class 12.9  SHCS</t>
  </si>
  <si>
    <t>Approximate shear strength (Mpa)</t>
  </si>
  <si>
    <t>Proof load (Mpa)</t>
  </si>
  <si>
    <t>Von Mises</t>
  </si>
  <si>
    <t>effective contact patch length (mm)</t>
  </si>
  <si>
    <t>effective contact patch area (mm^2)</t>
  </si>
  <si>
    <t>bearing stress over contact patch (Mpa)</t>
  </si>
  <si>
    <t>halve engagement length, considering use of threaded insert</t>
  </si>
  <si>
    <t>bolts in shear -- worst case where friction completely relieved</t>
  </si>
  <si>
    <t>bolt hole radial crush -- worst case where friction completely relieved</t>
  </si>
  <si>
    <t>bolt torque (Nmm)</t>
  </si>
  <si>
    <t>clamping force per bolt (N)</t>
  </si>
  <si>
    <t>Bolt frictional characteristics</t>
  </si>
  <si>
    <t>coefficient of friction -- wood-to-wood</t>
  </si>
  <si>
    <t>conservatively, actual range 0.2-0.6</t>
  </si>
  <si>
    <t>frictional limit from clamping (N)</t>
  </si>
  <si>
    <t>2 Nm, lightly nipped down</t>
  </si>
  <si>
    <t>Safety Factor until friction fully relieved</t>
  </si>
  <si>
    <t>joint friction from clamping -- how far until above 2 cases become relevant</t>
  </si>
  <si>
    <t>Axial Safety Factor</t>
  </si>
  <si>
    <t>fixed leadscrew block to boxway</t>
  </si>
  <si>
    <t>skin thickness (mm)</t>
  </si>
  <si>
    <t>spacer thickness (mm)</t>
  </si>
  <si>
    <t>I_width_bending (mm^4)</t>
  </si>
  <si>
    <t>I_polar (mm^4)</t>
  </si>
  <si>
    <t>Material: continuous glass fiber in nylon</t>
  </si>
  <si>
    <t>average values provided by markforged</t>
  </si>
  <si>
    <t>tensile strength (Mpa)</t>
  </si>
  <si>
    <t>coefficient of friction - steel on steel, lubricated</t>
  </si>
  <si>
    <t>Loading on block: load per leadscrew, concentrated on one side</t>
  </si>
  <si>
    <t>offset of edge from load (mm)</t>
  </si>
  <si>
    <t>cross-sectional area per bolt (mm^2)</t>
  </si>
  <si>
    <t>tensile load per bolt (N)</t>
  </si>
  <si>
    <t>moment between fulcrum and bolts (Nmm)</t>
  </si>
  <si>
    <t>max tensile stress in bolt (Mpa)</t>
  </si>
  <si>
    <t>Safety Factor Until Bolt Breaks</t>
  </si>
  <si>
    <t>bolts pullout -- worst case where preload completely relieved</t>
  </si>
  <si>
    <t>max shear stress in bolt (Mpa)</t>
  </si>
  <si>
    <t>Safety Factor Until Bolt Shears</t>
  </si>
  <si>
    <t>bolt minor diameter (mm)</t>
  </si>
  <si>
    <t>joint preload -- how far until above 2 cases become relevant</t>
  </si>
  <si>
    <t>coefficient of friction -- aluminum-to-wood</t>
  </si>
  <si>
    <t>sex bolt head diameter (mm)</t>
  </si>
  <si>
    <t>sex bolt clearance hole diameter (mm)</t>
  </si>
  <si>
    <t>sex bolt bearing area (mm^2)</t>
  </si>
  <si>
    <t>5/16"</t>
  </si>
  <si>
    <t>Safety Factor until wood locally crushed</t>
  </si>
  <si>
    <t>bolt pull-through from preload</t>
  </si>
  <si>
    <t>Safety Factor until bolt pulls through</t>
  </si>
  <si>
    <t>boxway baseplate thickness (mm)</t>
  </si>
  <si>
    <t>shear area (mm^2)</t>
  </si>
  <si>
    <t>bolt hole radial crush -- worst case where clamping completely relieved</t>
  </si>
  <si>
    <t>max shear stress in wood below bolt (Mpa)</t>
  </si>
  <si>
    <t>shear stress in wood below bolt (Mpa)</t>
  </si>
  <si>
    <t>flat head bolt head diameter (mm)</t>
  </si>
  <si>
    <t>flat head bolt clearance hole diameter (mm)</t>
  </si>
  <si>
    <t>flat head bolt bearing area (mm^2)</t>
  </si>
  <si>
    <t>feet thickness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</si>
</sst>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3333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 indent="2"/>
    </xf>
    <xf numFmtId="164" fontId="0" fillId="0" borderId="0" xfId="0" applyNumberFormat="1"/>
    <xf numFmtId="0" fontId="2" fillId="0" borderId="0" xfId="1" applyFont="1" applyBorder="1" applyAlignment="1" applyProtection="1"/>
    <xf numFmtId="0" fontId="3" fillId="0" borderId="0" xfId="0" applyFont="1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indent="2"/>
    </xf>
    <xf numFmtId="0" fontId="5" fillId="0" borderId="0" xfId="0" applyFont="1"/>
    <xf numFmtId="0" fontId="6" fillId="0" borderId="0" xfId="0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2" fontId="3" fillId="0" borderId="0" xfId="0" applyNumberFormat="1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0" fillId="0" borderId="0" xfId="0" applyFont="1" applyAlignment="1">
      <alignment horizontal="left" indent="1"/>
    </xf>
    <xf numFmtId="0" fontId="10" fillId="0" borderId="0" xfId="0" applyFont="1"/>
    <xf numFmtId="0" fontId="10" fillId="0" borderId="0" xfId="0" applyFont="1" applyAlignment="1">
      <alignment horizontal="left" indent="2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quotePrefix="1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/>
    <xf numFmtId="0" fontId="1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bd6620450973496ea2578c283e9fb807" TargetMode="External"/><Relationship Id="rId6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hyperlink" Target="http://www.matweb.com/search/DataSheet.aspx?MatGUID=216748b4202446868305405c8cfe51a3" TargetMode="External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opLeftCell="A73" zoomScaleNormal="100" workbookViewId="0">
      <selection activeCell="D29" sqref="D29"/>
    </sheetView>
  </sheetViews>
  <sheetFormatPr defaultRowHeight="15" x14ac:dyDescent="0.25"/>
  <cols>
    <col min="1" max="1" width="41.28515625"/>
    <col min="2" max="2" width="10.5703125"/>
    <col min="3" max="3" width="16.42578125"/>
    <col min="4" max="4" width="32.7109375"/>
    <col min="5" max="5" width="12.7109375"/>
    <col min="6" max="1025" width="8.5703125"/>
  </cols>
  <sheetData>
    <row r="1" spans="1:6" x14ac:dyDescent="0.25">
      <c r="A1" s="1" t="s">
        <v>0</v>
      </c>
      <c r="D1" s="1" t="s">
        <v>1</v>
      </c>
    </row>
    <row r="2" spans="1:6" x14ac:dyDescent="0.25">
      <c r="A2" s="14" t="s">
        <v>2</v>
      </c>
      <c r="B2">
        <f>750</f>
        <v>750</v>
      </c>
      <c r="D2" s="14" t="s">
        <v>3</v>
      </c>
      <c r="E2" s="3">
        <f>680/1000^3</f>
        <v>6.7999999999999995E-7</v>
      </c>
    </row>
    <row r="3" spans="1:6" x14ac:dyDescent="0.25">
      <c r="A3" s="14" t="s">
        <v>4</v>
      </c>
      <c r="B3">
        <v>18</v>
      </c>
      <c r="D3" s="14" t="s">
        <v>5</v>
      </c>
      <c r="E3">
        <v>1.9</v>
      </c>
      <c r="F3" s="4" t="s">
        <v>6</v>
      </c>
    </row>
    <row r="4" spans="1:6" x14ac:dyDescent="0.25">
      <c r="A4" s="14" t="s">
        <v>7</v>
      </c>
      <c r="B4">
        <v>500</v>
      </c>
      <c r="D4" s="14" t="s">
        <v>8</v>
      </c>
      <c r="E4">
        <v>30</v>
      </c>
      <c r="F4" s="4" t="s">
        <v>9</v>
      </c>
    </row>
    <row r="5" spans="1:6" x14ac:dyDescent="0.25">
      <c r="A5" s="14" t="s">
        <v>10</v>
      </c>
      <c r="B5">
        <v>750</v>
      </c>
    </row>
    <row r="6" spans="1:6" x14ac:dyDescent="0.25">
      <c r="A6" s="14" t="s">
        <v>11</v>
      </c>
      <c r="B6">
        <f>structure!B4*structure!B3</f>
        <v>9000</v>
      </c>
      <c r="D6" s="1" t="s">
        <v>12</v>
      </c>
    </row>
    <row r="7" spans="1:6" x14ac:dyDescent="0.25">
      <c r="A7" s="14" t="s">
        <v>13</v>
      </c>
      <c r="B7">
        <f>structure!B4*structure!B3^3/12</f>
        <v>243000</v>
      </c>
      <c r="D7" s="14" t="s">
        <v>14</v>
      </c>
      <c r="E7">
        <v>197</v>
      </c>
    </row>
    <row r="8" spans="1:6" x14ac:dyDescent="0.25">
      <c r="A8" s="14" t="s">
        <v>15</v>
      </c>
      <c r="B8">
        <f>structure!B3/2</f>
        <v>9</v>
      </c>
      <c r="D8" s="14" t="s">
        <v>16</v>
      </c>
      <c r="E8">
        <f>structure!E2*structure!B3*structure!B4*structure!B5*9.81</f>
        <v>45.027900000000002</v>
      </c>
      <c r="F8" t="s">
        <v>17</v>
      </c>
    </row>
    <row r="9" spans="1:6" x14ac:dyDescent="0.25">
      <c r="A9" s="14" t="s">
        <v>18</v>
      </c>
      <c r="B9">
        <f>B6/2*B3/4</f>
        <v>20250</v>
      </c>
      <c r="D9" s="14" t="s">
        <v>20</v>
      </c>
      <c r="E9">
        <f>structure!E7+structure!E8</f>
        <v>242.02789999999999</v>
      </c>
    </row>
    <row r="10" spans="1:6" x14ac:dyDescent="0.25">
      <c r="A10" s="14" t="s">
        <v>19</v>
      </c>
      <c r="B10">
        <f>structure!E9*structure!B2/4</f>
        <v>45380.231249999997</v>
      </c>
    </row>
    <row r="11" spans="1:6" x14ac:dyDescent="0.25">
      <c r="A11" s="14" t="s">
        <v>21</v>
      </c>
      <c r="B11">
        <f>structure!B10*structure!B8/structure!B7</f>
        <v>1.6807493055555556</v>
      </c>
    </row>
    <row r="12" spans="1:6" x14ac:dyDescent="0.25">
      <c r="A12" s="24" t="s">
        <v>22</v>
      </c>
      <c r="B12" s="6">
        <f>structure!E4/structure!B11</f>
        <v>17.849181850522193</v>
      </c>
    </row>
    <row r="13" spans="1:6" x14ac:dyDescent="0.25">
      <c r="A13" s="25" t="s">
        <v>23</v>
      </c>
      <c r="B13" s="7">
        <f>structure!E9/2</f>
        <v>121.01394999999999</v>
      </c>
    </row>
    <row r="14" spans="1:6" x14ac:dyDescent="0.25">
      <c r="A14" s="25" t="s">
        <v>24</v>
      </c>
      <c r="B14" s="7">
        <f>structure!B13*structure!B9/(structure!B7*structure!B4)</f>
        <v>2.0168991666666664E-2</v>
      </c>
    </row>
    <row r="15" spans="1:6" x14ac:dyDescent="0.25">
      <c r="A15" s="15" t="s">
        <v>25</v>
      </c>
      <c r="B15" s="9">
        <f>structure!E3/structure!B14</f>
        <v>94.204015322200462</v>
      </c>
    </row>
    <row r="17" spans="1:6" x14ac:dyDescent="0.25">
      <c r="A17" s="1" t="s">
        <v>26</v>
      </c>
      <c r="D17" s="1" t="s">
        <v>140</v>
      </c>
      <c r="E17" t="s">
        <v>141</v>
      </c>
    </row>
    <row r="18" spans="1:6" x14ac:dyDescent="0.25">
      <c r="A18" s="10" t="s">
        <v>28</v>
      </c>
      <c r="D18" s="14" t="s">
        <v>3</v>
      </c>
      <c r="E18">
        <f>(1.6/1000)/10^3</f>
        <v>1.6000000000000001E-6</v>
      </c>
      <c r="F18" t="s">
        <v>29</v>
      </c>
    </row>
    <row r="19" spans="1:6" x14ac:dyDescent="0.25">
      <c r="A19" s="14" t="s">
        <v>30</v>
      </c>
      <c r="B19">
        <v>25</v>
      </c>
      <c r="D19" s="14" t="s">
        <v>142</v>
      </c>
      <c r="E19">
        <v>590</v>
      </c>
      <c r="F19" t="s">
        <v>29</v>
      </c>
    </row>
    <row r="20" spans="1:6" x14ac:dyDescent="0.25">
      <c r="A20" s="14" t="s">
        <v>136</v>
      </c>
      <c r="B20">
        <v>3</v>
      </c>
      <c r="D20" s="14" t="s">
        <v>33</v>
      </c>
      <c r="E20">
        <f>0.58*structure!E19</f>
        <v>342.2</v>
      </c>
      <c r="F20" t="s">
        <v>34</v>
      </c>
    </row>
    <row r="21" spans="1:6" x14ac:dyDescent="0.25">
      <c r="A21" s="14" t="s">
        <v>35</v>
      </c>
      <c r="B21">
        <v>45</v>
      </c>
    </row>
    <row r="22" spans="1:6" x14ac:dyDescent="0.25">
      <c r="A22" s="14" t="s">
        <v>137</v>
      </c>
      <c r="B22">
        <f>B3-2*B20</f>
        <v>12</v>
      </c>
      <c r="D22" s="1" t="s">
        <v>36</v>
      </c>
    </row>
    <row r="23" spans="1:6" x14ac:dyDescent="0.25">
      <c r="A23" s="14" t="s">
        <v>11</v>
      </c>
      <c r="B23">
        <f>2*B20*B21</f>
        <v>270</v>
      </c>
      <c r="D23" s="14" t="s">
        <v>14</v>
      </c>
      <c r="E23">
        <v>197</v>
      </c>
    </row>
    <row r="24" spans="1:6" x14ac:dyDescent="0.25">
      <c r="A24" s="14" t="s">
        <v>13</v>
      </c>
      <c r="B24" s="11">
        <f>(B21*(B22+2*B20)^3-B21*B22^3)/12</f>
        <v>15390</v>
      </c>
      <c r="D24" s="14" t="s">
        <v>16</v>
      </c>
      <c r="E24">
        <f>structure!E8</f>
        <v>45.027900000000002</v>
      </c>
      <c r="F24" t="s">
        <v>37</v>
      </c>
    </row>
    <row r="25" spans="1:6" x14ac:dyDescent="0.25">
      <c r="A25" s="14" t="s">
        <v>138</v>
      </c>
      <c r="B25" s="11">
        <f>((B22+2*B20)*B21^3-B22*B21^3)/12</f>
        <v>45562.5</v>
      </c>
      <c r="D25" s="14" t="s">
        <v>20</v>
      </c>
      <c r="E25">
        <f>structure!E23+structure!E24</f>
        <v>242.02789999999999</v>
      </c>
    </row>
    <row r="26" spans="1:6" x14ac:dyDescent="0.25">
      <c r="A26" s="14" t="s">
        <v>15</v>
      </c>
      <c r="B26">
        <f>structure!B20/2</f>
        <v>1.5</v>
      </c>
      <c r="D26" s="14" t="s">
        <v>38</v>
      </c>
      <c r="E26">
        <f>structure!E25/2</f>
        <v>121.01394999999999</v>
      </c>
    </row>
    <row r="27" spans="1:6" x14ac:dyDescent="0.25">
      <c r="A27" s="14" t="s">
        <v>18</v>
      </c>
      <c r="B27">
        <f>(structure!B20/2*structure!B21)*structure!B20/4</f>
        <v>50.625</v>
      </c>
      <c r="D27" s="20" t="s">
        <v>39</v>
      </c>
      <c r="E27">
        <v>500</v>
      </c>
    </row>
    <row r="28" spans="1:6" x14ac:dyDescent="0.25">
      <c r="A28" s="14" t="s">
        <v>19</v>
      </c>
      <c r="B28">
        <f>structure!E26*structure!B19</f>
        <v>3025.3487499999997</v>
      </c>
    </row>
    <row r="29" spans="1:6" x14ac:dyDescent="0.25">
      <c r="A29" s="14" t="s">
        <v>21</v>
      </c>
      <c r="B29">
        <f>structure!B28*structure!B26/structure!B24</f>
        <v>0.29486829922027291</v>
      </c>
    </row>
    <row r="30" spans="1:6" x14ac:dyDescent="0.25">
      <c r="A30" s="24" t="s">
        <v>22</v>
      </c>
      <c r="B30" s="6">
        <f>structure!E19/structure!B29</f>
        <v>2000.8932854435377</v>
      </c>
    </row>
    <row r="31" spans="1:6" x14ac:dyDescent="0.25">
      <c r="A31" s="14" t="s">
        <v>23</v>
      </c>
      <c r="B31">
        <f>structure!E26</f>
        <v>121.01394999999999</v>
      </c>
    </row>
    <row r="32" spans="1:6" x14ac:dyDescent="0.25">
      <c r="A32" s="14" t="s">
        <v>24</v>
      </c>
      <c r="B32">
        <f>structure!B31*structure!B27/(structure!B24*structure!B21)</f>
        <v>8.8460489766081871E-3</v>
      </c>
    </row>
    <row r="33" spans="1:2" x14ac:dyDescent="0.25">
      <c r="A33" s="15" t="s">
        <v>25</v>
      </c>
      <c r="B33" s="9">
        <f>structure!E20/structure!B32</f>
        <v>38683.936851908395</v>
      </c>
    </row>
    <row r="35" spans="1:2" x14ac:dyDescent="0.25">
      <c r="A35" s="10" t="s">
        <v>40</v>
      </c>
    </row>
    <row r="36" spans="1:2" x14ac:dyDescent="0.25">
      <c r="A36" s="14" t="s">
        <v>30</v>
      </c>
      <c r="B36">
        <v>25</v>
      </c>
    </row>
    <row r="37" spans="1:2" x14ac:dyDescent="0.25">
      <c r="A37" s="14" t="s">
        <v>32</v>
      </c>
      <c r="B37">
        <v>2.67</v>
      </c>
    </row>
    <row r="38" spans="1:2" x14ac:dyDescent="0.25">
      <c r="A38" s="14" t="s">
        <v>35</v>
      </c>
      <c r="B38">
        <v>50</v>
      </c>
    </row>
    <row r="39" spans="1:2" x14ac:dyDescent="0.25">
      <c r="A39" s="14" t="s">
        <v>11</v>
      </c>
      <c r="B39">
        <f>structure!B37*structure!B38</f>
        <v>133.5</v>
      </c>
    </row>
    <row r="40" spans="1:2" x14ac:dyDescent="0.25">
      <c r="A40" s="14" t="s">
        <v>139</v>
      </c>
      <c r="B40" s="11">
        <f>B24+B25</f>
        <v>60952.5</v>
      </c>
    </row>
    <row r="41" spans="1:2" x14ac:dyDescent="0.25">
      <c r="A41" s="14" t="s">
        <v>15</v>
      </c>
      <c r="B41">
        <f>SQRT((B37/2)^2+(B38/2)^2)</f>
        <v>25.03561912555789</v>
      </c>
    </row>
    <row r="42" spans="1:2" x14ac:dyDescent="0.25">
      <c r="A42" s="14" t="s">
        <v>41</v>
      </c>
      <c r="B42">
        <f>E26*E27/2</f>
        <v>30253.487499999999</v>
      </c>
    </row>
    <row r="43" spans="1:2" x14ac:dyDescent="0.25">
      <c r="A43" s="14" t="s">
        <v>42</v>
      </c>
      <c r="B43">
        <f>B42*B41/B40</f>
        <v>12.426312132723458</v>
      </c>
    </row>
    <row r="44" spans="1:2" x14ac:dyDescent="0.25">
      <c r="A44" s="15" t="s">
        <v>43</v>
      </c>
      <c r="B44" s="9">
        <f>E20/B43</f>
        <v>27.538339319422878</v>
      </c>
    </row>
    <row r="46" spans="1:2" x14ac:dyDescent="0.25">
      <c r="A46" s="10" t="s">
        <v>44</v>
      </c>
    </row>
    <row r="47" spans="1:2" x14ac:dyDescent="0.25">
      <c r="A47" s="14" t="s">
        <v>45</v>
      </c>
      <c r="B47">
        <v>25</v>
      </c>
    </row>
    <row r="48" spans="1:2" x14ac:dyDescent="0.25">
      <c r="A48" s="14" t="s">
        <v>32</v>
      </c>
      <c r="B48">
        <v>2.67</v>
      </c>
    </row>
    <row r="49" spans="1:6" x14ac:dyDescent="0.25">
      <c r="A49" s="14" t="s">
        <v>35</v>
      </c>
      <c r="B49">
        <v>50</v>
      </c>
    </row>
    <row r="50" spans="1:6" x14ac:dyDescent="0.25">
      <c r="A50" s="14" t="s">
        <v>11</v>
      </c>
      <c r="B50">
        <f>structure!B48*structure!B49</f>
        <v>133.5</v>
      </c>
    </row>
    <row r="51" spans="1:6" x14ac:dyDescent="0.25">
      <c r="A51" s="14" t="s">
        <v>46</v>
      </c>
      <c r="B51">
        <f>structure!E26</f>
        <v>121.01394999999999</v>
      </c>
    </row>
    <row r="52" spans="1:6" x14ac:dyDescent="0.25">
      <c r="A52" s="14" t="s">
        <v>47</v>
      </c>
      <c r="B52">
        <f>structure!B51/structure!B50</f>
        <v>0.90647153558052429</v>
      </c>
    </row>
    <row r="53" spans="1:6" x14ac:dyDescent="0.25">
      <c r="A53" s="24" t="s">
        <v>48</v>
      </c>
      <c r="B53" s="6">
        <f>structure!E19/structure!B52</f>
        <v>650.87537428536132</v>
      </c>
    </row>
    <row r="55" spans="1:6" x14ac:dyDescent="0.25">
      <c r="A55" s="1" t="s">
        <v>49</v>
      </c>
      <c r="D55" s="1" t="s">
        <v>50</v>
      </c>
    </row>
    <row r="56" spans="1:6" x14ac:dyDescent="0.25">
      <c r="A56" s="10" t="s">
        <v>51</v>
      </c>
      <c r="D56" s="2" t="s">
        <v>52</v>
      </c>
      <c r="E56">
        <v>11.8</v>
      </c>
      <c r="F56" s="4" t="s">
        <v>9</v>
      </c>
    </row>
    <row r="57" spans="1:6" x14ac:dyDescent="0.25">
      <c r="A57" s="2" t="s">
        <v>53</v>
      </c>
      <c r="B57">
        <v>18</v>
      </c>
      <c r="D57" s="2" t="s">
        <v>54</v>
      </c>
      <c r="E57">
        <v>130</v>
      </c>
      <c r="F57" s="4" t="s">
        <v>9</v>
      </c>
    </row>
    <row r="58" spans="1:6" x14ac:dyDescent="0.25">
      <c r="A58" s="2" t="s">
        <v>7</v>
      </c>
      <c r="B58">
        <v>125</v>
      </c>
      <c r="D58" s="2" t="s">
        <v>55</v>
      </c>
      <c r="E58">
        <f>structure!E9</f>
        <v>242.02789999999999</v>
      </c>
      <c r="F58" t="s">
        <v>56</v>
      </c>
    </row>
    <row r="59" spans="1:6" x14ac:dyDescent="0.25">
      <c r="A59" s="2" t="s">
        <v>57</v>
      </c>
      <c r="B59">
        <v>600</v>
      </c>
      <c r="D59" s="2" t="s">
        <v>58</v>
      </c>
      <c r="E59">
        <f>structure!B2/2</f>
        <v>375</v>
      </c>
    </row>
    <row r="60" spans="1:6" x14ac:dyDescent="0.25">
      <c r="A60" s="2" t="s">
        <v>11</v>
      </c>
      <c r="B60">
        <f>structure!B57*structure!B58</f>
        <v>2250</v>
      </c>
    </row>
    <row r="61" spans="1:6" x14ac:dyDescent="0.25">
      <c r="A61" s="2" t="s">
        <v>59</v>
      </c>
      <c r="B61">
        <f>structure!B58*structure!B57^3/12</f>
        <v>60750</v>
      </c>
    </row>
    <row r="63" spans="1:6" x14ac:dyDescent="0.25">
      <c r="A63" s="10" t="s">
        <v>60</v>
      </c>
    </row>
    <row r="64" spans="1:6" x14ac:dyDescent="0.25">
      <c r="A64" s="2" t="s">
        <v>53</v>
      </c>
      <c r="B64">
        <v>50</v>
      </c>
    </row>
    <row r="65" spans="1:2" x14ac:dyDescent="0.25">
      <c r="A65" s="2" t="s">
        <v>7</v>
      </c>
      <c r="B65">
        <v>18</v>
      </c>
    </row>
    <row r="66" spans="1:2" x14ac:dyDescent="0.25">
      <c r="A66" s="2" t="s">
        <v>57</v>
      </c>
      <c r="B66">
        <v>600</v>
      </c>
    </row>
    <row r="67" spans="1:2" x14ac:dyDescent="0.25">
      <c r="A67" s="2" t="s">
        <v>61</v>
      </c>
      <c r="B67">
        <f>2*structure!B65*structure!B64</f>
        <v>1800</v>
      </c>
    </row>
    <row r="68" spans="1:2" x14ac:dyDescent="0.25">
      <c r="A68" s="2" t="s">
        <v>62</v>
      </c>
      <c r="B68">
        <f>2*structure!B65*structure!B64^3/12</f>
        <v>375000</v>
      </c>
    </row>
    <row r="70" spans="1:2" x14ac:dyDescent="0.25">
      <c r="A70" s="10" t="s">
        <v>63</v>
      </c>
    </row>
    <row r="71" spans="1:2" x14ac:dyDescent="0.25">
      <c r="A71" s="2" t="s">
        <v>53</v>
      </c>
      <c r="B71">
        <v>18</v>
      </c>
    </row>
    <row r="72" spans="1:2" x14ac:dyDescent="0.25">
      <c r="A72" s="2" t="s">
        <v>7</v>
      </c>
      <c r="B72">
        <v>30.5</v>
      </c>
    </row>
    <row r="73" spans="1:2" x14ac:dyDescent="0.25">
      <c r="A73" s="2" t="s">
        <v>57</v>
      </c>
      <c r="B73">
        <v>600</v>
      </c>
    </row>
    <row r="74" spans="1:2" x14ac:dyDescent="0.25">
      <c r="A74" s="2" t="s">
        <v>61</v>
      </c>
      <c r="B74">
        <f>2*structure!B71*structure!B72</f>
        <v>1098</v>
      </c>
    </row>
    <row r="75" spans="1:2" x14ac:dyDescent="0.25">
      <c r="A75" s="2" t="s">
        <v>62</v>
      </c>
      <c r="B75">
        <f>2*structure!B72*structure!B71^3/12</f>
        <v>29646</v>
      </c>
    </row>
    <row r="77" spans="1:2" x14ac:dyDescent="0.25">
      <c r="A77" s="10" t="s">
        <v>64</v>
      </c>
    </row>
    <row r="78" spans="1:2" x14ac:dyDescent="0.25">
      <c r="A78" s="2" t="s">
        <v>65</v>
      </c>
      <c r="B78" s="12">
        <f>(structure!B60*(structure!B57/2)+structure!B67*(structure!B64/2+structure!B57)+structure!B74*(structure!B71/2+structure!B64+structure!B57))/(structure!B60+structure!B67+structure!B74)</f>
        <v>35.391608391608393</v>
      </c>
    </row>
    <row r="79" spans="1:2" x14ac:dyDescent="0.25">
      <c r="A79" s="2" t="s">
        <v>59</v>
      </c>
      <c r="B79" s="13">
        <f>(structure!B61+structure!B68+structure!B75)+(structure!B60*(structure!B78-structure!B57/2)^2)+(structure!B67*(structure!B64/2+structure!B57-structure!B78)^2)+(structure!B74*(structure!B57+structure!B64+structure!B71/2-structure!B78)^2)</f>
        <v>4037678.5174825173</v>
      </c>
    </row>
    <row r="80" spans="1:2" x14ac:dyDescent="0.25">
      <c r="A80" s="2" t="s">
        <v>15</v>
      </c>
      <c r="B80" s="12">
        <f>MAX(structure!B78,structure!B57+structure!B64+structure!B71-structure!B78)</f>
        <v>50.608391608391607</v>
      </c>
    </row>
    <row r="81" spans="1:6" x14ac:dyDescent="0.25">
      <c r="A81" s="2" t="s">
        <v>19</v>
      </c>
      <c r="B81">
        <f>structure!E58*structure!E59/2</f>
        <v>45380.231249999997</v>
      </c>
    </row>
    <row r="82" spans="1:6" x14ac:dyDescent="0.25">
      <c r="A82" s="2" t="s">
        <v>66</v>
      </c>
      <c r="B82">
        <f>structure!B81*structure!B80/structure!B79</f>
        <v>0.56879726913258755</v>
      </c>
    </row>
    <row r="83" spans="1:6" x14ac:dyDescent="0.25">
      <c r="A83" s="5" t="s">
        <v>48</v>
      </c>
      <c r="B83" s="6">
        <f>structure!E57/structure!B82</f>
        <v>228.55243345005721</v>
      </c>
    </row>
    <row r="85" spans="1:6" x14ac:dyDescent="0.25">
      <c r="A85" s="1" t="s">
        <v>67</v>
      </c>
      <c r="D85" s="1" t="s">
        <v>50</v>
      </c>
    </row>
    <row r="86" spans="1:6" x14ac:dyDescent="0.25">
      <c r="A86" s="2" t="s">
        <v>68</v>
      </c>
      <c r="B86">
        <v>250</v>
      </c>
      <c r="D86" s="2" t="s">
        <v>52</v>
      </c>
      <c r="E86">
        <v>11.8</v>
      </c>
      <c r="F86" s="4" t="s">
        <v>9</v>
      </c>
    </row>
    <row r="87" spans="1:6" x14ac:dyDescent="0.25">
      <c r="A87" s="2" t="s">
        <v>57</v>
      </c>
      <c r="B87">
        <v>50</v>
      </c>
      <c r="D87" s="2" t="s">
        <v>54</v>
      </c>
      <c r="E87">
        <v>130</v>
      </c>
      <c r="F87" s="4" t="s">
        <v>9</v>
      </c>
    </row>
    <row r="88" spans="1:6" x14ac:dyDescent="0.25">
      <c r="A88" s="2" t="s">
        <v>69</v>
      </c>
      <c r="B88">
        <v>18</v>
      </c>
      <c r="D88" s="2" t="s">
        <v>70</v>
      </c>
      <c r="E88">
        <f>structure!E25</f>
        <v>242.02789999999999</v>
      </c>
    </row>
    <row r="89" spans="1:6" x14ac:dyDescent="0.25">
      <c r="A89" s="2" t="s">
        <v>61</v>
      </c>
      <c r="B89">
        <f>structure!B88*structure!B87*2</f>
        <v>1800</v>
      </c>
      <c r="D89" s="2" t="s">
        <v>71</v>
      </c>
      <c r="E89">
        <f>structure!B86</f>
        <v>250</v>
      </c>
    </row>
    <row r="90" spans="1:6" x14ac:dyDescent="0.25">
      <c r="A90" s="2" t="s">
        <v>72</v>
      </c>
      <c r="B90">
        <f>structure!B88*structure!B87^3/12*2</f>
        <v>375000</v>
      </c>
    </row>
    <row r="91" spans="1:6" x14ac:dyDescent="0.25">
      <c r="A91" s="2" t="s">
        <v>15</v>
      </c>
      <c r="B91">
        <f>structure!B87/2</f>
        <v>25</v>
      </c>
    </row>
    <row r="92" spans="1:6" x14ac:dyDescent="0.25">
      <c r="A92" s="2" t="s">
        <v>18</v>
      </c>
      <c r="B92">
        <f>(B89/2)*B87/4</f>
        <v>11250</v>
      </c>
      <c r="C92" t="s">
        <v>73</v>
      </c>
    </row>
    <row r="93" spans="1:6" x14ac:dyDescent="0.25">
      <c r="A93" s="2" t="s">
        <v>19</v>
      </c>
      <c r="B93">
        <f>structure!E88*structure!E89</f>
        <v>60506.974999999999</v>
      </c>
    </row>
    <row r="94" spans="1:6" x14ac:dyDescent="0.25">
      <c r="A94" s="2" t="s">
        <v>66</v>
      </c>
      <c r="B94">
        <f>structure!B93*structure!B91/structure!B90</f>
        <v>4.0337983333333334</v>
      </c>
    </row>
    <row r="95" spans="1:6" x14ac:dyDescent="0.25">
      <c r="A95" s="8" t="s">
        <v>134</v>
      </c>
      <c r="B95" s="9">
        <f>structure!E87/structure!B94</f>
        <v>32.227689452331738</v>
      </c>
    </row>
    <row r="96" spans="1:6" x14ac:dyDescent="0.25">
      <c r="A96" s="2" t="s">
        <v>23</v>
      </c>
      <c r="B96">
        <f>E88</f>
        <v>242.02789999999999</v>
      </c>
    </row>
    <row r="97" spans="1:2" x14ac:dyDescent="0.25">
      <c r="A97" s="2" t="s">
        <v>24</v>
      </c>
      <c r="B97">
        <f>B96*B92/(B90*B88)</f>
        <v>0.40337983333333333</v>
      </c>
    </row>
    <row r="98" spans="1:2" x14ac:dyDescent="0.25">
      <c r="A98" s="23" t="s">
        <v>25</v>
      </c>
      <c r="B98" s="22">
        <f>E86/B97</f>
        <v>29.252825810578038</v>
      </c>
    </row>
  </sheetData>
  <hyperlinks>
    <hyperlink ref="F3" r:id="rId1"/>
    <hyperlink ref="F4" r:id="rId2"/>
    <hyperlink ref="F56" r:id="rId3"/>
    <hyperlink ref="F57" r:id="rId4"/>
    <hyperlink ref="F86" r:id="rId5"/>
    <hyperlink ref="F87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topLeftCell="A85" zoomScaleNormal="100" workbookViewId="0">
      <selection activeCell="C101" sqref="C101"/>
    </sheetView>
  </sheetViews>
  <sheetFormatPr defaultRowHeight="15" x14ac:dyDescent="0.25"/>
  <cols>
    <col min="1" max="1" width="45"/>
    <col min="2" max="2" width="15.42578125"/>
    <col min="3" max="3" width="8.5703125"/>
    <col min="4" max="4" width="45.7109375" bestFit="1" customWidth="1"/>
    <col min="5" max="1025" width="8.5703125"/>
  </cols>
  <sheetData>
    <row r="1" spans="1:4" x14ac:dyDescent="0.25">
      <c r="A1" s="1" t="s">
        <v>74</v>
      </c>
    </row>
    <row r="15" spans="1:4" x14ac:dyDescent="0.25">
      <c r="A15" s="1" t="s">
        <v>75</v>
      </c>
    </row>
    <row r="16" spans="1:4" x14ac:dyDescent="0.25">
      <c r="A16" s="10" t="s">
        <v>76</v>
      </c>
      <c r="B16" t="s">
        <v>77</v>
      </c>
      <c r="D16" s="1" t="s">
        <v>27</v>
      </c>
    </row>
    <row r="17" spans="1:6" x14ac:dyDescent="0.25">
      <c r="A17" s="14" t="s">
        <v>78</v>
      </c>
      <c r="B17">
        <v>5</v>
      </c>
      <c r="D17" s="14" t="s">
        <v>3</v>
      </c>
      <c r="E17">
        <f>(7.8/1000)/10^3</f>
        <v>7.7999999999999999E-6</v>
      </c>
      <c r="F17" t="s">
        <v>29</v>
      </c>
    </row>
    <row r="18" spans="1:6" x14ac:dyDescent="0.25">
      <c r="A18" s="14" t="s">
        <v>79</v>
      </c>
      <c r="B18">
        <v>2.67</v>
      </c>
      <c r="D18" s="14" t="s">
        <v>31</v>
      </c>
      <c r="E18">
        <v>250</v>
      </c>
      <c r="F18" t="s">
        <v>29</v>
      </c>
    </row>
    <row r="19" spans="1:6" x14ac:dyDescent="0.25">
      <c r="A19" s="14" t="s">
        <v>80</v>
      </c>
      <c r="B19">
        <v>4</v>
      </c>
      <c r="D19" s="14" t="s">
        <v>33</v>
      </c>
      <c r="E19">
        <f>0.58*'joints and bearings'!E18</f>
        <v>145</v>
      </c>
      <c r="F19" t="s">
        <v>34</v>
      </c>
    </row>
    <row r="20" spans="1:6" x14ac:dyDescent="0.25">
      <c r="A20" s="14" t="s">
        <v>81</v>
      </c>
      <c r="B20">
        <f>B17*B18</f>
        <v>13.35</v>
      </c>
    </row>
    <row r="21" spans="1:6" x14ac:dyDescent="0.25">
      <c r="A21" s="14" t="s">
        <v>82</v>
      </c>
      <c r="B21">
        <f>B20*B19</f>
        <v>53.4</v>
      </c>
      <c r="D21" s="1" t="s">
        <v>12</v>
      </c>
    </row>
    <row r="22" spans="1:6" x14ac:dyDescent="0.25">
      <c r="A22" s="14" t="s">
        <v>83</v>
      </c>
      <c r="B22" s="12">
        <f>E25/B21</f>
        <v>2.2661788389513107</v>
      </c>
      <c r="D22" s="14" t="s">
        <v>14</v>
      </c>
      <c r="E22">
        <v>197</v>
      </c>
    </row>
    <row r="23" spans="1:6" x14ac:dyDescent="0.25">
      <c r="A23" s="24" t="s">
        <v>48</v>
      </c>
      <c r="B23" s="16">
        <f>E18/B22</f>
        <v>110.31786004836633</v>
      </c>
      <c r="D23" s="14" t="s">
        <v>16</v>
      </c>
      <c r="E23">
        <f>structure!E8</f>
        <v>45.027900000000002</v>
      </c>
      <c r="F23" t="s">
        <v>17</v>
      </c>
    </row>
    <row r="24" spans="1:6" x14ac:dyDescent="0.25">
      <c r="D24" s="14" t="s">
        <v>20</v>
      </c>
      <c r="E24">
        <f>'joints and bearings'!E22+'joints and bearings'!E23</f>
        <v>242.02789999999999</v>
      </c>
    </row>
    <row r="25" spans="1:6" x14ac:dyDescent="0.25">
      <c r="D25" s="14" t="s">
        <v>38</v>
      </c>
      <c r="E25">
        <f>'joints and bearings'!E24/2</f>
        <v>121.01394999999999</v>
      </c>
    </row>
    <row r="27" spans="1:6" x14ac:dyDescent="0.25">
      <c r="A27" s="1" t="s">
        <v>84</v>
      </c>
    </row>
    <row r="28" spans="1:6" x14ac:dyDescent="0.25">
      <c r="A28" s="10" t="s">
        <v>85</v>
      </c>
      <c r="B28" t="s">
        <v>86</v>
      </c>
      <c r="D28" s="1" t="s">
        <v>50</v>
      </c>
    </row>
    <row r="29" spans="1:6" x14ac:dyDescent="0.25">
      <c r="A29" s="14" t="s">
        <v>87</v>
      </c>
      <c r="B29">
        <v>125</v>
      </c>
      <c r="D29" s="14" t="s">
        <v>52</v>
      </c>
      <c r="E29">
        <v>11.8</v>
      </c>
      <c r="F29" s="4" t="s">
        <v>9</v>
      </c>
    </row>
    <row r="30" spans="1:6" x14ac:dyDescent="0.25">
      <c r="A30" s="14" t="s">
        <v>88</v>
      </c>
      <c r="B30">
        <v>18</v>
      </c>
      <c r="D30" s="14" t="s">
        <v>54</v>
      </c>
      <c r="E30">
        <v>130</v>
      </c>
      <c r="F30" s="4" t="s">
        <v>9</v>
      </c>
    </row>
    <row r="31" spans="1:6" x14ac:dyDescent="0.25">
      <c r="A31" s="14" t="s">
        <v>89</v>
      </c>
      <c r="B31">
        <v>12.5</v>
      </c>
      <c r="D31" s="14" t="s">
        <v>90</v>
      </c>
      <c r="E31">
        <v>10.8</v>
      </c>
    </row>
    <row r="32" spans="1:6" x14ac:dyDescent="0.25">
      <c r="A32" s="14" t="s">
        <v>91</v>
      </c>
      <c r="B32" s="11">
        <f>B29/3</f>
        <v>41.666666666666664</v>
      </c>
    </row>
    <row r="33" spans="1:6" x14ac:dyDescent="0.25">
      <c r="A33" s="14" t="s">
        <v>92</v>
      </c>
      <c r="B33" s="11">
        <f>B32*B31</f>
        <v>520.83333333333326</v>
      </c>
      <c r="D33" s="1" t="s">
        <v>93</v>
      </c>
    </row>
    <row r="34" spans="1:6" x14ac:dyDescent="0.25">
      <c r="A34" s="14" t="s">
        <v>94</v>
      </c>
      <c r="B34">
        <f>B29/3</f>
        <v>41.666666666666664</v>
      </c>
      <c r="D34" s="14" t="s">
        <v>95</v>
      </c>
      <c r="E34">
        <f>50</f>
        <v>50</v>
      </c>
    </row>
    <row r="35" spans="1:6" x14ac:dyDescent="0.25">
      <c r="A35" s="14" t="s">
        <v>96</v>
      </c>
      <c r="B35">
        <f>B32*3</f>
        <v>125</v>
      </c>
      <c r="D35" s="14" t="s">
        <v>97</v>
      </c>
      <c r="E35">
        <f>structure!B19</f>
        <v>25</v>
      </c>
    </row>
    <row r="36" spans="1:6" x14ac:dyDescent="0.25">
      <c r="A36" s="14" t="s">
        <v>98</v>
      </c>
      <c r="B36">
        <f>B35*B30^3/12</f>
        <v>60750</v>
      </c>
      <c r="D36" s="14" t="s">
        <v>38</v>
      </c>
      <c r="E36">
        <f>E25</f>
        <v>121.01394999999999</v>
      </c>
    </row>
    <row r="37" spans="1:6" x14ac:dyDescent="0.25">
      <c r="A37" s="14" t="s">
        <v>15</v>
      </c>
      <c r="B37">
        <f>B30/2</f>
        <v>9</v>
      </c>
      <c r="D37" s="14" t="s">
        <v>99</v>
      </c>
      <c r="E37">
        <f>E36*(E35+E34/2)</f>
        <v>6050.6974999999993</v>
      </c>
    </row>
    <row r="38" spans="1:6" x14ac:dyDescent="0.25">
      <c r="A38" s="14" t="s">
        <v>19</v>
      </c>
      <c r="B38">
        <f>E38*B31</f>
        <v>1815.2092499999999</v>
      </c>
      <c r="D38" s="14" t="s">
        <v>100</v>
      </c>
      <c r="E38">
        <f>E37/B34</f>
        <v>145.21673999999999</v>
      </c>
    </row>
    <row r="39" spans="1:6" x14ac:dyDescent="0.25">
      <c r="A39" s="14" t="s">
        <v>21</v>
      </c>
      <c r="B39">
        <f>B38*B37/B36</f>
        <v>0.26891988888888885</v>
      </c>
    </row>
    <row r="40" spans="1:6" x14ac:dyDescent="0.25">
      <c r="A40" s="15" t="s">
        <v>101</v>
      </c>
      <c r="B40" s="9">
        <f>E30/B39</f>
        <v>483.41534178497608</v>
      </c>
    </row>
    <row r="41" spans="1:6" x14ac:dyDescent="0.25">
      <c r="A41" s="14" t="s">
        <v>83</v>
      </c>
      <c r="B41">
        <f>E38/B33</f>
        <v>0.2788161408</v>
      </c>
    </row>
    <row r="42" spans="1:6" x14ac:dyDescent="0.25">
      <c r="A42" s="15" t="s">
        <v>102</v>
      </c>
      <c r="B42" s="9">
        <f>E31/B41</f>
        <v>38.735203668667957</v>
      </c>
    </row>
    <row r="44" spans="1:6" x14ac:dyDescent="0.25">
      <c r="A44" s="10" t="s">
        <v>103</v>
      </c>
      <c r="B44" t="s">
        <v>86</v>
      </c>
      <c r="D44" s="1" t="s">
        <v>104</v>
      </c>
    </row>
    <row r="45" spans="1:6" x14ac:dyDescent="0.25">
      <c r="A45" s="14" t="s">
        <v>87</v>
      </c>
      <c r="B45">
        <v>125</v>
      </c>
      <c r="D45" s="14" t="s">
        <v>105</v>
      </c>
      <c r="E45">
        <v>250</v>
      </c>
    </row>
    <row r="46" spans="1:6" x14ac:dyDescent="0.25">
      <c r="A46" s="14" t="s">
        <v>106</v>
      </c>
      <c r="B46">
        <v>50</v>
      </c>
      <c r="D46" s="14" t="s">
        <v>20</v>
      </c>
      <c r="E46">
        <f>E24</f>
        <v>242.02789999999999</v>
      </c>
      <c r="F46" t="s">
        <v>56</v>
      </c>
    </row>
    <row r="47" spans="1:6" x14ac:dyDescent="0.25">
      <c r="A47" s="14" t="s">
        <v>107</v>
      </c>
      <c r="B47">
        <v>18</v>
      </c>
      <c r="D47" s="14" t="s">
        <v>99</v>
      </c>
      <c r="E47">
        <f>E46*E45</f>
        <v>60506.974999999999</v>
      </c>
    </row>
    <row r="48" spans="1:6" x14ac:dyDescent="0.25">
      <c r="A48" s="14" t="s">
        <v>91</v>
      </c>
      <c r="B48" s="11">
        <f>B45/3</f>
        <v>41.666666666666664</v>
      </c>
      <c r="D48" s="14" t="s">
        <v>100</v>
      </c>
      <c r="E48">
        <f>E47/B50</f>
        <v>1452.1674</v>
      </c>
    </row>
    <row r="49" spans="1:6" x14ac:dyDescent="0.25">
      <c r="A49" s="14" t="s">
        <v>92</v>
      </c>
      <c r="B49" s="11">
        <f>B48*B46</f>
        <v>2083.333333333333</v>
      </c>
    </row>
    <row r="50" spans="1:6" x14ac:dyDescent="0.25">
      <c r="A50" s="14" t="s">
        <v>94</v>
      </c>
      <c r="B50">
        <f>B45/3</f>
        <v>41.666666666666664</v>
      </c>
    </row>
    <row r="51" spans="1:6" x14ac:dyDescent="0.25">
      <c r="A51" s="14" t="s">
        <v>96</v>
      </c>
      <c r="B51">
        <f>B48*3</f>
        <v>125</v>
      </c>
    </row>
    <row r="52" spans="1:6" x14ac:dyDescent="0.25">
      <c r="A52" s="14" t="s">
        <v>108</v>
      </c>
      <c r="B52">
        <f>B51*B47^3/12</f>
        <v>60750</v>
      </c>
    </row>
    <row r="53" spans="1:6" x14ac:dyDescent="0.25">
      <c r="A53" s="14" t="s">
        <v>15</v>
      </c>
      <c r="B53">
        <f>B47/2</f>
        <v>9</v>
      </c>
    </row>
    <row r="54" spans="1:6" x14ac:dyDescent="0.25">
      <c r="A54" s="14" t="s">
        <v>19</v>
      </c>
      <c r="B54">
        <f>E48*B46</f>
        <v>72608.37</v>
      </c>
    </row>
    <row r="55" spans="1:6" x14ac:dyDescent="0.25">
      <c r="A55" s="14" t="s">
        <v>21</v>
      </c>
      <c r="B55">
        <f>B54*B53/B52</f>
        <v>10.756795555555556</v>
      </c>
    </row>
    <row r="56" spans="1:6" x14ac:dyDescent="0.25">
      <c r="A56" s="15" t="s">
        <v>101</v>
      </c>
      <c r="B56" s="9">
        <f>E30/B55</f>
        <v>12.085383544624401</v>
      </c>
    </row>
    <row r="57" spans="1:6" x14ac:dyDescent="0.25">
      <c r="A57" s="14" t="s">
        <v>83</v>
      </c>
      <c r="B57">
        <f>E48/B49</f>
        <v>0.69704035200000014</v>
      </c>
    </row>
    <row r="58" spans="1:6" x14ac:dyDescent="0.25">
      <c r="A58" s="15" t="s">
        <v>102</v>
      </c>
      <c r="B58" s="9">
        <f>E31/B57</f>
        <v>15.494081467467179</v>
      </c>
    </row>
    <row r="60" spans="1:6" x14ac:dyDescent="0.25">
      <c r="A60" s="1" t="s">
        <v>109</v>
      </c>
    </row>
    <row r="61" spans="1:6" x14ac:dyDescent="0.25">
      <c r="A61" s="17" t="s">
        <v>123</v>
      </c>
      <c r="D61" s="18" t="s">
        <v>115</v>
      </c>
    </row>
    <row r="62" spans="1:6" x14ac:dyDescent="0.25">
      <c r="A62" s="19" t="s">
        <v>110</v>
      </c>
      <c r="B62">
        <f>111-10</f>
        <v>101</v>
      </c>
      <c r="D62" s="20" t="s">
        <v>117</v>
      </c>
      <c r="E62">
        <v>970</v>
      </c>
    </row>
    <row r="63" spans="1:6" x14ac:dyDescent="0.25">
      <c r="A63" s="20" t="s">
        <v>78</v>
      </c>
      <c r="B63">
        <v>5</v>
      </c>
      <c r="D63" s="20" t="s">
        <v>116</v>
      </c>
      <c r="E63">
        <f>0.58*E62</f>
        <v>562.59999999999991</v>
      </c>
      <c r="F63" t="s">
        <v>118</v>
      </c>
    </row>
    <row r="64" spans="1:6" x14ac:dyDescent="0.25">
      <c r="A64" s="20" t="s">
        <v>111</v>
      </c>
      <c r="B64">
        <v>12</v>
      </c>
    </row>
    <row r="65" spans="1:6" x14ac:dyDescent="0.25">
      <c r="A65" s="20" t="s">
        <v>80</v>
      </c>
      <c r="B65">
        <v>2</v>
      </c>
      <c r="D65" s="1" t="s">
        <v>104</v>
      </c>
    </row>
    <row r="66" spans="1:6" x14ac:dyDescent="0.25">
      <c r="A66" s="20" t="s">
        <v>114</v>
      </c>
      <c r="B66">
        <f>PI()*B63^2/4</f>
        <v>19.634954084936208</v>
      </c>
      <c r="D66" s="14" t="s">
        <v>105</v>
      </c>
      <c r="E66">
        <v>250</v>
      </c>
    </row>
    <row r="67" spans="1:6" x14ac:dyDescent="0.25">
      <c r="A67" s="20" t="s">
        <v>113</v>
      </c>
      <c r="B67">
        <f>E69/B65</f>
        <v>299.53948019801982</v>
      </c>
      <c r="D67" s="14" t="s">
        <v>20</v>
      </c>
      <c r="E67">
        <f>E46</f>
        <v>242.02789999999999</v>
      </c>
    </row>
    <row r="68" spans="1:6" x14ac:dyDescent="0.25">
      <c r="A68" s="20" t="s">
        <v>24</v>
      </c>
      <c r="B68">
        <f>B67/B66</f>
        <v>15.255420455901362</v>
      </c>
      <c r="D68" s="14" t="s">
        <v>99</v>
      </c>
      <c r="E68">
        <f>E67*E66</f>
        <v>60506.974999999999</v>
      </c>
    </row>
    <row r="69" spans="1:6" x14ac:dyDescent="0.25">
      <c r="A69" s="21" t="s">
        <v>48</v>
      </c>
      <c r="B69" s="22">
        <f>E63/B68</f>
        <v>36.87869512520485</v>
      </c>
      <c r="D69" s="26" t="s">
        <v>112</v>
      </c>
      <c r="E69">
        <f>E68/B62</f>
        <v>599.07896039603963</v>
      </c>
    </row>
    <row r="71" spans="1:6" x14ac:dyDescent="0.25">
      <c r="A71" s="17" t="s">
        <v>124</v>
      </c>
      <c r="D71" s="1" t="s">
        <v>50</v>
      </c>
    </row>
    <row r="72" spans="1:6" x14ac:dyDescent="0.25">
      <c r="A72" s="20" t="s">
        <v>111</v>
      </c>
      <c r="B72">
        <f>B64</f>
        <v>12</v>
      </c>
      <c r="D72" s="14" t="s">
        <v>52</v>
      </c>
      <c r="E72">
        <v>11.8</v>
      </c>
      <c r="F72" s="4" t="s">
        <v>9</v>
      </c>
    </row>
    <row r="73" spans="1:6" x14ac:dyDescent="0.25">
      <c r="A73" s="20" t="s">
        <v>119</v>
      </c>
      <c r="B73">
        <v>6</v>
      </c>
      <c r="C73" t="s">
        <v>122</v>
      </c>
      <c r="D73" s="14" t="s">
        <v>54</v>
      </c>
      <c r="E73">
        <v>130</v>
      </c>
      <c r="F73" s="4" t="s">
        <v>9</v>
      </c>
    </row>
    <row r="74" spans="1:6" x14ac:dyDescent="0.25">
      <c r="A74" s="20" t="s">
        <v>120</v>
      </c>
      <c r="B74">
        <f>B73*B63</f>
        <v>30</v>
      </c>
      <c r="D74" s="14" t="s">
        <v>90</v>
      </c>
      <c r="E74">
        <v>10.8</v>
      </c>
    </row>
    <row r="75" spans="1:6" x14ac:dyDescent="0.25">
      <c r="A75" s="20" t="s">
        <v>121</v>
      </c>
      <c r="B75">
        <f>B67/B74</f>
        <v>9.9846493399339931</v>
      </c>
    </row>
    <row r="76" spans="1:6" x14ac:dyDescent="0.25">
      <c r="A76" s="21" t="s">
        <v>48</v>
      </c>
      <c r="B76" s="22">
        <f>E74/B75</f>
        <v>1.0816604201416449</v>
      </c>
    </row>
    <row r="78" spans="1:6" x14ac:dyDescent="0.25">
      <c r="A78" s="17" t="s">
        <v>133</v>
      </c>
      <c r="D78" s="18" t="s">
        <v>127</v>
      </c>
    </row>
    <row r="79" spans="1:6" x14ac:dyDescent="0.25">
      <c r="A79" s="20" t="s">
        <v>125</v>
      </c>
      <c r="B79">
        <v>2000</v>
      </c>
      <c r="C79" t="s">
        <v>131</v>
      </c>
      <c r="D79" s="20" t="s">
        <v>143</v>
      </c>
      <c r="E79">
        <v>0.3</v>
      </c>
    </row>
    <row r="80" spans="1:6" x14ac:dyDescent="0.25">
      <c r="A80" s="20" t="s">
        <v>126</v>
      </c>
      <c r="B80">
        <f>B79/(E79*B63)</f>
        <v>1333.3333333333333</v>
      </c>
    </row>
    <row r="81" spans="1:3" x14ac:dyDescent="0.25">
      <c r="A81" s="20" t="s">
        <v>128</v>
      </c>
      <c r="B81">
        <v>0.3</v>
      </c>
      <c r="C81" t="s">
        <v>129</v>
      </c>
    </row>
    <row r="82" spans="1:3" x14ac:dyDescent="0.25">
      <c r="A82" s="20" t="s">
        <v>130</v>
      </c>
      <c r="B82">
        <f>B80*B81*B65</f>
        <v>799.99999999999989</v>
      </c>
    </row>
    <row r="83" spans="1:3" x14ac:dyDescent="0.25">
      <c r="A83" s="21" t="s">
        <v>132</v>
      </c>
      <c r="B83" s="22">
        <f>B82/E69</f>
        <v>1.3353832347427712</v>
      </c>
    </row>
    <row r="85" spans="1:3" x14ac:dyDescent="0.25">
      <c r="A85" s="29" t="s">
        <v>162</v>
      </c>
    </row>
    <row r="86" spans="1:3" x14ac:dyDescent="0.25">
      <c r="A86" s="20" t="s">
        <v>169</v>
      </c>
      <c r="B86" s="30">
        <v>12</v>
      </c>
    </row>
    <row r="87" spans="1:3" x14ac:dyDescent="0.25">
      <c r="A87" s="20" t="s">
        <v>170</v>
      </c>
      <c r="B87" s="30">
        <v>6.6</v>
      </c>
    </row>
    <row r="88" spans="1:3" x14ac:dyDescent="0.25">
      <c r="A88" s="20" t="s">
        <v>171</v>
      </c>
      <c r="B88" s="30">
        <f>PI()*(B86^2-B87^2)/4</f>
        <v>78.885391531639698</v>
      </c>
    </row>
    <row r="89" spans="1:3" x14ac:dyDescent="0.25">
      <c r="A89" s="20" t="s">
        <v>83</v>
      </c>
      <c r="B89" s="30">
        <f>B80/B88</f>
        <v>16.902157768952115</v>
      </c>
    </row>
    <row r="90" spans="1:3" x14ac:dyDescent="0.25">
      <c r="A90" s="21" t="s">
        <v>161</v>
      </c>
      <c r="B90" s="31">
        <f>E74/B89</f>
        <v>0.63897167140628164</v>
      </c>
      <c r="C90" s="22"/>
    </row>
    <row r="91" spans="1:3" x14ac:dyDescent="0.25">
      <c r="A91" s="20" t="s">
        <v>172</v>
      </c>
      <c r="B91" s="30">
        <v>18</v>
      </c>
    </row>
    <row r="92" spans="1:3" x14ac:dyDescent="0.25">
      <c r="A92" s="20" t="s">
        <v>165</v>
      </c>
      <c r="B92" s="30">
        <f>B91*PI()*B86</f>
        <v>678.58401317539528</v>
      </c>
    </row>
    <row r="93" spans="1:3" x14ac:dyDescent="0.25">
      <c r="A93" s="20" t="s">
        <v>168</v>
      </c>
      <c r="B93" s="30">
        <f>B80/B92</f>
        <v>1.9648758406406832</v>
      </c>
    </row>
    <row r="94" spans="1:3" x14ac:dyDescent="0.25">
      <c r="A94" s="21" t="s">
        <v>163</v>
      </c>
      <c r="B94" s="31">
        <f>E72/B93</f>
        <v>6.0054685166022486</v>
      </c>
    </row>
    <row r="96" spans="1:3" x14ac:dyDescent="0.25">
      <c r="A96" s="18" t="s">
        <v>135</v>
      </c>
    </row>
    <row r="97" spans="1:5" x14ac:dyDescent="0.25">
      <c r="A97" s="17" t="s">
        <v>151</v>
      </c>
      <c r="D97" s="18" t="s">
        <v>115</v>
      </c>
    </row>
    <row r="98" spans="1:5" x14ac:dyDescent="0.25">
      <c r="A98" s="19" t="s">
        <v>110</v>
      </c>
      <c r="B98">
        <v>11.7</v>
      </c>
      <c r="D98" s="20" t="s">
        <v>117</v>
      </c>
      <c r="E98">
        <v>970</v>
      </c>
    </row>
    <row r="99" spans="1:5" x14ac:dyDescent="0.25">
      <c r="A99" s="20" t="s">
        <v>154</v>
      </c>
      <c r="B99">
        <v>5</v>
      </c>
      <c r="D99" s="20" t="s">
        <v>116</v>
      </c>
      <c r="E99">
        <f>0.58*E98</f>
        <v>562.59999999999991</v>
      </c>
    </row>
    <row r="100" spans="1:5" x14ac:dyDescent="0.25">
      <c r="A100" s="20" t="s">
        <v>111</v>
      </c>
      <c r="B100">
        <v>12</v>
      </c>
    </row>
    <row r="101" spans="1:5" x14ac:dyDescent="0.25">
      <c r="A101" s="20" t="s">
        <v>80</v>
      </c>
      <c r="B101">
        <v>2</v>
      </c>
      <c r="D101" s="1" t="s">
        <v>144</v>
      </c>
    </row>
    <row r="102" spans="1:5" x14ac:dyDescent="0.25">
      <c r="A102" s="20" t="s">
        <v>146</v>
      </c>
      <c r="B102">
        <f>PI()*B99^2/4</f>
        <v>19.634954084936208</v>
      </c>
      <c r="D102" s="14" t="s">
        <v>20</v>
      </c>
      <c r="E102">
        <f>E46</f>
        <v>242.02789999999999</v>
      </c>
    </row>
    <row r="103" spans="1:5" x14ac:dyDescent="0.25">
      <c r="A103" s="20" t="s">
        <v>147</v>
      </c>
      <c r="B103">
        <f>E104/B98/B101</f>
        <v>217.20452564102567</v>
      </c>
      <c r="D103" s="14" t="s">
        <v>145</v>
      </c>
      <c r="E103">
        <f>12+9</f>
        <v>21</v>
      </c>
    </row>
    <row r="104" spans="1:5" x14ac:dyDescent="0.25">
      <c r="A104" s="20" t="s">
        <v>149</v>
      </c>
      <c r="B104">
        <f>B103/B102</f>
        <v>11.06213565366386</v>
      </c>
      <c r="D104" s="26" t="s">
        <v>148</v>
      </c>
      <c r="E104">
        <f>E103*E102</f>
        <v>5082.5859</v>
      </c>
    </row>
    <row r="105" spans="1:5" x14ac:dyDescent="0.25">
      <c r="A105" s="21" t="s">
        <v>150</v>
      </c>
      <c r="B105" s="22">
        <f>E98/B104</f>
        <v>87.686503797187555</v>
      </c>
    </row>
    <row r="106" spans="1:5" x14ac:dyDescent="0.25">
      <c r="A106" s="27" t="s">
        <v>113</v>
      </c>
      <c r="B106" s="28">
        <f>E102/B101</f>
        <v>121.01394999999999</v>
      </c>
    </row>
    <row r="107" spans="1:5" x14ac:dyDescent="0.25">
      <c r="A107" s="27" t="s">
        <v>152</v>
      </c>
      <c r="B107" s="28">
        <f>B106/B102</f>
        <v>6.1631898641841492</v>
      </c>
    </row>
    <row r="108" spans="1:5" x14ac:dyDescent="0.25">
      <c r="A108" s="21" t="s">
        <v>153</v>
      </c>
      <c r="B108" s="22">
        <f>E99/B107</f>
        <v>91.283898824764492</v>
      </c>
    </row>
    <row r="109" spans="1:5" x14ac:dyDescent="0.25">
      <c r="A109" s="27" t="s">
        <v>167</v>
      </c>
      <c r="B109" s="28">
        <f>B103/B133</f>
        <v>0.25606795494592272</v>
      </c>
    </row>
    <row r="110" spans="1:5" x14ac:dyDescent="0.25">
      <c r="A110" s="21" t="s">
        <v>163</v>
      </c>
      <c r="B110" s="22">
        <f>E113/B109</f>
        <v>46.081517706860133</v>
      </c>
    </row>
    <row r="112" spans="1:5" x14ac:dyDescent="0.25">
      <c r="A112" s="17" t="s">
        <v>166</v>
      </c>
      <c r="D112" s="1" t="s">
        <v>50</v>
      </c>
    </row>
    <row r="113" spans="1:5" x14ac:dyDescent="0.25">
      <c r="A113" s="20" t="s">
        <v>111</v>
      </c>
      <c r="B113">
        <v>18</v>
      </c>
      <c r="D113" s="14" t="s">
        <v>52</v>
      </c>
      <c r="E113">
        <v>11.8</v>
      </c>
    </row>
    <row r="114" spans="1:5" x14ac:dyDescent="0.25">
      <c r="A114" s="20" t="s">
        <v>119</v>
      </c>
      <c r="B114">
        <v>6</v>
      </c>
      <c r="C114" t="s">
        <v>122</v>
      </c>
      <c r="D114" s="14" t="s">
        <v>54</v>
      </c>
      <c r="E114">
        <v>130</v>
      </c>
    </row>
    <row r="115" spans="1:5" x14ac:dyDescent="0.25">
      <c r="A115" s="20" t="s">
        <v>120</v>
      </c>
      <c r="B115">
        <f>B114*B99</f>
        <v>30</v>
      </c>
      <c r="D115" s="14" t="s">
        <v>90</v>
      </c>
      <c r="E115">
        <v>10.8</v>
      </c>
    </row>
    <row r="116" spans="1:5" x14ac:dyDescent="0.25">
      <c r="A116" s="20" t="s">
        <v>121</v>
      </c>
      <c r="B116">
        <f>B106/B115</f>
        <v>4.0337983333333334</v>
      </c>
    </row>
    <row r="117" spans="1:5" x14ac:dyDescent="0.25">
      <c r="A117" s="21" t="s">
        <v>48</v>
      </c>
      <c r="B117" s="22">
        <f>E115/B116</f>
        <v>2.6773772775783291</v>
      </c>
    </row>
    <row r="119" spans="1:5" x14ac:dyDescent="0.25">
      <c r="A119" s="17" t="s">
        <v>155</v>
      </c>
      <c r="D119" s="18" t="s">
        <v>127</v>
      </c>
    </row>
    <row r="120" spans="1:5" x14ac:dyDescent="0.25">
      <c r="A120" s="20" t="s">
        <v>125</v>
      </c>
      <c r="B120">
        <v>2000</v>
      </c>
      <c r="C120" t="s">
        <v>131</v>
      </c>
      <c r="D120" s="20" t="s">
        <v>143</v>
      </c>
      <c r="E120">
        <v>0.3</v>
      </c>
    </row>
    <row r="121" spans="1:5" x14ac:dyDescent="0.25">
      <c r="A121" s="20" t="s">
        <v>126</v>
      </c>
      <c r="B121">
        <f>B120/(E120*B99)</f>
        <v>1333.3333333333333</v>
      </c>
    </row>
    <row r="122" spans="1:5" x14ac:dyDescent="0.25">
      <c r="A122" s="20" t="s">
        <v>156</v>
      </c>
      <c r="B122">
        <v>0.3</v>
      </c>
      <c r="C122" t="s">
        <v>129</v>
      </c>
    </row>
    <row r="123" spans="1:5" x14ac:dyDescent="0.25">
      <c r="A123" s="20" t="s">
        <v>130</v>
      </c>
      <c r="B123">
        <f>B121*B122*B101</f>
        <v>799.99999999999989</v>
      </c>
    </row>
    <row r="124" spans="1:5" x14ac:dyDescent="0.25">
      <c r="A124" s="21" t="s">
        <v>132</v>
      </c>
      <c r="B124" s="22">
        <f>B123/B103</f>
        <v>3.6831645088379115</v>
      </c>
    </row>
    <row r="126" spans="1:5" x14ac:dyDescent="0.25">
      <c r="A126" s="29" t="s">
        <v>162</v>
      </c>
    </row>
    <row r="127" spans="1:5" x14ac:dyDescent="0.25">
      <c r="A127" s="20" t="s">
        <v>157</v>
      </c>
      <c r="B127" s="30">
        <v>15</v>
      </c>
    </row>
    <row r="128" spans="1:5" x14ac:dyDescent="0.25">
      <c r="A128" s="20" t="s">
        <v>158</v>
      </c>
      <c r="B128" s="30">
        <v>7.93</v>
      </c>
      <c r="C128" t="s">
        <v>160</v>
      </c>
    </row>
    <row r="129" spans="1:3" x14ac:dyDescent="0.25">
      <c r="A129" s="20" t="s">
        <v>159</v>
      </c>
      <c r="B129" s="30">
        <f>PI()*(B127^2-B128^2)/4</f>
        <v>127.32490179899368</v>
      </c>
    </row>
    <row r="130" spans="1:3" x14ac:dyDescent="0.25">
      <c r="A130" s="20" t="s">
        <v>83</v>
      </c>
      <c r="B130" s="30">
        <f>B121/B129</f>
        <v>10.471897598148168</v>
      </c>
    </row>
    <row r="131" spans="1:3" x14ac:dyDescent="0.25">
      <c r="A131" s="21" t="s">
        <v>161</v>
      </c>
      <c r="B131" s="31">
        <f>E115/B130</f>
        <v>1.0313317045718489</v>
      </c>
      <c r="C131" s="22"/>
    </row>
    <row r="132" spans="1:3" x14ac:dyDescent="0.25">
      <c r="A132" s="20" t="s">
        <v>164</v>
      </c>
      <c r="B132" s="30">
        <v>18</v>
      </c>
    </row>
    <row r="133" spans="1:3" x14ac:dyDescent="0.25">
      <c r="A133" s="20" t="s">
        <v>165</v>
      </c>
      <c r="B133" s="30">
        <f>B132*PI()*B127</f>
        <v>848.23001646924411</v>
      </c>
    </row>
    <row r="134" spans="1:3" x14ac:dyDescent="0.25">
      <c r="A134" s="20" t="s">
        <v>168</v>
      </c>
      <c r="B134" s="30">
        <f>B121/B133</f>
        <v>1.5719006725125466</v>
      </c>
    </row>
    <row r="135" spans="1:3" x14ac:dyDescent="0.25">
      <c r="A135" s="21" t="s">
        <v>163</v>
      </c>
      <c r="B135" s="31">
        <f>E113/B134</f>
        <v>7.5068356457528109</v>
      </c>
    </row>
  </sheetData>
  <hyperlinks>
    <hyperlink ref="F29" r:id="rId1"/>
    <hyperlink ref="F30" r:id="rId2"/>
    <hyperlink ref="F72" r:id="rId3"/>
    <hyperlink ref="F73" r:id="rId4"/>
  </hyperlinks>
  <pageMargins left="0.7" right="0.7" top="0.75" bottom="0.75" header="0.51180555555555496" footer="0.51180555555555496"/>
  <pageSetup firstPageNumber="0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</vt:lpstr>
      <vt:lpstr>joints and bearings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Shien Yang Lee</dc:creator>
  <dc:description/>
  <cp:lastModifiedBy>Shien Yang Lee</cp:lastModifiedBy>
  <cp:revision>22</cp:revision>
  <dcterms:created xsi:type="dcterms:W3CDTF">2017-04-03T17:47:04Z</dcterms:created>
  <dcterms:modified xsi:type="dcterms:W3CDTF">2017-04-19T17:08:13Z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Windows User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